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Nutrition" sheetId="3"/>
    <sheet r:id="rId4" name="Segment - Diagnostics" sheetId="4"/>
    <sheet r:id="rId5" name="Segment - Established Pharma" sheetId="5"/>
    <sheet r:id="rId6" name="Segment - Medical Devices" sheetId="6"/>
    <sheet r:id="rId7" name="Income Statement" sheetId="7"/>
    <sheet r:id="rId8" name="Balance Sheet" sheetId="8"/>
    <sheet r:id="rId9" name="Cash Flow Statement" sheetId="9"/>
    <sheet r:id="rId10" name="Geo" sheetId="10"/>
    <sheet r:id="rId11" name="Share Count" sheetId="11"/>
    <sheet r:id="rId12" name="Guidance" sheetId="12"/>
    <sheet r:id="rId13" name="Sources" sheetId="13"/>
    <sheet r:id="rId14" name="Inputs" sheetId="14"/>
  </sheets>
  <calcPr calcId="0" iterateCount="100" iterateDelta="0.001"/>
</workbook>
</file>

<file path=xl/sharedStrings.xml><?xml version="1.0" encoding="utf-8"?>
<sst xmlns="http://schemas.openxmlformats.org/spreadsheetml/2006/main" count="1110" uniqueCount="1110">
  <si>
    <t>Abbott Laboratories (NYSE: ABT)</t>
  </si>
  <si>
    <t>Company Model — built by Shortcut</t>
  </si>
  <si>
    <t>$ millions, except per share</t>
  </si>
  <si>
    <t>Column headers: see row 18 (non-period tab)</t>
  </si>
  <si>
    <t>Notes / sources</t>
  </si>
  <si>
    <t>Company</t>
  </si>
  <si>
    <t>Abbott Laboratories</t>
  </si>
  <si>
    <t>Ticker / exchange</t>
  </si>
  <si>
    <t>ABT / NYSE (CapIQ NYSE:ABT)</t>
  </si>
  <si>
    <t>Fiscal year end</t>
  </si>
  <si>
    <t>December 31 — fiscal 3Q26 = calendar quarter ended 30-Sep-2026 (supplied label 2026-09-30 confirmed)</t>
  </si>
  <si>
    <t>Reporting currency / units</t>
  </si>
  <si>
    <t>USD; $ millions except per-share data</t>
  </si>
  <si>
    <t>EPS basis</t>
  </si>
  <si>
    <t>Adjusted diluted EPS excl. specified items (issuer) = CapIQ normalized diluted EPS, USD per common share</t>
  </si>
  <si>
    <t>Information cutoff</t>
  </si>
  <si>
    <t>2026-10-18 21:34 UTC</t>
  </si>
  <si>
    <t>Expected report date</t>
  </si>
  <si>
    <t>2026-10-21 before market open (issuer-confirmed 30-Sep-2026 [S1]; matches supplied CapIQ date)</t>
  </si>
  <si>
    <t>Consensus snapshot</t>
  </si>
  <si>
    <t>S&amp;P Capital IQ, captured 2026-10-18 (date precision) [S15]</t>
  </si>
  <si>
    <t>Headline: 3Q26E</t>
  </si>
  <si>
    <t>Shortcut est.</t>
  </si>
  <si>
    <t>Consensus</t>
  </si>
  <si>
    <t>Variance</t>
  </si>
  <si>
    <t>Variance %</t>
  </si>
  <si>
    <t>Guide mid</t>
  </si>
  <si>
    <t>Est. - guide</t>
  </si>
  <si>
    <t># ests</t>
  </si>
  <si>
    <t>Revenue ($m)</t>
  </si>
  <si>
    <t>n/a</t>
  </si>
  <si>
    <t>Adj. net earnings ($m)</t>
  </si>
  <si>
    <t>Adj. diluted EPS ($)</t>
  </si>
  <si>
    <t>GOVERNING BUILD: consolidated adjusted-margin build ('Income Statement'!J102:J104: GM 58.2%, R&amp;D 6.9%, SG&amp;A 27.7%; tax 15.2% in J105) drives EPS. HIGH / UNRECONCILED COST-BUILD LIMITATION: segment build less this implies unallocated costs of $226.4m ('Income Statement'!J109) vs $266m-$630m history; segment COGS $5,552.2m exceed adjusted consolidated COGS $5,401.1m by $151.1m (consolidated less segment: -$151.1m vs -$20m to +$91m history; segment never exceeded consolidated by more than $20m). Segment (internal performance) and adjusted (specified-item) bases differ, so these are diagnostics, not reported unallocated costs - but the forecast tension is NOT resolved. Alternative assumptions (not corrections) give ~$1.33-$1.40 (see 'Income Statement'!K109). No recalibration applied; publication blocked pending independent validation. GM 58.2% (+18bp Q/Q) is a judgment: holding 2Q26 58.02% would give ~$1.410 (-$0.011).</t>
  </si>
  <si>
    <t>GAAP net earnings ($m)</t>
  </si>
  <si>
    <t>GAAP diluted EPS ($)</t>
  </si>
  <si>
    <t>P(beat consensus EPS)</t>
  </si>
  <si>
    <t>Probability reported adjusted EPS &gt; $1.41 frozen consensus; = estimate.json p_beat_consensus_eps</t>
  </si>
  <si>
    <t>Confidence</t>
  </si>
  <si>
    <t>medium</t>
  </si>
  <si>
    <t>Equals estimate.json confidence</t>
  </si>
  <si>
    <t>Overall model check</t>
  </si>
  <si>
    <t>PASS</t>
  </si>
  <si>
    <t>AND of labelled checks E35:E68 (same ranges and thresholds as before; SUMIF-based absolute sums, blank/text-safe). Errors inside difference rows are caught by the error-count rows E52:E64 and E68. J-column checks marked * are construction identities, not independent verification</t>
  </si>
  <si>
    <t>Net income guide midpoint is implied (EPS midpoint x model diluted shares / (1 - participating allocation)); Abbott gives no quarterly revenue guidance</t>
  </si>
  <si>
    <t>Cons. EPS median / high / low</t>
  </si>
  <si>
    <t>Cons. revenue median / high / low</t>
  </si>
  <si>
    <t>Other cons. EPS memo (14–16 Oct)</t>
  </si>
  <si>
    <t>Other-source consensus memo, NOT scored: Zacks 16-Oct $1.42 / $12,970m [S17]; MarketBeat 14-Oct $1.42 / $13,000m [S27]. Both are OLDER than the frozen 18-Oct CapIQ snapshot [S15] used in D19:D23.</t>
  </si>
  <si>
    <t>Other cons. rev. memo (14–16 Oct)</t>
  </si>
  <si>
    <t>[S17][S27]; memo only, older than frozen 18-Oct CapIQ [S15]</t>
  </si>
  <si>
    <t>Model checks (feed C26)</t>
  </si>
  <si>
    <t>Metric</t>
  </si>
  <si>
    <t>Threshold</t>
  </si>
  <si>
    <t>Pass</t>
  </si>
  <si>
    <t>* 3Q26E (J) column of these checks is a construction identity (structural, not independent verification); historical columns are genuine reconciliations</t>
  </si>
  <si>
    <t>Revenue vs CapIQ actual</t>
  </si>
  <si>
    <t>Abs. sum (SUMIF &gt;0 less SUMIF &lt;0) of 'Revenue summary'!C97:I97; pass if &lt; 0.5</t>
  </si>
  <si>
    <t>BS balance check</t>
  </si>
  <si>
    <t>Abs. sum (SUMIF &gt;0 less SUMIF &lt;0) of 'Balance Sheet'!C47:J47; pass if &lt; 0.5</t>
  </si>
  <si>
    <t>BS total assets vs reported</t>
  </si>
  <si>
    <t>Abs. sum (SUMIF &gt;0 less SUMIF &lt;0) of 'Balance Sheet'!C49:I49; pass if &lt; 0.5</t>
  </si>
  <si>
    <t>CF check row 38</t>
  </si>
  <si>
    <t>Abs. sum (SUMIF &gt;0 less SUMIF &lt;0) of 'Cash Flow Statement'!C38:J38; pass if &lt; 0.5</t>
  </si>
  <si>
    <t>CF check row 39</t>
  </si>
  <si>
    <t>Abs. sum (SUMIF &gt;0 less SUMIF &lt;0) of 'Cash Flow Statement'!C39:J39; pass if &lt; 0.5</t>
  </si>
  <si>
    <t>CF check row 40</t>
  </si>
  <si>
    <t>Abs. sum (SUMIF &gt;0 less SUMIF &lt;0) of 'Cash Flow Statement'!C40:J40; pass if &lt; 0.5</t>
  </si>
  <si>
    <t>CF YTD OCF vs reported</t>
  </si>
  <si>
    <t>Abs. sum (SUMIF &gt;0 less SUMIF &lt;0) of 'Cash Flow Statement'!C72:I72; pass if &lt; 0.5</t>
  </si>
  <si>
    <t>Geo U.S.+Intl = total</t>
  </si>
  <si>
    <t>Abs. sum (SUMIF &gt;0 less SUMIF &lt;0) of Geo!C41:J41; pass if &lt; 0.5</t>
  </si>
  <si>
    <t>Geo FY country check 1</t>
  </si>
  <si>
    <t>Abs. sum (SUMIF &gt;0 less SUMIF &lt;0) of Geo!G89:G89; pass if &lt; 0.5</t>
  </si>
  <si>
    <t>Geo FY country check 2</t>
  </si>
  <si>
    <t>Abs. sum (SUMIF &gt;0 less SUMIF &lt;0) of Geo!G90:G90; pass if &lt; 0.5</t>
  </si>
  <si>
    <t>IS bridge vs reported adj. NI</t>
  </si>
  <si>
    <t>Abs. sum (SUMIF &gt;0 less SUMIF &lt;0) of 'Income Statement'!C57:I57; pass if &lt; 0.5</t>
  </si>
  <si>
    <t>IS by-line vs by-category*</t>
  </si>
  <si>
    <t>Abs. sum (SUMIF &gt;0 less SUMIF &lt;0) of 'Income Statement'!C66:J66; pass if &lt; 0.5</t>
  </si>
  <si>
    <t>IS GAAP EBT + items - adj.*</t>
  </si>
  <si>
    <t>Abs. sum (SUMIF &gt;0 less SUMIF &lt;0) of 'Income Statement'!C89:J89; pass if &lt; 0.5</t>
  </si>
  <si>
    <t>IS adj. P&amp;L NI vs bridge*</t>
  </si>
  <si>
    <t>Abs. sum (SUMIF &gt;0 less SUMIF &lt;0) of 'Income Statement'!C95:J95; pass if &lt; 0.5</t>
  </si>
  <si>
    <t>Rev segments + other = total*</t>
  </si>
  <si>
    <t>Count of FALSE in 'Revenue summary'!C98:J98; pass if = 0</t>
  </si>
  <si>
    <t>IS adj. EPS check*</t>
  </si>
  <si>
    <t>Count of FALSE in 'Income Statement'!C99:J99; pass if = 0</t>
  </si>
  <si>
    <t>IS GAAP EPS check*</t>
  </si>
  <si>
    <t>Count of FALSE in 'Income Statement'!C45:J45; pass if = 0</t>
  </si>
  <si>
    <t>Errors: Revenue summary</t>
  </si>
  <si>
    <t>Count of error cells in 'Revenue summary'!B9:J99; pass if = 0</t>
  </si>
  <si>
    <t>Errors: Nutrition</t>
  </si>
  <si>
    <t>Count of error cells in 'Segment - Nutrition'!B9:J134; pass if = 0</t>
  </si>
  <si>
    <t>Errors: Diagnostics</t>
  </si>
  <si>
    <t>Count of error cells in 'Segment - Diagnostics'!B9:J289; pass if = 0</t>
  </si>
  <si>
    <t>Errors: Established Pharma</t>
  </si>
  <si>
    <t>Count of error cells in 'Segment - Established Pharma'!B9:J110; pass if = 0</t>
  </si>
  <si>
    <t>Errors: Medical Devices</t>
  </si>
  <si>
    <t>Count of error cells in 'Segment - Medical Devices'!B9:J338; pass if = 0</t>
  </si>
  <si>
    <t>Errors: Income Statement</t>
  </si>
  <si>
    <t>Count of error cells in 'Income Statement'!B9:J121; pass if = 0</t>
  </si>
  <si>
    <t>Errors: Balance Sheet</t>
  </si>
  <si>
    <t>Count of error cells in 'Balance Sheet'!B9:J57; pass if = 0</t>
  </si>
  <si>
    <t>Errors: Cash Flow Statement</t>
  </si>
  <si>
    <t>Count of error cells in 'Cash Flow Statement'!B9:J76; pass if = 0</t>
  </si>
  <si>
    <t>Errors: Geo</t>
  </si>
  <si>
    <t>Count of error cells in Geo!B9:J90; pass if = 0</t>
  </si>
  <si>
    <t>Errors: Share Count</t>
  </si>
  <si>
    <t>Count of error cells in 'Share Count'!B9:J33; pass if = 0</t>
  </si>
  <si>
    <t>Errors: Guidance</t>
  </si>
  <si>
    <t>Count of error cells in Guidance!B9:J50; pass if = 0</t>
  </si>
  <si>
    <t>Errors: Sources</t>
  </si>
  <si>
    <t>Count of error cells in Sources!B9:J40; pass if = 0</t>
  </si>
  <si>
    <t>Errors: Inputs</t>
  </si>
  <si>
    <t>Count of error cells in Inputs!B9:J109; pass if = 0</t>
  </si>
  <si>
    <t>Cover EPS tie to IS J97</t>
  </si>
  <si>
    <t>Pass if &lt; 0.0001</t>
  </si>
  <si>
    <t>Cover revenue tie to RS J74</t>
  </si>
  <si>
    <t>Pass if &lt; 0.001</t>
  </si>
  <si>
    <t>Cover adj. NI tie to IS J93</t>
  </si>
  <si>
    <t>Errors: Cover headline</t>
  </si>
  <si>
    <t>Count of error cells in C19:I25; pass if = 0</t>
  </si>
  <si>
    <t>Revenue summary — segments, growth decomposition and forecast drivers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</si>
  <si>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</si>
  <si>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</si>
  <si>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</si>
  <si>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</si>
  <si>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</si>
  <si>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</si>
  <si>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</si>
  <si>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</si>
  <si>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</si>
  <si>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</si>
  <si>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</si>
  <si>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Forecast drivers (3Q26E)</t>
  </si>
  <si>
    <t>Company FX impact (mgmt outlook)</t>
  </si>
  <si>
    <t>"negative impact of approximately 1% on third quarter sales" at July rates, 2Q26 call [S12]; USD broadly flat through Q3 [S20]</t>
  </si>
  <si>
    <t>Intl share of comparable PY base</t>
  </si>
  <si>
    <t>International comparable base / total comparable base</t>
  </si>
  <si>
    <t>Implied FX on intl sales</t>
  </si>
  <si>
    <t>Company FX / international share; applied to every international product line (assumption)</t>
  </si>
  <si>
    <t>Revenue by reported segment</t>
  </si>
  <si>
    <t>Nutrition ($m)</t>
  </si>
  <si>
    <t>Linked from Segment - Nutrition</t>
  </si>
  <si>
    <t xml:space="preserve">  % Y/Y</t>
  </si>
  <si>
    <t xml:space="preserve">  Q/Q change ($m)</t>
  </si>
  <si>
    <t xml:space="preserve">  % Q/Q</t>
  </si>
  <si>
    <t xml:space="preserve">  % of total revenue</t>
  </si>
  <si>
    <t xml:space="preserve">    Change Y/Y (bp)</t>
  </si>
  <si>
    <t xml:space="preserve">  Organic / comparable growth</t>
  </si>
  <si>
    <t xml:space="preserve">    Change vs prior quarter (bp)</t>
  </si>
  <si>
    <t xml:space="preserve">  M&amp;A / scope impact</t>
  </si>
  <si>
    <t xml:space="preserve">  FX impact</t>
  </si>
  <si>
    <t xml:space="preserve">  Total Y/Y (organic x M&amp;A x FX)</t>
  </si>
  <si>
    <t>Diagnostics ($m)</t>
  </si>
  <si>
    <t>Linked from Segment - Diagnostics</t>
  </si>
  <si>
    <t>Established Pharma ($m)</t>
  </si>
  <si>
    <t>Linked from Segment - Established Pharma</t>
  </si>
  <si>
    <t>Medical Devices ($m)</t>
  </si>
  <si>
    <t>Linked from Segment - Medical Devices</t>
  </si>
  <si>
    <t>Other revenue (unallocated)</t>
  </si>
  <si>
    <t>"Other" line in 10-Q revenue tables (U.S.) [S11][S10][S9][S7][S6]; 4Q25 = FY $17m less 9M [S8]; 3Q26E held at 2Q26</t>
  </si>
  <si>
    <t xml:space="preserve">  Organic/M&amp;A/FX split</t>
  </si>
  <si>
    <t>Not disclosed by issuer for the unallocated line (U.S.-only, immaterial)</t>
  </si>
  <si>
    <t>Total revenue ($m)</t>
  </si>
  <si>
    <t xml:space="preserve">  % Y/Y (reported)</t>
  </si>
  <si>
    <t xml:space="preserve">  Revenue excl. FX ($m)</t>
  </si>
  <si>
    <t xml:space="preserve">  Comparable PY base — Intl ($m)</t>
  </si>
  <si>
    <t xml:space="preserve">  Comparable prior-year base ($m)</t>
  </si>
  <si>
    <t>FY25 G81 41,937 vs SUM(C81:F81) 41,950: -$13m ZonePerfect exit scope item applied to the FY comparable base only (Nutrition!G75); 2025 quarters use a zero-adjustment convention because the issuer gives no quarterly allocation. Intentional; not allocated (no source).</t>
  </si>
  <si>
    <t xml:space="preserve">  CY scope adjustments ($m)</t>
  </si>
  <si>
    <t>FY25 -0.03% reflects the FY-only -$13m ZonePerfect scope item (see K81); 3Q25/4Q25 show 0 by the zero-adjustment convention (1Q25/2Q25 n/a: FX-neutral revenue unavailable).</t>
  </si>
  <si>
    <t>(1+Y/Y)/((1+M&amp;A)*(1+FX))-1. 2026 comparable basis includes Exact prior-year sales, excludes competitor payments [S3][S2]</t>
  </si>
  <si>
    <t xml:space="preserve">  Organic — issuer disclosed</t>
  </si>
  <si>
    <t>[S5][S4][S3][S2]</t>
  </si>
  <si>
    <t xml:space="preserve">    Model less issuer (bp)</t>
  </si>
  <si>
    <t xml:space="preserve">  Organic ex-COVID — issuer</t>
  </si>
  <si>
    <t>2025 definition only [S5][S4]</t>
  </si>
  <si>
    <t xml:space="preserve">  Total revenue — PY ($m)</t>
  </si>
  <si>
    <t xml:space="preserve">  Other revenue — PY ($m)</t>
  </si>
  <si>
    <t>[S11][S10][S9][S8]</t>
  </si>
  <si>
    <t>Checks</t>
  </si>
  <si>
    <t>Revenue per CapIQ history</t>
  </si>
  <si>
    <t>ABT_history.csv revenue_m_actual [S16]</t>
  </si>
  <si>
    <t>Check: revenue less CapIQ actual</t>
  </si>
  <si>
    <t>Segments sum to total and tie to reported revenue</t>
  </si>
  <si>
    <t>Check: segments + other = total</t>
  </si>
  <si>
    <t>Construction identity in every column (row 74 is defined by this same sum) - structural, not independent verification. The genuine historical source check is row 97 (vs CapIQ actual revenue).</t>
  </si>
  <si>
    <t>Single-country test: U.S. ~40% / international ~60% of sales, so a Geo tab is included</t>
  </si>
  <si>
    <t>Segment — Nutrition: revenue build by product line and geography</t>
  </si>
  <si>
    <t>Driver note: Abbott discloses no customer, subscriber or unit stock-flow KPIs (opening / adds / churn / closing) for this segment; checked 10-Q 2Q26 [S6] and 10-K FY25 [S8]. Revenue is built line x geography from prior-year base, organic growth, FX and scope.</t>
  </si>
  <si>
    <t>Pediatric Nutritionals</t>
  </si>
  <si>
    <t xml:space="preserve">  U.S. ($m)</t>
  </si>
  <si>
    <t>10-Q revenue-by-category tables [S11][S10][S9][S7][S6]; 4Q25 from 4Q25 release [S4]; FY25 = sum of quarters (ties to 10-K [S8])</t>
  </si>
  <si>
    <t xml:space="preserve">    % Y/Y</t>
  </si>
  <si>
    <t xml:space="preserve">    Q/Q change ($m)</t>
  </si>
  <si>
    <t xml:space="preserve">    Organic (issuer; 3Q26E assump.)</t>
  </si>
  <si>
    <t>Issuer-disclosed organic (2025) / comparable (2026) growth [S5][S4][S3][S2]; 3Q26E +4.0% (Pediatric U.S.) = Shortcut JUDGMENT (original assumption retained, not trend-retuned); not a quantified issuer forecast</t>
  </si>
  <si>
    <t xml:space="preserve">      Change vs prior quarter (bp)</t>
  </si>
  <si>
    <t xml:space="preserve">  International ($m)</t>
  </si>
  <si>
    <t>Issuer-disclosed organic (2025) / comparable (2026) growth [S5][S4][S3][S2]; 3Q26E blue = Shortcut assumption</t>
  </si>
  <si>
    <t xml:space="preserve">    FX impact on intl sales</t>
  </si>
  <si>
    <t>Derived: (1+reported Y/Y)/(1+issuer organic)-1; 3Q26E = implied international FX from mgmt -1% company FX outlook [S12]</t>
  </si>
  <si>
    <t xml:space="preserve">    Intl sales excl. FX</t>
  </si>
  <si>
    <t>Pediatric Nutritionals ($m)</t>
  </si>
  <si>
    <t xml:space="preserve">  % of segment revenue</t>
  </si>
  <si>
    <t>U.S. sales + international sales at prior-year FX rates</t>
  </si>
  <si>
    <t xml:space="preserve">  Comparable PY base — U.S. ($m)</t>
  </si>
  <si>
    <t>Prior-year sales (recast) + issuer comparable-basis scope adjustments</t>
  </si>
  <si>
    <t>Derived from issuer comparable-basis adjustments; nil where the issuer reconciliation shows no scope item</t>
  </si>
  <si>
    <t xml:space="preserve">  Organic growth</t>
  </si>
  <si>
    <t>(1+Y/Y)/((1+M&amp;A)*(1+FX))-1</t>
  </si>
  <si>
    <t xml:space="preserve">  U.S. mix (% of line)</t>
  </si>
  <si>
    <t xml:space="preserve">    Change in U.S. mix Y/Y (bp)</t>
  </si>
  <si>
    <t>Adult Nutritionals</t>
  </si>
  <si>
    <t>Adult Nutritionals ($m)</t>
  </si>
  <si>
    <t>Prior-year sales (recast) + issuer comparable-basis scope adjustments. FY25 G66 4,377 vs SUM(C66:F66) 4,390: the -$13m ZonePerfect item (G75) is applied to the FY base only; quarterly 2025 bases carry a zero scope adjustment (no issuer quarterly allocation). Intentional $13m FY-vs-quarters difference; not allocated.</t>
  </si>
  <si>
    <t>FY25: ZonePerfect exit ($13m FY24 U.S. sales) per issuer [S4]</t>
  </si>
  <si>
    <t xml:space="preserve">  Scope: ZonePerfect exit, PY U.S.</t>
  </si>
  <si>
    <t>Business exit adjustment, FY25 revenue reconciliation [S4]; quarterly 2025 organic shows no exit impact in 3Q/4Q [S5][S4]. FY-only: quarters use zero-adjustment convention (quarter allocation unavailable), so FY base differs from sum of quarters by $13m.</t>
  </si>
  <si>
    <t>Nutrition segment total</t>
  </si>
  <si>
    <t xml:space="preserve">  Nutrition — U.S. ($m)</t>
  </si>
  <si>
    <t xml:space="preserve">  Nutrition — International ($m)</t>
  </si>
  <si>
    <t>Nutrition revenue</t>
  </si>
  <si>
    <t>Sum of product lines; ties to issuer segment sales [S6][S7][S8]</t>
  </si>
  <si>
    <t xml:space="preserve">  % of total company revenue</t>
  </si>
  <si>
    <t>(1+Y/Y)/((1+M&amp;A)*(1+FX))-1; 1Q25/2Q25 decomposition not in model window (columns kept to reconcile FY25)</t>
  </si>
  <si>
    <t>2025 organic (ex-FX, ex-business exit; incl. COVID tests) [S5][S4]; 2026 comparable [S3][S2]</t>
  </si>
  <si>
    <t xml:space="preserve">    Model less issuer organic (bp)</t>
  </si>
  <si>
    <t>Rounding of line-level disclosures; reconciliation check</t>
  </si>
  <si>
    <t xml:space="preserve">  Nutrition — U.S., PY ($m)</t>
  </si>
  <si>
    <t xml:space="preserve">  Nutrition — Intl, PY ($m)</t>
  </si>
  <si>
    <t xml:space="preserve">  Nutrition — PY ($m)</t>
  </si>
  <si>
    <t>Nutrition segment operating earnings (issuer segment note)</t>
  </si>
  <si>
    <t xml:space="preserve">  Segment sales ($m)</t>
  </si>
  <si>
    <t xml:space="preserve">  Segment COGS ($m)</t>
  </si>
  <si>
    <t>Segment note [S11][S10][S9][S7][S6]; FY25 per 10-K segment detail [S8]; 4Q25 = FY less 9M; 3Q26E ratio = 2Q26 ratio + 2Q25-&gt;3Q25 seasonal change</t>
  </si>
  <si>
    <t xml:space="preserve">  Segment R&amp;D ($m)</t>
  </si>
  <si>
    <t xml:space="preserve">  Segment SG&amp;A ($m)</t>
  </si>
  <si>
    <t>Segment operating earnings ($m)</t>
  </si>
  <si>
    <t>Excludes amortization, share-based comp, corporate costs and specified items (unallocated) [S6]</t>
  </si>
  <si>
    <t xml:space="preserve">  Segment gross margin</t>
  </si>
  <si>
    <t>3Q26E (J) = METHOD OUTPUT, not evidence: equals 2Q26 (I) by construction of the copied cost-ratio method (2Q26 ratio + 2Q25-&gt;3Q25 change, rows 109:111). Not an EPS driver: scored EPS uses consolidated ratios 'Income Statement'!J102:J104.</t>
  </si>
  <si>
    <t xml:space="preserve">  R&amp;D % of sales</t>
  </si>
  <si>
    <t>3Q26E (J) = METHOD OUTPUT (= I by construction; see K115); not independent evidence; not an EPS driver</t>
  </si>
  <si>
    <t xml:space="preserve">  SG&amp;A % of sales</t>
  </si>
  <si>
    <t xml:space="preserve">  Segment operating margin</t>
  </si>
  <si>
    <t xml:space="preserve">  Segment sales, PY ($m)</t>
  </si>
  <si>
    <t xml:space="preserve">  Segment COGS — PY ($m)</t>
  </si>
  <si>
    <t>2024 from 2025 10-Q prior-year columns and 10-K [S11][S10][S9][S8]</t>
  </si>
  <si>
    <t xml:space="preserve">  Segment R&amp;D — PY ($m)</t>
  </si>
  <si>
    <t xml:space="preserve">  Segment SG&amp;A — PY ($m)</t>
  </si>
  <si>
    <t xml:space="preserve">  Segment op. earnings — PY</t>
  </si>
  <si>
    <t>Prior-year comparatives (memo; drives Y/Y)</t>
  </si>
  <si>
    <t xml:space="preserve">  Pediatric Nutritionals — U.S., PY</t>
  </si>
  <si>
    <t>2024 comparatives from 2025 10-Q prior-year columns [S11][S10][S9] and 10-K [S8]; 4Q24 = FY24 less 9M24; 2026 columns = 2025 actuals</t>
  </si>
  <si>
    <t xml:space="preserve">  Pediatric Nutritionals — Intl, PY</t>
  </si>
  <si>
    <t xml:space="preserve">  Pediatric Nutritionals — PY ($m)</t>
  </si>
  <si>
    <t xml:space="preserve">  Adult Nutritionals — U.S., PY ($m)</t>
  </si>
  <si>
    <t xml:space="preserve">  Adult Nutritionals — Intl, PY ($m)</t>
  </si>
  <si>
    <t xml:space="preserve">  Adult Nutritionals — PY ($m)</t>
  </si>
  <si>
    <t>Segment — Diagnostics: revenue build by product line and geography</t>
  </si>
  <si>
    <t>Core Laboratory Diagnostics</t>
  </si>
  <si>
    <t>Core Laboratory ($m)</t>
  </si>
  <si>
    <t>Molecular Diagnostics (2025 basis)</t>
  </si>
  <si>
    <t>Disclosed separately through 2025; aggregated into Rapid &amp; Molecular from 1Q26 [S7]</t>
  </si>
  <si>
    <t>Molecular (2025 basis) ($m)</t>
  </si>
  <si>
    <t>Point of Care (2025 basis)</t>
  </si>
  <si>
    <t>Point of Care (2025) ($m)</t>
  </si>
  <si>
    <t>Rapid Diagnostics (2025 basis)</t>
  </si>
  <si>
    <t>Rapid Dx (2025 basis) ($m)</t>
  </si>
  <si>
    <t>Rapid and Molecular Diagnostics</t>
  </si>
  <si>
    <t>1Q25 vs 4Q24 (prior-year memo); 1Q26 vs 4Q25 mixes 2025/2026 reporting bases for EP/SH/Diagnostics</t>
  </si>
  <si>
    <t>2025: derived from Molecular/POC/Rapid ex-FX sales; 2026 issuer comparable [S3][S2]; 3Q26E assumption</t>
  </si>
  <si>
    <t>Rapid &amp; Molecular Dx ($m)</t>
  </si>
  <si>
    <t>Cancer Dx (Exact Sciences)</t>
  </si>
  <si>
    <t>Exact Sciences consolidated from 23-Mar-2026; nil before acquisition [S7][S6]. 3Q26E = Exact 3Q25 base x (1+comparable growth)</t>
  </si>
  <si>
    <t>n/m</t>
  </si>
  <si>
    <t>Issuer-disclosed organic (2025) / comparable (2026) growth [S5][S4][S3][S2]; 3Q26E +17.0% (Cancer Dx U.S.) = Shortcut JUDGMENT (original assumption retained, not trend-retuned); not a quantified issuer forecast</t>
  </si>
  <si>
    <t>Issuer-disclosed organic (2025) / comparable (2026) growth [S5][S4][S3][S2]; 3Q26E +15.0% (Cancer Dx Intl) = Shortcut JUDGMENT (original assumption retained, not trend-retuned); not a quantified issuer forecast</t>
  </si>
  <si>
    <t>Derived: (1+reported Y/Y)/(1+issuer organic)-1. Historical H186:I186 = 0 as shown in issuer comparable reconciliation for Cancer Dx [S2] (historical issuer value only). 3Q26E J186 applies the overall implied international FX assumption ('Revenue summary'!J12, from mgmt ~-1% company FX outlook [S12]) to Cancer Dx Intl: a forecast assumption, not an issuer statement that 3Q26 Cancer Dx FX is nil or immaterial</t>
  </si>
  <si>
    <t>Cancer Diagnostics ($m)</t>
  </si>
  <si>
    <t>Comparable: (sales excl. FX + pre-acquisition sales)/(Exact prior-year sales)-1</t>
  </si>
  <si>
    <t xml:space="preserve">  Exact pre-acq. sales PY — U.S.</t>
  </si>
  <si>
    <t>1Q25/2Q25 from Abbott comparable reconciliation [S3][S2]; 3Q25 total $851m per Exact 3Q25 release [S13], U.S./Intl split ESTIMATED from FY25 mix (3,145/102) [S2]; this estimate enters 3Q26E revenue and EPS via J176/J181</t>
  </si>
  <si>
    <t xml:space="preserve">  Exact pre-acq. sales PY — Intl</t>
  </si>
  <si>
    <t>As above; 3Q25 split ESTIMATED</t>
  </si>
  <si>
    <t xml:space="preserve">  Exact pre-acq. sales CY — U.S.</t>
  </si>
  <si>
    <t>1 Jan-22 Mar 2026 Exact sales added in comparable growth [S3]; none after 1Q26</t>
  </si>
  <si>
    <t xml:space="preserve">  Exact pre-acq. sales CY — Intl</t>
  </si>
  <si>
    <t>Diagnostics segment total</t>
  </si>
  <si>
    <t xml:space="preserve">  Diagnostics — U.S. ($m)</t>
  </si>
  <si>
    <t xml:space="preserve">  Diagnostics — International ($m)</t>
  </si>
  <si>
    <t>Diagnostics revenue</t>
  </si>
  <si>
    <t xml:space="preserve">  CY scope adj. — U.S. ($m)</t>
  </si>
  <si>
    <t>Exact pre-acquisition sales added / competitor payments removed (issuer comparable basis); nil in 2025 by definition</t>
  </si>
  <si>
    <t xml:space="preserve">  CY scope adj. — Intl ($m)</t>
  </si>
  <si>
    <t xml:space="preserve">  Diagnostics — U.S., PY ($m)</t>
  </si>
  <si>
    <t xml:space="preserve">  Diagnostics — Intl, PY ($m)</t>
  </si>
  <si>
    <t xml:space="preserve">  Diagnostics — PY ($m)</t>
  </si>
  <si>
    <t>Diagnostics segment operating earnings (issuer segment note)</t>
  </si>
  <si>
    <t>3Q26E (J) = METHOD OUTPUT, not evidence: equals 2Q26 (I) by construction of the copied cost-ratio method (2Q26 ratio + 2Q25-&gt;3Q25 change, rows 246:248). Not an EPS driver: scored EPS uses consolidated ratios 'Income Statement'!J102:J104.</t>
  </si>
  <si>
    <t>3Q26E (J) = METHOD OUTPUT (= I by construction; see K252); not independent evidence; not an EPS driver</t>
  </si>
  <si>
    <t xml:space="preserve">  Core Laboratory — U.S., PY ($m)</t>
  </si>
  <si>
    <t xml:space="preserve">  Core Laboratory — Intl, PY ($m)</t>
  </si>
  <si>
    <t xml:space="preserve">  Core Laboratory — PY ($m)</t>
  </si>
  <si>
    <t xml:space="preserve">  Molecular (2025 basis) — U.S., PY</t>
  </si>
  <si>
    <t xml:space="preserve">  Molecular (2025 basis) — Intl, PY</t>
  </si>
  <si>
    <t xml:space="preserve">  Molecular (2025 basis) — PY</t>
  </si>
  <si>
    <t xml:space="preserve">  Point of Care (2025) — U.S., PY</t>
  </si>
  <si>
    <t xml:space="preserve">  Point of Care (2025) — Intl, PY</t>
  </si>
  <si>
    <t xml:space="preserve">  Point of Care (2025) — PY ($m)</t>
  </si>
  <si>
    <t xml:space="preserve">  Rapid Dx (2025 basis) — U.S., PY</t>
  </si>
  <si>
    <t xml:space="preserve">  Rapid Dx (2025 basis) — Intl, PY</t>
  </si>
  <si>
    <t xml:space="preserve">  Rapid Dx (2025 basis) — PY</t>
  </si>
  <si>
    <t xml:space="preserve">  Rapid &amp; Molecular Dx — U.S., PY</t>
  </si>
  <si>
    <t xml:space="preserve">  Rapid &amp; Molecular Dx — Intl, PY</t>
  </si>
  <si>
    <t xml:space="preserve">  Rapid &amp; Molecular Dx — PY</t>
  </si>
  <si>
    <t xml:space="preserve">  Cancer Diagnostics — U.S., PY</t>
  </si>
  <si>
    <t xml:space="preserve">  Cancer Diagnostics — Intl, PY</t>
  </si>
  <si>
    <t xml:space="preserve">  Cancer Diagnostics — PY ($m)</t>
  </si>
  <si>
    <t>COVID-19 test sales (memo, $m)</t>
  </si>
  <si>
    <t>Disclosed through 2025 [S11][S10][S9][S4]; not disclosed from 2026 (unavailable)</t>
  </si>
  <si>
    <t>COVID-19 test sales — PY ($m)</t>
  </si>
  <si>
    <t>[S11][S10][S9][S4]</t>
  </si>
  <si>
    <t>Not disclosed for COVID-19 test sales (unavailable)</t>
  </si>
  <si>
    <t>Segment — Established Pharma: revenue build by product line and geography</t>
  </si>
  <si>
    <t>Key Emerging Markets</t>
  </si>
  <si>
    <t>Key Emerging Markets ($m)</t>
  </si>
  <si>
    <t>Other EPD markets</t>
  </si>
  <si>
    <t>Other EPD markets ($m)</t>
  </si>
  <si>
    <t>EPD segment total</t>
  </si>
  <si>
    <t xml:space="preserve">  Established Pharma — Intl ($m)</t>
  </si>
  <si>
    <t>EPD segment revenue</t>
  </si>
  <si>
    <t xml:space="preserve">  Established Pharma — Intl, PY</t>
  </si>
  <si>
    <t xml:space="preserve">  Established Pharma — PY ($m)</t>
  </si>
  <si>
    <t>EPD segment operating earnings (issuer segment note)</t>
  </si>
  <si>
    <t>3Q26E (J) = METHOD OUTPUT, not evidence: equals 2Q26 (I) by construction of the copied cost-ratio method (2Q26 ratio + 2Q25-&gt;3Q25 change, rows 87:89). Not an EPS driver: scored EPS uses consolidated ratios 'Income Statement'!J102:J104.</t>
  </si>
  <si>
    <t>3Q26E (J) = METHOD OUTPUT (= I by construction; see K93); not independent evidence; not an EPS driver</t>
  </si>
  <si>
    <t xml:space="preserve">  Key Emerging Markets — Intl, PY</t>
  </si>
  <si>
    <t xml:space="preserve">  Key Emerging Markets — PY</t>
  </si>
  <si>
    <t xml:space="preserve">  Other EPD markets — Intl, PY</t>
  </si>
  <si>
    <t xml:space="preserve">  Other EPD markets — PY ($m)</t>
  </si>
  <si>
    <t>Segment — Medical Devices: revenue build by product line and geography</t>
  </si>
  <si>
    <t>Rhythm Management</t>
  </si>
  <si>
    <t>Rhythm Management ($m)</t>
  </si>
  <si>
    <t>Electrophysiology</t>
  </si>
  <si>
    <t>10-Q revenue-by-category tables [S11][S10][S9][S7][S6]; 4Q25 from 4Q25 release [S4]; FY25 = sum of quarters (ties to 10-K [S8]). 2025 columns as originally reported (Amulet LAA in Structural Heart); 2026 includes Amulet [S7]</t>
  </si>
  <si>
    <t>vs prior-year period; 2026 vs recast 2025 where issuer reclassified</t>
  </si>
  <si>
    <t>Issuer-disclosed organic (2025) / comparable (2026) growth [S5][S4][S3][S2]; 3Q26E +20.0% (EP U.S.) = Shortcut JUDGMENT (original assumption retained, not trend-retuned); not a quantified issuer forecast</t>
  </si>
  <si>
    <t>Issuer-disclosed organic (2025) / comparable (2026) growth [S5][S4][S3][S2]; 3Q26E +14.0% (EP Intl) = Shortcut JUDGMENT (original assumption retained, not trend-retuned); not a quantified issuer forecast</t>
  </si>
  <si>
    <t>Electrophysiology ($m)</t>
  </si>
  <si>
    <t xml:space="preserve">  Amulet reclass to PY — U.S. ($m)</t>
  </si>
  <si>
    <t>Derived from recast 1Q25/2Q25 in 2026 10-Qs ($46m/$55m total) [S7][S6]; 3Q25 value is an ESTIMATE held at 2Q25 level (recast not yet published); enters 3Q26E EP/Structural Heart revenue and EPS via PY bases</t>
  </si>
  <si>
    <t xml:space="preserve">  Amulet reclass to PY — Intl ($m)</t>
  </si>
  <si>
    <t>As above; 3Q25 ESTIMATE</t>
  </si>
  <si>
    <t>Heart Failure</t>
  </si>
  <si>
    <t>Heart Failure ($m)</t>
  </si>
  <si>
    <t>Vascular</t>
  </si>
  <si>
    <t>Vascular ($m)</t>
  </si>
  <si>
    <t>Structural Heart</t>
  </si>
  <si>
    <t>10-Q revenue-by-category tables [S11][S10][S9][S7][S6]; 4Q25 from 4Q25 release [S4]; FY25 = sum of quarters (ties to 10-K [S8]). 2025 columns include Amulet LAA (moved to EP from 1Q26) [S7]</t>
  </si>
  <si>
    <t>Structural Heart ($m)</t>
  </si>
  <si>
    <t>Competitor agreement compensation payments excluded from comparable growth from 2026 [S3][S2]</t>
  </si>
  <si>
    <t xml:space="preserve">  Competitor payments, U.S. ($m)</t>
  </si>
  <si>
    <t>1Q25 $24m, 2Q25 $22m, 1Q26 $8m (final) per comparable reconciliations [S3][S2]; FY25 $89m [S3]; 3Q25 $22m is an ESTIMATE (2H25 $43m split not disclosed); 4Q25 derived; estimate enters 3Q26E revenue and EPS via J145</t>
  </si>
  <si>
    <t xml:space="preserve">  Scope: payments out of PY ($m)</t>
  </si>
  <si>
    <t xml:space="preserve">  Scope: payments out of CY ($m)</t>
  </si>
  <si>
    <t>Neuromodulation</t>
  </si>
  <si>
    <t>Neuromodulation ($m)</t>
  </si>
  <si>
    <t>Diabetes Care (incl. FreeStyle Libre CGM)</t>
  </si>
  <si>
    <t>Diabetes Care ($m)</t>
  </si>
  <si>
    <t xml:space="preserve">  CGM sales — YTD disclosed ($m)</t>
  </si>
  <si>
    <t>LOW-PRECISION MEMO (rows 245-262; ancillary, not a revenue-build driver). 10-Q/10-K MD&amp;A: $1.7bn 3M25, $3.6bn 6M25, $5.6bn 9M25, $7.6bn FY25, $2.0bn 3M26, $4.1bn 6M26 (rounded to $0.1bn) [S11][S10][S9][S8][S7][S6]</t>
  </si>
  <si>
    <t xml:space="preserve">  CGM systems sales — quarter</t>
  </si>
  <si>
    <t>LOW-PRECISION MEMO: Quarter = YTD difference (precision +/- $0.1bn); 3Q26E = Diabetes Care x CGM share</t>
  </si>
  <si>
    <t xml:space="preserve">    CGM growth Y/Y, reported</t>
  </si>
  <si>
    <t>Issuer quarterly releases [S5][S4][S3][S2]; 3Q26E n/m: derived growth vs YTD-differenced 3Q25 base rounded to $0.1bn (+/-5pp) is not meaningful (formula J246/E246-1 = 6.4% suppressed)</t>
  </si>
  <si>
    <t xml:space="preserve">    CGM M&amp;A / scope impact</t>
  </si>
  <si>
    <t>Nil: issuer comparable reconciliations show no acquisition or scope item in Diabetes Care [S3][S2]</t>
  </si>
  <si>
    <t xml:space="preserve">    CGM FX impact</t>
  </si>
  <si>
    <t>Derived from issuer reported vs organic CGM growth; 3Q26E = Diabetes Care FX impact</t>
  </si>
  <si>
    <t xml:space="preserve">    CGM organic growth</t>
  </si>
  <si>
    <t>(1+Y/Y)/((1+M&amp;A)*(1+FX))-1; 3Q26E n/m because reported growth (J248) is n/m (was 7.5%); use issuer-disclosed history in row 256 and Diabetes Care organic (row 241)</t>
  </si>
  <si>
    <t xml:space="preserve">    CGM organic — issuer disclosed</t>
  </si>
  <si>
    <t xml:space="preserve">  CGM % of Diabetes Care</t>
  </si>
  <si>
    <t>3Q26E held at 2Q26 share (assumption)</t>
  </si>
  <si>
    <t xml:space="preserve">  Diabetes Care excl. CGM ($m)</t>
  </si>
  <si>
    <t>Derived: blood-glucose meters and other diabetes products; residual of rounded CGM disclosure</t>
  </si>
  <si>
    <t>2025 n/a: CGM not disclosed for 2024 quarters at usable precision; 2026 n/m: residual of $0.1bn-rounded CGM disclosure gives +/-100% swings (H -37.0%, I +8.6%, J +56.4% suppressed)</t>
  </si>
  <si>
    <t xml:space="preserve">    Organic/M&amp;A/FX split</t>
  </si>
  <si>
    <t>Unavailable: issuer gives no growth decomposition for the non-CGM residual</t>
  </si>
  <si>
    <t>Medical Devices segment total</t>
  </si>
  <si>
    <t xml:space="preserve">  Medical Devices — U.S. ($m)</t>
  </si>
  <si>
    <t xml:space="preserve">  Medical Devices — Intl ($m)</t>
  </si>
  <si>
    <t>Medical Devices revenue</t>
  </si>
  <si>
    <t xml:space="preserve">  Medical Devices — U.S., PY</t>
  </si>
  <si>
    <t xml:space="preserve">  Medical Devices — Intl, PY ($m)</t>
  </si>
  <si>
    <t xml:space="preserve">  Medical Devices — PY ($m)</t>
  </si>
  <si>
    <t>Med. Devices segment operating earnings (issuer segment note)</t>
  </si>
  <si>
    <t>3Q26E (J) = METHOD OUTPUT, not evidence: equals 2Q26 (I) by construction of the copied cost-ratio method (2Q26 ratio + 2Q25-&gt;3Q25 change, rows 298:300). Not an EPS driver: scored EPS uses consolidated ratios 'Income Statement'!J102:J104.</t>
  </si>
  <si>
    <t>3Q26E (J) = METHOD OUTPUT (= I by construction; see K304); not independent evidence; not an EPS driver</t>
  </si>
  <si>
    <t xml:space="preserve">  Rhythm Management — U.S., PY</t>
  </si>
  <si>
    <t xml:space="preserve">  Rhythm Management — Intl, PY</t>
  </si>
  <si>
    <t xml:space="preserve">  Rhythm Management — PY</t>
  </si>
  <si>
    <t xml:space="preserve">  Electrophysiology — U.S., PY ($m)</t>
  </si>
  <si>
    <t>2024 comparatives from 2025 10-Q prior-year columns [S11][S10][S9] and 10-K [S8]; 4Q24 = FY24 less 9M24; 2026 columns = 2025 actuals recast for Amulet transfer</t>
  </si>
  <si>
    <t xml:space="preserve">  Electrophysiology — Intl, PY ($m)</t>
  </si>
  <si>
    <t xml:space="preserve">  Electrophysiology — PY ($m)</t>
  </si>
  <si>
    <t xml:space="preserve">  Heart Failure — U.S., PY ($m)</t>
  </si>
  <si>
    <t xml:space="preserve">  Heart Failure — Intl, PY ($m)</t>
  </si>
  <si>
    <t xml:space="preserve">  Heart Failure — PY ($m)</t>
  </si>
  <si>
    <t xml:space="preserve">  Vascular — U.S., PY ($m)</t>
  </si>
  <si>
    <t xml:space="preserve">  Vascular — International, PY ($m)</t>
  </si>
  <si>
    <t xml:space="preserve">  Vascular — PY ($m)</t>
  </si>
  <si>
    <t xml:space="preserve">  Structural Heart — U.S., PY ($m)</t>
  </si>
  <si>
    <t xml:space="preserve">  Structural Heart — Intl, PY ($m)</t>
  </si>
  <si>
    <t xml:space="preserve">  Structural Heart — PY ($m)</t>
  </si>
  <si>
    <t xml:space="preserve">  Neuromodulation — U.S., PY ($m)</t>
  </si>
  <si>
    <t xml:space="preserve">  Neuromodulation — Intl, PY ($m)</t>
  </si>
  <si>
    <t xml:space="preserve">  Neuromodulation — PY ($m)</t>
  </si>
  <si>
    <t xml:space="preserve">  Diabetes Care — U.S., PY ($m)</t>
  </si>
  <si>
    <t xml:space="preserve">  Diabetes Care — Intl, PY ($m)</t>
  </si>
  <si>
    <t xml:space="preserve">  Diabetes Care — PY ($m)</t>
  </si>
  <si>
    <t>Income statement — GAAP as reported, GAAP to adjusted bridge, EPS</t>
  </si>
  <si>
    <t>Income statement (GAAP, as reported)</t>
  </si>
  <si>
    <t>Net sales</t>
  </si>
  <si>
    <t>Linked from Revenue summary</t>
  </si>
  <si>
    <t>COGS excl. amortization</t>
  </si>
  <si>
    <t>10-Q [S11][S10][S9][S7][S6]; 4Q25 release [S4]; 3Q26E = adjusted COGS + specified items</t>
  </si>
  <si>
    <t>Amortization of intangible assets</t>
  </si>
  <si>
    <t>10-Q [S11][S10][S9][S7][S6]; 4Q25 release [S4]; 3Q26E assumption: full quarter of Exact intangibles, ~2Q26 run-rate</t>
  </si>
  <si>
    <t>Gross profit (after amort.)</t>
  </si>
  <si>
    <t>Issuer "Gross Margin" = sales less COGS and amortization [S2]</t>
  </si>
  <si>
    <t xml:space="preserve">  Gross margin</t>
  </si>
  <si>
    <t>Research and development</t>
  </si>
  <si>
    <t>10-Q [S11][S10][S9][S7][S6]; 4Q25 release [S4]</t>
  </si>
  <si>
    <t>Selling, general and administrative</t>
  </si>
  <si>
    <t>Total operating costs</t>
  </si>
  <si>
    <t>Operating earnings (GAAP)</t>
  </si>
  <si>
    <t xml:space="preserve">  Operating margin (GAAP)</t>
  </si>
  <si>
    <t>Interest expense</t>
  </si>
  <si>
    <t>10-Q gross interest [S11][S10][S9][S7][S6]; FY25 10-K [S8], 4Q25 = FY less 9M; 3Q26E assumption (Exact-assumed debt largely repaid in 2Q26 [S6])</t>
  </si>
  <si>
    <t>Interest (income)</t>
  </si>
  <si>
    <t>As above; 3Q26E assumption on ~$5.1bn cash at 30-Jun-26 [S6]</t>
  </si>
  <si>
    <t>Interest expense, net</t>
  </si>
  <si>
    <t>Ties to "Interest expense, net" in releases (e.g., 2Q26 $299m) [S2]</t>
  </si>
  <si>
    <t>Net foreign exchange (gain) loss</t>
  </si>
  <si>
    <t>10-Q [S11][S10][S9][S7][S6]; 4Q25 release [S4]; 3Q26E assumption ~ trailing average gain</t>
  </si>
  <si>
    <t>Other (income) expense, net</t>
  </si>
  <si>
    <t>Earnings before taxes</t>
  </si>
  <si>
    <t>Taxes on earnings</t>
  </si>
  <si>
    <t>10-Q [S11][S10][S9][S7][S6]; 4Q25 release [S4]; 3Q26E = adjusted tax + tax effect of specified items</t>
  </si>
  <si>
    <t xml:space="preserve">  Effective tax rate (GAAP)</t>
  </si>
  <si>
    <t>2025 periods: 2024 GAAP rate distorted by $7.5bn valuation-allowance release; not computed</t>
  </si>
  <si>
    <t>Net earnings (GAAP)</t>
  </si>
  <si>
    <t xml:space="preserve">  Net margin (GAAP)</t>
  </si>
  <si>
    <t xml:space="preserve">  Participating securities (% NI)</t>
  </si>
  <si>
    <t>Two-class method [S6]; ~0.4% estimated from gap between reported EPS and net earnings/diluted shares, 1Q25-2Q26 (single input)</t>
  </si>
  <si>
    <t>Wtd. avg. basic shares</t>
  </si>
  <si>
    <t>Linked from Share Count</t>
  </si>
  <si>
    <t>Wtd. avg. diluted shares</t>
  </si>
  <si>
    <t xml:space="preserve">  Basic EPS — calculated</t>
  </si>
  <si>
    <t xml:space="preserve">  Diluted EPS (GAAP) — calculated</t>
  </si>
  <si>
    <t>Diluted EPS (GAAP)</t>
  </si>
  <si>
    <t>Actuals linked to CapIQ history [S16] (= reported); FY25 $3.72 [S4]; 3Q26E rounded to $0.01 as reported</t>
  </si>
  <si>
    <t>Check: GAAP EPS = NI / shares</t>
  </si>
  <si>
    <t>C:I genuine checks (reported GAAP EPS vs calculated). 3Q26E (J) is a construction identity (J43 = ROUND(J42,2)) - structural, not independent verification.</t>
  </si>
  <si>
    <t>Memo: GAAP NI to common (2-class)</t>
  </si>
  <si>
    <t>Full label: Memo: net earnings to common (GAAP, two-class). Tracked target net_income_to_common (not scored): GAAP net earnings (row 33) x (1 - participating-securities allocation, row 37). Allocation ~0.4% is an estimated two-class assumption (see K37). Adjusted equivalent = J93 x (1 - J37) is the numerator of J96.</t>
  </si>
  <si>
    <t>GAAP to adjusted (non-GAAP) bridge — one row per adjustment</t>
  </si>
  <si>
    <t xml:space="preserve">  Add: intangible amortization</t>
  </si>
  <si>
    <t xml:space="preserve">  Add: acquisition-related</t>
  </si>
  <si>
    <t>"Details of Specified Items" tables [S4][S3][S2]; 3Q25 = FY25 less 1Q/2Q/4Q; 3Q26E assumption (Exact integration, ~2Q26 run-rate)</t>
  </si>
  <si>
    <t xml:space="preserve">  Add: restructuring</t>
  </si>
  <si>
    <t>As above; 3Q26E assumption</t>
  </si>
  <si>
    <t xml:space="preserve">  Add: other (legal, MDR, impairm.)</t>
  </si>
  <si>
    <t>2Q26 incl. $385m NEC legal reserve [S2]; 3Q26E = residual of by-line assumptions (J65 less J49:J51): ASSUMPTION, no independent source. RISK: Aug-2026 NEC settlements (~$670m aggregate [S14]) may add an unmodelled GAAP charge</t>
  </si>
  <si>
    <t>Total specified items, pre-tax</t>
  </si>
  <si>
    <t xml:space="preserve">  Add: tax on specified items</t>
  </si>
  <si>
    <t>Sign: added to GAAP net earnings (= minus the "Taxes on Earnings" specified column) [S5][S4][S3][S2]</t>
  </si>
  <si>
    <t>Adjusted net earnings</t>
  </si>
  <si>
    <t xml:space="preserve">  Adj. net earnings — reported</t>
  </si>
  <si>
    <t>Releases [S5][S4][S3][S2]; FY25 $9,040m [S4]</t>
  </si>
  <si>
    <t xml:space="preserve">  Check: bridge less reported</t>
  </si>
  <si>
    <t>Specified items by P&amp;L line (pre-tax)</t>
  </si>
  <si>
    <t xml:space="preserve">  In gross margin (incl. amort.)</t>
  </si>
  <si>
    <t>Non-GAAP reconciliation tables [S5][S4][S3][S2]</t>
  </si>
  <si>
    <t xml:space="preserve">    of which COGS excl. amort.</t>
  </si>
  <si>
    <t>3Q26E assumption: inventory step-up/integration + restructuring + MDR (~2Q26 ex-step-up)</t>
  </si>
  <si>
    <t xml:space="preserve">  In research and development</t>
  </si>
  <si>
    <t xml:space="preserve">  In SG&amp;A</t>
  </si>
  <si>
    <t>2Q26 incl. $385m legal reserve; 1Q26 incl. accelerated Exact equity awards [S3][S2]; 3Q26E assumption</t>
  </si>
  <si>
    <t xml:space="preserve">  In other (income) expense</t>
  </si>
  <si>
    <t>3Q26E assumption: none (no announced impairment)</t>
  </si>
  <si>
    <t>Total specified items by line</t>
  </si>
  <si>
    <t xml:space="preserve">  Check: by line less by category</t>
  </si>
  <si>
    <t>C:I genuine reconciliation of issuer by-line vs by-category tables. 3Q26E (J) is a construction identity (J52 is the residual of J65) - structural, not independent verification.</t>
  </si>
  <si>
    <t xml:space="preserve">  Deferred-tax adj. excluded</t>
  </si>
  <si>
    <t>Issuer excluded ~$160m (3Q25), ~$150m (4Q25), ~$200m (1Q26), ~$240m (2Q26) [S5][S4][S3][S2]; assumption</t>
  </si>
  <si>
    <t xml:space="preserve">  Tax rate on specified items</t>
  </si>
  <si>
    <t>Implied ~13-15% after removing discrete items, 3Q25-2Q26 [S5][S3][S2]; assumption</t>
  </si>
  <si>
    <t>Adjusted (non-GAAP) income statement — basis of consensus EPS</t>
  </si>
  <si>
    <t>Adjusted cost of products sold</t>
  </si>
  <si>
    <t>Adjusted gross margin ($m)</t>
  </si>
  <si>
    <t>Ties to "As Adjusted" gross margin, e.g. 2Q26 $7,307m [S2]</t>
  </si>
  <si>
    <t xml:space="preserve">  Adjusted gross margin %</t>
  </si>
  <si>
    <t>Adjusted R&amp;D</t>
  </si>
  <si>
    <t xml:space="preserve">  Adjusted R&amp;D % of sales</t>
  </si>
  <si>
    <t>Adjusted SG&amp;A</t>
  </si>
  <si>
    <t xml:space="preserve">  Adjusted SG&amp;A % of sales</t>
  </si>
  <si>
    <t>Adjusted operating earnings</t>
  </si>
  <si>
    <t>GOVERNING BUILD for scored EPS: 3Q26E = consolidated ratios J102:J104 applied to revenue. Segment build (J108) is a memo only; the $226.4m implied unallocated residual (J109) is UNRESOLVED (below $266m-$630m history) - see K109.</t>
  </si>
  <si>
    <t xml:space="preserve">  Adjusted operating margin</t>
  </si>
  <si>
    <t xml:space="preserve">  Interest expense, net</t>
  </si>
  <si>
    <t xml:space="preserve">  Net foreign exchange (gain) loss</t>
  </si>
  <si>
    <t xml:space="preserve">  Adj. other (income) expense, net</t>
  </si>
  <si>
    <t>3Q26E assumption: trailing four-quarter range $(145)-(166)m</t>
  </si>
  <si>
    <t>Adjusted earnings before taxes</t>
  </si>
  <si>
    <t xml:space="preserve">  Check: GAAP EBT + items - adj.</t>
  </si>
  <si>
    <t>C:I genuine reconciliation to reported figures. 3Q26E (J) is a construction identity (J29 is derived from J88 less by-line items J65) - structural, not independent verification.</t>
  </si>
  <si>
    <t xml:space="preserve">  Adjusted taxes</t>
  </si>
  <si>
    <t xml:space="preserve">  Adjusted tax rate</t>
  </si>
  <si>
    <t>Adj. net earnings (cons. basis)</t>
  </si>
  <si>
    <t xml:space="preserve">  Check: adj. P&amp;L NI less bridge</t>
  </si>
  <si>
    <t>C:I genuine (bridge also ties to reported adjusted NI in row 57). 3Q26E (J) is a construction identity (J55 and J93 share the same inputs) - structural, not independent verification.</t>
  </si>
  <si>
    <t xml:space="preserve">  Adj. diluted EPS — unrounded</t>
  </si>
  <si>
    <t>Adj. diluted EPS (cons. basis)</t>
  </si>
  <si>
    <t>Actuals linked to CapIQ normalized actuals (= issuer adjusted EPS) [S16]; FY25 $5.15 [S4]; 3Q26E rounded to $0.01 as issuer reports</t>
  </si>
  <si>
    <t>Check: adj. EPS = adj. NI / shares</t>
  </si>
  <si>
    <t>C:I genuine checks (CapIQ/reported adjusted EPS vs calculated). 3Q26E (J) is a construction identity (J97 = ROUND(J96,2)) - structural, not independent verification.</t>
  </si>
  <si>
    <t>Forecast assumptions (3Q26E, blue = input)</t>
  </si>
  <si>
    <t>Adj. gross margin % (assump.)</t>
  </si>
  <si>
    <t>JUDGMENT (original assumption retained, not changed): 2Q26 adj. GM 58.0% (+100bp Y/Y), broad-based mix (legacy + Exact) and margin initiatives; mgmt sees GM expansion as sustainable [S12]. Exact consolidated 23-Mar-26, so 2Q26 already had a full Exact quarter: no incremental Exact mix benefit claimed. EVIDENCE LIMITATION: S12 gives no 3Q GM guide and does not cite tariffs; 2025 GM was partly offset by costs incl. tariffs [S9][S8], but no 3Q26 lapping benefit is quantified. +18bp Q/Q vs 2025 seasonal -116bp (D73-&gt;E73). Sensitivity: GM held at 2Q26 58.02% =&gt; EPS ~$1.410 (-$0.011, rounds $1.41).</t>
  </si>
  <si>
    <t>Adj. R&amp;D % of sales (assump.)</t>
  </si>
  <si>
    <t>2Q26 6.9% [S12]</t>
  </si>
  <si>
    <t>Adj. SG&amp;A % of sales (assump.)</t>
  </si>
  <si>
    <t>2Q26 28.6% [S12]; 2Q-&gt;3Q seasonal decline (2025: -130bp)</t>
  </si>
  <si>
    <t>Adj. tax rate (assump.)</t>
  </si>
  <si>
    <t>1H26 adjusted rate 15.2% [S2]</t>
  </si>
  <si>
    <t>Memo: segment operating earnings vs adjusted operating earnings</t>
  </si>
  <si>
    <t>Total segment op. earnings</t>
  </si>
  <si>
    <t>Linked from segment tabs</t>
  </si>
  <si>
    <t>Implied unallocated costs</t>
  </si>
  <si>
    <t>UNRESOLVED / HIGH - not an EPS driver. 3Q26E $226.4m = segment build (J108) less consolidated adjusted OE (J81), below every historical quarter ($266m-$630m, C109:I109). COGS diagnostic: sum of segment COGS $5,552.2m vs adjusted consolidated COGS (J71) $5,401.1m = -$151.1m vs -$20m to +$91m in C:I. Basis: segment results are on an internal performance basis (corporate functions/benefits charged at predetermined rates; remaining costs and intangible amortization not allocated) [S6]; adjusted consolidated costs exclude issuer specified items. The residual is a between-bases diagnostic, not reported unallocated cost, and no positive historical band is an accounting rule - but this does not resolve the forecast tension. EPS is driven by consolidated ratios J102:J104; builds not reconciled; no calibration applied. Alternative assumptions (sensitivities, not corrections): unallocated $266m (historical low) ~$1.40; $375m (2Q26) ~$1.35; adj. COGS = segment COGS + $31m (2Q26 gap) ~$1.33. Reflected only in beat probability (Guidance!C48, -3pp).</t>
  </si>
  <si>
    <t>Memo: issuer-defined EBITDA</t>
  </si>
  <si>
    <t>Not applicable: Abbott does not report EBITDA or adjusted EBITDA; CapIQ EBITDA consensus (Inputs!C70) recorded only; operating income not relabelled; no figure fabricated. Tracked target, not scored.</t>
  </si>
  <si>
    <t>Prior-year comparatives (memo)</t>
  </si>
  <si>
    <t xml:space="preserve">  Net sales — PY</t>
  </si>
  <si>
    <t xml:space="preserve">  Gross profit — PY</t>
  </si>
  <si>
    <t>2024: sales less COGS less amortization from 2025 10-Q prior-year columns and 10-K [S11][S10][S9][S8]</t>
  </si>
  <si>
    <t xml:space="preserve">  Operating earnings (GAAP) — PY</t>
  </si>
  <si>
    <t xml:space="preserve">  Net earnings (GAAP) — PY</t>
  </si>
  <si>
    <t xml:space="preserve">  Diluted EPS (GAAP) — PY</t>
  </si>
  <si>
    <t xml:space="preserve">  Adjusted diluted EPS — PY</t>
  </si>
  <si>
    <t>1Q24 $0.98 / 2Q24 $1.14 implied by issuer growth disclosures; 3Q24/4Q24/FY24 per releases [S5][S4]</t>
  </si>
  <si>
    <t xml:space="preserve">  Adjusted gross margin — PY</t>
  </si>
  <si>
    <t>3Q24/4Q24/FY24 non-GAAP reconciliations [S5][S4]; 1Q24/2Q24 not in sources (unavailable)</t>
  </si>
  <si>
    <t xml:space="preserve">  Adjusted R&amp;D — PY</t>
  </si>
  <si>
    <t>[S5][S4]</t>
  </si>
  <si>
    <t xml:space="preserve">  Adjusted SG&amp;A — PY</t>
  </si>
  <si>
    <t xml:space="preserve">  Adjusted net earnings — PY</t>
  </si>
  <si>
    <t>Balance sheet — as reported (period end)</t>
  </si>
  <si>
    <t>Assets</t>
  </si>
  <si>
    <t xml:space="preserve">  Cash and cash equivalents</t>
  </si>
  <si>
    <t>10-Q / 10-K balance sheets [S11][S10][S9][S8][S7][S6]; 3Q26E from Cash Flow Statement</t>
  </si>
  <si>
    <t xml:space="preserve">  Short-term investments</t>
  </si>
  <si>
    <t>10-Q / 10-K balance sheets [S11][S10][S9][S8][S7][S6]; 3Q26E held flat</t>
  </si>
  <si>
    <t xml:space="preserve">  Trade receivables, net</t>
  </si>
  <si>
    <t>10-Q / 10-K balance sheets [S11][S10][S9][S8][S7][S6]; 3Q26E = prior less CF working-capital line</t>
  </si>
  <si>
    <t xml:space="preserve">    Finished products</t>
  </si>
  <si>
    <t>10-Q / 10-K balance sheets [S11][S10][S9][S8][S7][S6]; 3Q26E inventory build assigned to finished products</t>
  </si>
  <si>
    <t xml:space="preserve">    Work in process</t>
  </si>
  <si>
    <t>10-Q / 10-K balance sheets [S11][S10][S9][S8][S7][S6]</t>
  </si>
  <si>
    <t xml:space="preserve">    Materials</t>
  </si>
  <si>
    <t xml:space="preserve">  Total inventories</t>
  </si>
  <si>
    <t xml:space="preserve">  Prepaid &amp; other receivables</t>
  </si>
  <si>
    <t>Total current assets</t>
  </si>
  <si>
    <t xml:space="preserve">  Investments</t>
  </si>
  <si>
    <t xml:space="preserve">  Property and equipment, at cost</t>
  </si>
  <si>
    <t>10-Q / 10-K balance sheets [S11][S10][S9][S8][S7][S6]; 3Q26E + capex</t>
  </si>
  <si>
    <t xml:space="preserve">  Less: accumulated depreciation</t>
  </si>
  <si>
    <t>10-Q / 10-K balance sheets [S11][S10][S9][S8][S7][S6]; 3Q26E + depreciation</t>
  </si>
  <si>
    <t xml:space="preserve">  Net property and equipment</t>
  </si>
  <si>
    <t xml:space="preserve">  Intangible assets, net</t>
  </si>
  <si>
    <t>10-Q / 10-K balance sheets [S11][S10][S9][S8][S7][S6]; 3Q26E less amortization</t>
  </si>
  <si>
    <t xml:space="preserve">  Goodwill</t>
  </si>
  <si>
    <t xml:space="preserve">  Deferred taxes &amp; other assets</t>
  </si>
  <si>
    <t>Total assets</t>
  </si>
  <si>
    <t>Liabilities</t>
  </si>
  <si>
    <t xml:space="preserve">  Trade accounts payable</t>
  </si>
  <si>
    <t xml:space="preserve">  Salaries, wages and commissions</t>
  </si>
  <si>
    <t xml:space="preserve">  Other accrued liabilities</t>
  </si>
  <si>
    <t>10-Q / 10-K balance sheets [S11][S10][S9][S8][S7][S6]; 3Q26E + CF "Other, net"</t>
  </si>
  <si>
    <t xml:space="preserve">  Dividends payable</t>
  </si>
  <si>
    <t>10-Q / 10-K balance sheets [S11][S10][S9][S8][S7][S6]; 3Q26E = dividend declared 17-Sep-2026 payable Nov</t>
  </si>
  <si>
    <t xml:space="preserve">  Income taxes payable</t>
  </si>
  <si>
    <t xml:space="preserve">  Current portion of long-term debt</t>
  </si>
  <si>
    <t>10-Q / 10-K balance sheets [S11][S10][S9][S8][S7][S6]; 3Q26E no net debt change assumed</t>
  </si>
  <si>
    <t>Total current liabilities</t>
  </si>
  <si>
    <t xml:space="preserve">  Long-term debt</t>
  </si>
  <si>
    <t xml:space="preserve">  Post-employment, def. tax &amp; other</t>
  </si>
  <si>
    <t>Total liabilities</t>
  </si>
  <si>
    <t>Shareholders' investment</t>
  </si>
  <si>
    <t xml:space="preserve">  Common shares</t>
  </si>
  <si>
    <t>10-Q / 10-K balance sheets [S11][S10][S9][S8][S7][S6]; 3Q26E + share-based comp + option proceeds</t>
  </si>
  <si>
    <t xml:space="preserve">  Common shares held in treasury</t>
  </si>
  <si>
    <t>10-Q / 10-K balance sheets [S11][S10][S9][S8][S7][S6]; 3Q26E less repurchases</t>
  </si>
  <si>
    <t xml:space="preserve">  Earnings employed in the business</t>
  </si>
  <si>
    <t>10-Q / 10-K balance sheets [S11][S10][S9][S8][S7][S6]; 3Q26E + GAAP net earnings - dividends declared</t>
  </si>
  <si>
    <t xml:space="preserve">  Accumulated OCI</t>
  </si>
  <si>
    <t>Total Abbott equity</t>
  </si>
  <si>
    <t xml:space="preserve">  Noncontrolling interests</t>
  </si>
  <si>
    <t>Total shareholders' investment</t>
  </si>
  <si>
    <t>Total liabilities &amp; equity</t>
  </si>
  <si>
    <t>Check: assets - liabs. - equity</t>
  </si>
  <si>
    <t>Total assets — as reported</t>
  </si>
  <si>
    <t>Check: total assets less reported</t>
  </si>
  <si>
    <t>Memo</t>
  </si>
  <si>
    <t>Total debt</t>
  </si>
  <si>
    <t>Net debt</t>
  </si>
  <si>
    <t>CapIQ net debt consensus field $25,897m [S15] uses its own definition</t>
  </si>
  <si>
    <t>Trade working capital</t>
  </si>
  <si>
    <t>Net debt / annualized adj. OE (x)</t>
  </si>
  <si>
    <t xml:space="preserve">  Change Q/Q (x)</t>
  </si>
  <si>
    <t>Cash flow statement — quarterly (derived from reported year-to-date)</t>
  </si>
  <si>
    <t>Operating activities</t>
  </si>
  <si>
    <t xml:space="preserve">  Net earnings (GAAP)</t>
  </si>
  <si>
    <t>Quarter = YTD less prior YTD; 3Q26E linked from Income Statement</t>
  </si>
  <si>
    <t xml:space="preserve">  Depreciation</t>
  </si>
  <si>
    <t>3Q26E assumption: 2Q26 $402m run-rate</t>
  </si>
  <si>
    <t xml:space="preserve">  Amortization of intangible assets</t>
  </si>
  <si>
    <t xml:space="preserve">  Share-based compensation</t>
  </si>
  <si>
    <t>3Q26E assumption: 2Q26 $168m; 3Q25 $120m</t>
  </si>
  <si>
    <t xml:space="preserve">  Trade receivables</t>
  </si>
  <si>
    <t>3Q26E assumption (3Q25 -$202m)</t>
  </si>
  <si>
    <t xml:space="preserve">  Inventories</t>
  </si>
  <si>
    <t>3Q26E assumption (launch builds; 3Q25 +$213m, 2Q26 -$301m)</t>
  </si>
  <si>
    <t xml:space="preserve">  Other, net</t>
  </si>
  <si>
    <t>3Q26E assumption (3Q25 +$221m). FY25 = sum of 10-K lines below</t>
  </si>
  <si>
    <t>Cash from operations</t>
  </si>
  <si>
    <t>Investing activities</t>
  </si>
  <si>
    <t xml:space="preserve">  Capital expenditures</t>
  </si>
  <si>
    <t>3Q26E assumption (~$0.5bn/quarter run-rate)</t>
  </si>
  <si>
    <t xml:space="preserve">  Acquisitions of businesses</t>
  </si>
  <si>
    <t>1Q26 Exact Sciences $19.8bn [S7]; 3Q26E none announced</t>
  </si>
  <si>
    <t xml:space="preserve">  Investment securities, net</t>
  </si>
  <si>
    <t>3Q26E assumption</t>
  </si>
  <si>
    <t xml:space="preserve">  Other investing</t>
  </si>
  <si>
    <t>Cash from investing</t>
  </si>
  <si>
    <t>Financing activities</t>
  </si>
  <si>
    <t xml:space="preserve">  Short-term debt, net and other</t>
  </si>
  <si>
    <t xml:space="preserve">  Proceeds from long-term debt</t>
  </si>
  <si>
    <t>1Q26 $20bn Exact financing [S7]; 3Q26E assumption</t>
  </si>
  <si>
    <t xml:space="preserve">  Repayments of long-term debt</t>
  </si>
  <si>
    <t>3Q26E assumption: maturities refinanced (net nil)</t>
  </si>
  <si>
    <t xml:space="preserve">  Purchases of common shares</t>
  </si>
  <si>
    <t>3Q26E linked from Share Count</t>
  </si>
  <si>
    <t xml:space="preserve">  Stock option proceeds</t>
  </si>
  <si>
    <t xml:space="preserve">  Dividends paid</t>
  </si>
  <si>
    <t>3Q26E = dividend payable at 30-Jun-26 (paid Aug-26) [S6]</t>
  </si>
  <si>
    <t xml:space="preserve">  Other financing</t>
  </si>
  <si>
    <t>Cash from financing</t>
  </si>
  <si>
    <t xml:space="preserve">  Effect of exchange rates on cash</t>
  </si>
  <si>
    <t>Net increase (decrease) in cash</t>
  </si>
  <si>
    <t>Cash at beginning of period</t>
  </si>
  <si>
    <t>31-Dec-2024 cash $7,616m [S8]</t>
  </si>
  <si>
    <t>Cash at end of period</t>
  </si>
  <si>
    <t>Check: CF cash less BS cash</t>
  </si>
  <si>
    <t>Change in cash ties to the Balance Sheet</t>
  </si>
  <si>
    <t>Check: CF less IS amortization</t>
  </si>
  <si>
    <t>Check: CF less IS net earnings</t>
  </si>
  <si>
    <t>Free cash flow and other memo</t>
  </si>
  <si>
    <t>FCF (OCF less capex)</t>
  </si>
  <si>
    <t>Abbott does not publish an issuer-defined FCF in quarterly materials; shown for reference only</t>
  </si>
  <si>
    <t xml:space="preserve">  FCF / adjusted net earnings</t>
  </si>
  <si>
    <t xml:space="preserve">  Capex % of sales</t>
  </si>
  <si>
    <t>Dividends declared ($m)</t>
  </si>
  <si>
    <t>Dividends DECLARED per statements of shareholders' investment [S11][S10][S9][S7][S6]; FY25 declared $4,189m ($2.40/share) = 10-K 'Cash dividends declared on common shares' [S8]; 4Q25 = FY less 9M declared $3,091m [S9] = $1,098m (derived). Not the 31-Dec-25 dividends PAYABLE balance ($1,097m, a BS stock) nor dividends PAID (row 31). r3: FY25 corrected from $4,158m (-$31m source error). 3Q26E $0.63 x shares outstanding [S28]</t>
  </si>
  <si>
    <t>Reported year-to-date (inputs; quarters above are differences)</t>
  </si>
  <si>
    <t xml:space="preserve">  Net earnings — YTD</t>
  </si>
  <si>
    <t>Cash flow statements (YTD) [S11][S10][S9][S8][S7][S6]</t>
  </si>
  <si>
    <t xml:space="preserve">  Depreciation — YTD</t>
  </si>
  <si>
    <t xml:space="preserve">  Amortization — YTD</t>
  </si>
  <si>
    <t xml:space="preserve">  Share-based comp. — YTD</t>
  </si>
  <si>
    <t xml:space="preserve">  Trade receivables — YTD</t>
  </si>
  <si>
    <t xml:space="preserve">  Inventories — YTD</t>
  </si>
  <si>
    <t xml:space="preserve">  Other, net — YTD</t>
  </si>
  <si>
    <t xml:space="preserve">  Capex — YTD</t>
  </si>
  <si>
    <t xml:space="preserve">  Acquisitions — YTD</t>
  </si>
  <si>
    <t xml:space="preserve">  Investment securities, net — YTD</t>
  </si>
  <si>
    <t xml:space="preserve">  Other investing — YTD</t>
  </si>
  <si>
    <t xml:space="preserve">  Short-term debt, net — YTD</t>
  </si>
  <si>
    <t xml:space="preserve">  LT debt proceeds — YTD</t>
  </si>
  <si>
    <t xml:space="preserve">  LT debt repayments — YTD</t>
  </si>
  <si>
    <t xml:space="preserve">  Share repurchases — YTD</t>
  </si>
  <si>
    <t xml:space="preserve">  Option proceeds — YTD</t>
  </si>
  <si>
    <t xml:space="preserve">  Dividends paid — YTD</t>
  </si>
  <si>
    <t xml:space="preserve">  Other financing — YTD</t>
  </si>
  <si>
    <t xml:space="preserve">  FX effect on cash — YTD</t>
  </si>
  <si>
    <t xml:space="preserve">  OCF — YTD as reported</t>
  </si>
  <si>
    <t xml:space="preserve">  Check: YTD components less OCF</t>
  </si>
  <si>
    <t xml:space="preserve">    10-K: invest./financing losses</t>
  </si>
  <si>
    <t>10-K operating-activity detail aggregated into "Other, net" to match 10-Q presentation [S8]</t>
  </si>
  <si>
    <t xml:space="preserve">    10-K: prepaid &amp; other assets</t>
  </si>
  <si>
    <t xml:space="preserve">    10-K: payables &amp; other liabs.</t>
  </si>
  <si>
    <t xml:space="preserve">    FY25 10-K: income taxes</t>
  </si>
  <si>
    <t>Revenue by geography — U.S. vs international</t>
  </si>
  <si>
    <t>U.S. revenue ($m)</t>
  </si>
  <si>
    <t>Segment U.S. sales + unallocated Other (U.S.) [S6]; Established Pharma sells only outside the U.S.</t>
  </si>
  <si>
    <t xml:space="preserve">  U.S. comparable PY base ($m)</t>
  </si>
  <si>
    <t xml:space="preserve">  U.S. CY scope adjustments ($m)</t>
  </si>
  <si>
    <t>U.S. sales are USD-denominated</t>
  </si>
  <si>
    <t>International revenue ($m)</t>
  </si>
  <si>
    <t>Sum of segment international sales [S6]</t>
  </si>
  <si>
    <t xml:space="preserve">  Intl revenue excl. FX ($m)</t>
  </si>
  <si>
    <t xml:space="preserve">  Intl comparable PY base ($m)</t>
  </si>
  <si>
    <t xml:space="preserve">  Intl CY scope adjustments ($m)</t>
  </si>
  <si>
    <t>Check: Geo total less revenue</t>
  </si>
  <si>
    <t xml:space="preserve">  U.S. revenue — PY ($m)</t>
  </si>
  <si>
    <t xml:space="preserve">  International revenue — PY ($m)</t>
  </si>
  <si>
    <t>Sales by country — annual disclosure only (10-K) [S8]</t>
  </si>
  <si>
    <t xml:space="preserve">  United States ($m)</t>
  </si>
  <si>
    <t>10-K geographic information (R92) [S8]; quarterly country data not disclosed</t>
  </si>
  <si>
    <t xml:space="preserve">    United States — FY24 ($m)</t>
  </si>
  <si>
    <t>[S8]</t>
  </si>
  <si>
    <t xml:space="preserve">    % of total</t>
  </si>
  <si>
    <t xml:space="preserve">      Change Y/Y (bp)</t>
  </si>
  <si>
    <t xml:space="preserve">  Germany ($m)</t>
  </si>
  <si>
    <t xml:space="preserve">    Germany — FY24 ($m)</t>
  </si>
  <si>
    <t xml:space="preserve">  China ($m)</t>
  </si>
  <si>
    <t xml:space="preserve">    China — FY24 ($m)</t>
  </si>
  <si>
    <t xml:space="preserve">  Switzerland ($m)</t>
  </si>
  <si>
    <t xml:space="preserve">    Switzerland — FY24 ($m)</t>
  </si>
  <si>
    <t xml:space="preserve">  India ($m)</t>
  </si>
  <si>
    <t xml:space="preserve">    India — FY24 ($m)</t>
  </si>
  <si>
    <t xml:space="preserve">  Japan ($m)</t>
  </si>
  <si>
    <t xml:space="preserve">    Japan — FY24 ($m)</t>
  </si>
  <si>
    <t xml:space="preserve">  United Kingdom ($m)</t>
  </si>
  <si>
    <t xml:space="preserve">    United Kingdom — FY24 ($m)</t>
  </si>
  <si>
    <t xml:space="preserve">  All other countries ($m)</t>
  </si>
  <si>
    <t xml:space="preserve">    All other countries — FY24 ($m)</t>
  </si>
  <si>
    <t>Total by country ($m)</t>
  </si>
  <si>
    <t xml:space="preserve">  Total by country — FY24 ($m)</t>
  </si>
  <si>
    <t xml:space="preserve">  Organic / M&amp;A / FX split by country</t>
  </si>
  <si>
    <t>Not disclosed by country (10-K gives reported sales only) [S8]</t>
  </si>
  <si>
    <t>Check: country total less revenue</t>
  </si>
  <si>
    <t>Check: 10-K U.S. less segments</t>
  </si>
  <si>
    <t>Share count — weighted shares, buybacks and forecast diluted shares (millions)</t>
  </si>
  <si>
    <t>Period-end share count</t>
  </si>
  <si>
    <t>Common shares issued (m)</t>
  </si>
  <si>
    <t>Balance sheet share data and statements of shareholders' investment [S11][S10][S9][S8][S7][S6]</t>
  </si>
  <si>
    <t>Shares held in treasury (m)</t>
  </si>
  <si>
    <t>Shares out, period end</t>
  </si>
  <si>
    <t xml:space="preserve">  Q/Q change (m)</t>
  </si>
  <si>
    <t>Shares outstanding, beginning (m)</t>
  </si>
  <si>
    <t>31-Dec-2024: 1,991.473m issued less 259.775m treasury [S11]</t>
  </si>
  <si>
    <t>Weighted average shares</t>
  </si>
  <si>
    <t>10-Q EPS denominators [S11][S10][S9][S7][S6]; FY25 10-K 1,741m [S8]; 4Q25 basic not disclosed (unavailable)</t>
  </si>
  <si>
    <t>4Q25 basic not disclosed, so 4Q25 and 1Q26 Q/Q unavailable</t>
  </si>
  <si>
    <t>Dilutive options &amp; awards (m)</t>
  </si>
  <si>
    <t>[S11][S10][S9][S8][S7][S6]; 3Q26E assumption: modestly above 2Q26 as average share price rose (~$104 vs ~$90)</t>
  </si>
  <si>
    <t>4Q25 diluted 1,747m per 4Q25 release [S4]</t>
  </si>
  <si>
    <t xml:space="preserve">  Basic less avg. outstanding (m)</t>
  </si>
  <si>
    <t>Unvested participating awards and intra-quarter timing; 3Q26E = 5-quarter average</t>
  </si>
  <si>
    <t>Buybacks and issuance</t>
  </si>
  <si>
    <t>Share repurchases ($m)</t>
  </si>
  <si>
    <t>Cash flow statement [S6]; 3Q26E assumption $0.5bn (2Q26 $1.04bn; $5.65bn authorization remaining [S6])</t>
  </si>
  <si>
    <t>Shares repurchased (m)</t>
  </si>
  <si>
    <t>Treasury "Purchased" shares in equity statements [S11][S10][S9][S7][S6] (incl. tax withholding); 4Q25 not separately disclosed</t>
  </si>
  <si>
    <t>Avg. price per bought-back share</t>
  </si>
  <si>
    <t>2Q26 open-market average $89.70 [S6]; 3Q26E ~$104 average Q3 price (month-end market caps [S21]); n/a where purchases were withholding-only</t>
  </si>
  <si>
    <t>Weighting of 3Q26E buybacks</t>
  </si>
  <si>
    <t>Assumes ratable purchases through the quarter</t>
  </si>
  <si>
    <t>Net shares issued, incentives (m)</t>
  </si>
  <si>
    <t>3Q26E assumption (3Q25: ~0.8m issued). Entered fully weighted (not time-weighted) while buybacks use the 50% weight in J29: original timing assumption retained, contrast documented. Half-weighting would give EPS ~1.4216 vs 1.4215 (still $1.42); not applied.</t>
  </si>
  <si>
    <t>Dividend declared per share ($)</t>
  </si>
  <si>
    <t>[S5][S4][S3][S2]; 411th consecutive dividend $0.63 declared 17-Sep-2026</t>
  </si>
  <si>
    <t>Market cap at cutoff ($m)</t>
  </si>
  <si>
    <t>Shares outstanding 30-Jun-26 x CapIQ last close $104.89; cross-check $181.5bn on 16-Oct-2026 [S21]</t>
  </si>
  <si>
    <t>Diluted shares, 3Q26E EPS</t>
  </si>
  <si>
    <t>Guidance — issuer guidance history, outcomes and beat-probability calibration</t>
  </si>
  <si>
    <t>Column headers: see row 9 (non-period tab)</t>
  </si>
  <si>
    <t>Guidance item (metric / period)</t>
  </si>
  <si>
    <t>Date issued</t>
  </si>
  <si>
    <t>Low</t>
  </si>
  <si>
    <t>High</t>
  </si>
  <si>
    <t>Midpoint</t>
  </si>
  <si>
    <t>Actual</t>
  </si>
  <si>
    <t>Act. - mid</t>
  </si>
  <si>
    <t>Outcome</t>
  </si>
  <si>
    <t>Quarterly adjusted diluted EPS guidance</t>
  </si>
  <si>
    <t>Adj. EPS — 1Q25</t>
  </si>
  <si>
    <t>1Q25</t>
  </si>
  <si>
    <t>Above mid</t>
  </si>
  <si>
    <t>[S24]</t>
  </si>
  <si>
    <t>Adj. EPS — 2Q25</t>
  </si>
  <si>
    <t>2Q25</t>
  </si>
  <si>
    <t>[S23]</t>
  </si>
  <si>
    <t>Adj. EPS — 3Q25</t>
  </si>
  <si>
    <t>3Q25</t>
  </si>
  <si>
    <t>At mid</t>
  </si>
  <si>
    <t>[S22]</t>
  </si>
  <si>
    <t>Adj. EPS — 4Q25 (implied)</t>
  </si>
  <si>
    <t>4Q25</t>
  </si>
  <si>
    <t>No explicit 4Q25 guide; implied from FY25 $5.12-5.18 [S5] less 9M25 actual $3.65 [S5]</t>
  </si>
  <si>
    <t>Adj. EPS — 1Q26</t>
  </si>
  <si>
    <t>1Q26</t>
  </si>
  <si>
    <t>[S4]</t>
  </si>
  <si>
    <t>Adj. EPS — 2Q26</t>
  </si>
  <si>
    <t>2Q26</t>
  </si>
  <si>
    <t>[S3]</t>
  </si>
  <si>
    <t>Adj. EPS — 3Q26 (target)</t>
  </si>
  <si>
    <t>3Q26</t>
  </si>
  <si>
    <t>Pending</t>
  </si>
  <si>
    <t>[S2]; actual pending (report 21-Oct-2026)</t>
  </si>
  <si>
    <t xml:space="preserve">  Shortcut 3Q26E vs guide mid</t>
  </si>
  <si>
    <t>model</t>
  </si>
  <si>
    <t xml:space="preserve">  9M25 adj. EPS (memo)</t>
  </si>
  <si>
    <t>Sum of 1Q25-3Q25 reported adjusted EPS; issuer 9M25 $3.65 [S5]</t>
  </si>
  <si>
    <t>Full-year guidance</t>
  </si>
  <si>
    <t>Adj. EPS — FY25 (initial)</t>
  </si>
  <si>
    <t>FY25</t>
  </si>
  <si>
    <t>Adj. EPS — FY25 (July)</t>
  </si>
  <si>
    <t>Adj. EPS — FY25 (October)</t>
  </si>
  <si>
    <t>[S5]</t>
  </si>
  <si>
    <t>Organic ex-COVID — FY25</t>
  </si>
  <si>
    <t>Below range</t>
  </si>
  <si>
    <t>Initial Jan-25 range 7.5-8.5% [S24]; July/Oct 7.5-8.0% [S22][S5]; actual 6.7% [S4]</t>
  </si>
  <si>
    <t>Adj. EPS — FY26 (initial)</t>
  </si>
  <si>
    <t>FY26</t>
  </si>
  <si>
    <t>Adj. EPS — FY26 (April)</t>
  </si>
  <si>
    <t>Adj. EPS — FY26 (July, raised)</t>
  </si>
  <si>
    <t>[S2]</t>
  </si>
  <si>
    <t>Comparable growth — FY26</t>
  </si>
  <si>
    <t>Organic in Jan; comparable (incl. Exact) from Apr [S4][S3][S2]</t>
  </si>
  <si>
    <t>FX impact on sales — 3Q26</t>
  </si>
  <si>
    <t>"approximately 1%" negative [S12]; FY26 ~+1%</t>
  </si>
  <si>
    <t xml:space="preserve">  Implied 4Q26 adj. EPS</t>
  </si>
  <si>
    <t>derived</t>
  </si>
  <si>
    <t>4Q26</t>
  </si>
  <si>
    <t>Beat-probability calibration (playbook v2: size and issuer history)</t>
  </si>
  <si>
    <t>Item</t>
  </si>
  <si>
    <t>Value</t>
  </si>
  <si>
    <t>Share Count tab; $181.5bn on 16-Oct-2026 [S21]</t>
  </si>
  <si>
    <t>Size bucket</t>
  </si>
  <si>
    <t>Large</t>
  </si>
  <si>
    <t>S&amp;P 500 member</t>
  </si>
  <si>
    <t>Yes</t>
  </si>
  <si>
    <t>Source-conditional: inferred from 'S&amp;P 500 Dividend Aristocrats member' statement in issuer release [S2] (Aristocrat status implies S&amp;P 500 membership); no separate index-membership source in workbook.</t>
  </si>
  <si>
    <t>Cohort prior (large / S&amp;P 500)</t>
  </si>
  <si>
    <t>Cohort prior 0.78 (large OR S&amp;P 500, applied once) per the frozen forecasting-playbook.md attached to the original run (header 'v2 experimental: size and issuer history', section 7; sha256 1f08987c...cd1e7d0): start p = (8 x prior + b)/(8 + n). Rounded experimental hypothesis, not an empirical probability. Retained unchanged.</t>
  </si>
  <si>
    <t>Valid EPS pairs (n)</t>
  </si>
  <si>
    <t>Strict beats (b)</t>
  </si>
  <si>
    <t>Pseudo-count</t>
  </si>
  <si>
    <t>Start p = (k*prior+b)/(k+n)</t>
  </si>
  <si>
    <t>Avg. surprise ($/share, 6 qtrs)</t>
  </si>
  <si>
    <t>Surprises: +$0.02, 0, 0, +$0.01, 0, +$0.03</t>
  </si>
  <si>
    <t xml:space="preserve">  Update: guide mid &gt; consensus</t>
  </si>
  <si>
    <t>Guidance history above</t>
  </si>
  <si>
    <t xml:space="preserve">  Update: lower share count</t>
  </si>
  <si>
    <t>Share Count tab</t>
  </si>
  <si>
    <t xml:space="preserve">  Update: mean &lt; median ($1.42)</t>
  </si>
  <si>
    <t>[S15]</t>
  </si>
  <si>
    <t xml:space="preserve">  Update: J&amp;J MedTech intl weak</t>
  </si>
  <si>
    <t>[S19]</t>
  </si>
  <si>
    <t xml:space="preserve">  Update: tough comp; rev &lt; cons.</t>
  </si>
  <si>
    <t>Revenue summary</t>
  </si>
  <si>
    <t xml:space="preserve">  Update: segment-margin check</t>
  </si>
  <si>
    <t>Income Statement memo: implied unallocated costs vs history</t>
  </si>
  <si>
    <t>Final P(EPS &gt; $1.41 consensus)</t>
  </si>
  <si>
    <t>A high beat probability is not a large expected surprise: model EPS sits ~1c above consensus; no EPS uplift applied for beat history</t>
  </si>
  <si>
    <t>Sources — every hardcoded input is referenced by ID in the Notes column of each tab</t>
  </si>
  <si>
    <t>ID — short title</t>
  </si>
  <si>
    <t>Published</t>
  </si>
  <si>
    <t>Publisher</t>
  </si>
  <si>
    <t>What it feeds</t>
  </si>
  <si>
    <t>URL or file — full title</t>
  </si>
  <si>
    <t>S1 — Q3 call date notice</t>
  </si>
  <si>
    <t>Abbott / PR Newswire</t>
  </si>
  <si>
    <t>Report date and timing (Cover)</t>
  </si>
  <si>
    <t>https://abbott.mediaroom.com/2026-09-30-Abbott-hosts-conference-call-for-third-quarter-earnings — Abbott: hosts conference call for third-quarter earnings (3Q26 results 21-Oct-2026, before market open). Feeds: Report date and timing (Cover)</t>
  </si>
  <si>
    <t>S2 — 2Q26 earnings release</t>
  </si>
  <si>
    <t>IS 2Q26, bridge, segment growth, guidance</t>
  </si>
  <si>
    <t>https://www.prnewswire.com/news-releases/abbott-reports-second-quarter-2026-results-and-raises-full-year-eps-guidance-302827508.html — Abbott 2Q26 earnings release (sales, segments, non-GAAP and comparable-growth reconciliations, 3Q26 EPS guidance). Feeds: IS 2Q26, bridge, segment growth, guidance</t>
  </si>
  <si>
    <t>S3 — 1Q26 earnings release</t>
  </si>
  <si>
    <t>IS 1Q26, bridge, comparable growth, guidance</t>
  </si>
  <si>
    <t>https://www.prnewswire.com/news-releases/abbott-reports-first-quarter-2026-results-updates-guidance-to-reflect-acquisition-of-exact-sciences-302744652.html — Abbott 1Q26 earnings release. Feeds: IS 1Q26, bridge, comparable growth, guidance</t>
  </si>
  <si>
    <t>S4 — 4Q25/FY25 earnings release</t>
  </si>
  <si>
    <t>IS 4Q25/FY25, 4Q25 sales by line, organic…</t>
  </si>
  <si>
    <t>https://www.prnewswire.com/news-releases/abbott-reports-fourth-quarter-and-full-year-2025-results-issues-2026-financial-outlook-302668032.html — Abbott 4Q25 and FY25 earnings release. Feeds: IS 4Q25/FY25, 4Q25 sales by line, organic growth, FY26 guidance</t>
  </si>
  <si>
    <t>S5 — 3Q25 earnings release</t>
  </si>
  <si>
    <t>IS 3Q25, organic growth by line, bridge,…</t>
  </si>
  <si>
    <t>https://www.prnewswire.com/news-releases/abbott-reports-third-quarter-2025-results-and-reaffirms-full-year-guidance-302584746.html — Abbott 3Q25 earnings release. Feeds: IS 3Q25, organic growth by line, bridge, FY25 guidance</t>
  </si>
  <si>
    <t>S6 — 10-Q 2Q26</t>
  </si>
  <si>
    <t>SEC EDGAR</t>
  </si>
  <si>
    <t>BS, CF, sales by line (2Q26, recast 2Q25),…</t>
  </si>
  <si>
    <t>https://www.sec.gov/Archives/edgar/data/1800/000162828026050134/abt-20260630.htm — Abbott Form 10-Q for quarter ended 30-Jun-2026. Feeds: BS, CF, sales by line (2Q26, recast 2Q25), segment earnings, shares, buybacks</t>
  </si>
  <si>
    <t>S7 — 10-Q 1Q26</t>
  </si>
  <si>
    <t>BS, CF, sales by line (1Q26, recast 1Q25),…</t>
  </si>
  <si>
    <t>https://www.sec.gov/Archives/edgar/data/1800/000162828026028357/abt-20260331.htm — Abbott Form 10-Q for quarter ended 31-Mar-2026. Feeds: BS, CF, sales by line (1Q26, recast 1Q25), segment earnings, shares</t>
  </si>
  <si>
    <t>S8 — 10-K FY25 (+XBRL R89/R92)</t>
  </si>
  <si>
    <t>FY25 BS/CF, FY25/FY24 sales by line, FY…</t>
  </si>
  <si>
    <t>https://www.sec.gov/Archives/edgar/data/1800/000162828026010185/abt-20251231.htm — Abbott Form 10-K for FY2025 (incl. XBRL R89 segment detail). Feeds: FY25 BS/CF, FY25/FY24 sales by line, FY segment costs, FY shares</t>
  </si>
  <si>
    <t>S9 — 10-Q 3Q25</t>
  </si>
  <si>
    <t>3Q25 BS/CF/sales by line/segment earnings;…</t>
  </si>
  <si>
    <t>https://www.sec.gov/Archives/edgar/data/1800/000162828025047131/abt-20250930.htm — Abbott Form 10-Q for quarter ended 30-Sep-2025. Feeds: 3Q25 BS/CF/sales by line/segment earnings; 3Q24 comparatives</t>
  </si>
  <si>
    <t>S10 — 10-Q 2Q25</t>
  </si>
  <si>
    <t>2Q25 BS/CF/sales by line/segment earnings;…</t>
  </si>
  <si>
    <t>https://www.sec.gov/Archives/edgar/data/1800/000162828025036720/abt-20250630.htm — Abbott Form 10-Q for quarter ended 30-Jun-2025. Feeds: 2Q25 BS/CF/sales by line/segment earnings; 2Q24 comparatives</t>
  </si>
  <si>
    <t>S11 — 10-Q 1Q25</t>
  </si>
  <si>
    <t>1Q25 BS/CF/sales by line/segment earnings;…</t>
  </si>
  <si>
    <t>https://www.sec.gov/Archives/edgar/data/1800/000162828025021090/abt-20250331.htm — Abbott Form 10-Q for quarter ended 31-Mar-2025. Feeds: 1Q25 BS/CF/sales by line/segment earnings; 1Q24 comparatives</t>
  </si>
  <si>
    <t>S12 — 2Q26 call transcript</t>
  </si>
  <si>
    <t>StockAnalysis.com</t>
  </si>
  <si>
    <t>FX driver, margin assumptions, segment…</t>
  </si>
  <si>
    <t>https://stockanalysis.com/stocks/abt/transcripts/650270-q2-2026/ — Abbott 2Q26 earnings call transcript (FX -1% on 3Q26 sales; margins; 2H acceleration drivers). Feeds: FX driver, margin assumptions, segment growth assumptions</t>
  </si>
  <si>
    <t>S13 — Exact Sciences 3Q25 results</t>
  </si>
  <si>
    <t>Exact Sciences</t>
  </si>
  <si>
    <t>Cancer Diagnostics comparable prior-year…</t>
  </si>
  <si>
    <t>https://www.exactsciences.com/news-events/press-releases/exact-sciences-announces-third-quarter-2025-results — Exact Sciences 3Q25 results (revenue $851m). Feeds: Cancer Diagnostics comparable prior-year base for 3Q26E</t>
  </si>
  <si>
    <t>S14 — 8-K NEC settlements</t>
  </si>
  <si>
    <t>GAAP specified-item risk (not in adjusted EPS)</t>
  </si>
  <si>
    <t>https://www.sec.gov/Archives/edgar/data/1800/000110465926099247/tm2623675d1_8k.htm — Abbott Form 8-K: NEC litigation settlements (~$670m aggregate). Feeds: GAAP specified-item risk (not in adjusted EPS)</t>
  </si>
  <si>
    <t>S15 — CapIQ consensus snapshot</t>
  </si>
  <si>
    <t>S&amp;P Capital IQ (file)</t>
  </si>
  <si>
    <t>Frozen consensus on Cover; Inputs</t>
  </si>
  <si>
    <t>ABT_consensus.json — S&amp;P Capital IQ consensus snapshot ABT_consensus.json (as of 2026-10-18). Feeds: Frozen consensus on Cover; Inputs</t>
  </si>
  <si>
    <t>S16 — CapIQ 6-quarter history</t>
  </si>
  <si>
    <t>Actual EPS/revenue links, beat history</t>
  </si>
  <si>
    <t>ABT_history.csv — S&amp;P Capital IQ six-quarter history ABT_history.csv. Feeds: Actual EPS/revenue links, beat history</t>
  </si>
  <si>
    <t>S17 — Zacks Q3 preview</t>
  </si>
  <si>
    <t>Zacks via Yahoo Finance</t>
  </si>
  <si>
    <t>Other-source consensus memo (older than 18-Oct CapIQ),…</t>
  </si>
  <si>
    <t>https://finance.yahoo.com/markets/stocks/articles/countdown-abbott-abt-q3-earnings-121527686.html — Zacks: Countdown to Abbott Q3 earnings (segment consensus; EPS $1.42, revenue $12.97bn). Feeds: Other-source consensus memo (16-Oct; older than 18-Oct frozen CapIQ [S15]; recorded separately), segment cross-checks</t>
  </si>
  <si>
    <t>S18 — Hudson Labs Q3 preview</t>
  </si>
  <si>
    <t>Hudson Labs</t>
  </si>
  <si>
    <t>Drivers to watch; consensus context</t>
  </si>
  <si>
    <t>https://www.hudson-labs.com/research/abbott-q3-2026-earnings-preview-abt-revenue-guidance-key-drivers — Hudson Labs: Abbott Q3 2026 earnings preview. Feeds: Drivers to watch; consensus context</t>
  </si>
  <si>
    <t>S19 — J&amp;J 3Q26 results (peer)</t>
  </si>
  <si>
    <t>CNBC / MassDevice</t>
  </si>
  <si>
    <t>Beat-probability evidence (peer)</t>
  </si>
  <si>
    <t>https://www.cnbc.com/2026/10/13/jnj-earnings-q3-2026.html — J&amp;J 3Q26 results: MedTech +2.5%, international flat (peer read-across). Feeds: Beat-probability evidence (peer)</t>
  </si>
  <si>
    <t>S20 — US dollar Q3 2026 review</t>
  </si>
  <si>
    <t>DataPorium (Fed H.10)</t>
  </si>
  <si>
    <t>FX assumption cross-check</t>
  </si>
  <si>
    <t>https://dataporium.tech/articles/us-dollar-q3-2026-yen-intervention-currencies — US dollar in Q3 2026: broad index flat over the quarter. Feeds: FX assumption cross-check</t>
  </si>
  <si>
    <t>S21 — ABT market cap 16-Oct-26</t>
  </si>
  <si>
    <t>Size bucket for prior; repurchase price…</t>
  </si>
  <si>
    <t>https://stockanalysis.com/stocks/abt/market-cap/ — Abbott market cap $181.5bn at 16-Oct-2026 close; month-end history. Feeds: Size bucket for prior; repurchase price assumption</t>
  </si>
  <si>
    <t>S22 — 2Q25 release (3Q25 guide)</t>
  </si>
  <si>
    <t>Abbott / SEC 8-K</t>
  </si>
  <si>
    <t>Guidance history</t>
  </si>
  <si>
    <t>https://www.sec.gov/Archives/edgar/data/1800/000162828025035135/abt-2025q2xexhibitx991.htm — Abbott 2Q25 earnings release (3Q25 EPS guidance $1.28-1.32). Feeds: Guidance history</t>
  </si>
  <si>
    <t>S23 — 1Q25 release (2Q25 guide)</t>
  </si>
  <si>
    <t>https://www.sec.gov/Archives/edgar/data/1800/000162828025017924/abt-2025q1xexhibitx991.htm — Abbott 1Q25 earnings release (2Q25 EPS guidance $1.23-1.27). Feeds: Guidance history</t>
  </si>
  <si>
    <t>S24 — 4Q24 release (1Q25 guide)</t>
  </si>
  <si>
    <t>https://www.sec.gov/Archives/edgar/data/1800/000162828025002092/abt-2024q4xexhibitx991.htm — Abbott 4Q24 earnings release (1Q25 EPS guidance $1.05-1.09; FY25 $5.05-5.25). Feeds: Guidance history</t>
  </si>
  <si>
    <t>S25 — StoneX note (mkt cap)</t>
  </si>
  <si>
    <t>Investing.com</t>
  </si>
  <si>
    <t>Context only</t>
  </si>
  <si>
    <t>https://www.investing.com/news/analyst-ratings/stonex-reiterates-buy-on-abbott-labs-stock-ahead-of-earnings-93CH-4954497 — StoneX reiterates Buy ahead of earnings (market cap $181bn; options imply ~4.7% move). Feeds: Context only</t>
  </si>
  <si>
    <t>S26 — Libre Duo / TactiFlex FDA</t>
  </si>
  <si>
    <t>Abbott newsroom / FDA</t>
  </si>
  <si>
    <t>Qualitative support for EP and Diabetes…</t>
  </si>
  <si>
    <t>https://www.abbott.com/en-us/corpnewsroom/strategy-and-strength/abbotts-pipeline-in-2026-a-look-at-the-healthcare-r-d-clinical-programs-and-product-launches-shaping-future-growth — FDA authorizes Libre Duo 10 Day (25-Aug-2026); TactiFlex Duo FDA approval (Sep-2026). Feeds: Qualitative support for EP and Diabetes Care assumptions</t>
  </si>
  <si>
    <t>S27 — MarketBeat consensus memo</t>
  </si>
  <si>
    <t>MarketBeat</t>
  </si>
  <si>
    <t>Other-source consensus memo</t>
  </si>
  <si>
    <t>https://www.americanbankingnews.com/2026/10/14/abbott-laboratories-abt-set-to-release-earnings-on-wednesday.html — Analysts expect $1.42 EPS / $13.00bn revenue (other-source consensus, 14-Oct; older than 18-Oct frozen CapIQ [S15]; recorded separately). Feeds: Other-source consensus memo</t>
  </si>
  <si>
    <t>S28 — 411th dividend declared</t>
  </si>
  <si>
    <t>Abbott via StockTitan</t>
  </si>
  <si>
    <t>Dividend declared 3Q26E</t>
  </si>
  <si>
    <t>https://www.stocktitan.net/news/ABT/ — Abbott declares 411th consecutive quarterly dividend ($0.63, payable 16-Nov-2026). Feeds: Dividend declared 3Q26E</t>
  </si>
  <si>
    <t>Tab coverage: all template tabs carry content; none omitted (multi-segment issuer; U.S./international disclosed quarterly in 10-Q [S6])</t>
  </si>
  <si>
    <t>Retrieval: all web sources fetched 2026-10-19 UTC via web_fetch/web search; every source dated before the 2026-10-18 21:34 UTC cutoff; no 3Q26 actuals seen</t>
  </si>
  <si>
    <t>Inputs — S&amp;P Capital IQ files (raw, unedited; blanks preserved as unavailable)</t>
  </si>
  <si>
    <t>Column headers: see rows 9 / 100 (non-period tab)</t>
  </si>
  <si>
    <t>ABT_consensus.json — top-level fields</t>
  </si>
  <si>
    <t>source</t>
  </si>
  <si>
    <t>S&amp;P Capital IQ</t>
  </si>
  <si>
    <t>ticker</t>
  </si>
  <si>
    <t>ABT</t>
  </si>
  <si>
    <t>company</t>
  </si>
  <si>
    <t>fiscal_period</t>
  </si>
  <si>
    <t>FQ3 2026 - Sep 2026</t>
  </si>
  <si>
    <t>period_end_date</t>
  </si>
  <si>
    <t>2026-09-30</t>
  </si>
  <si>
    <t>as_of_date</t>
  </si>
  <si>
    <t>2026-10-18</t>
  </si>
  <si>
    <t>analyst_count</t>
  </si>
  <si>
    <t>consensus_eps</t>
  </si>
  <si>
    <t>eps_basis</t>
  </si>
  <si>
    <t>(raw text in Notes column)</t>
  </si>
  <si>
    <t>Normalized diluted EPS per ordinary/common share, USD; verify issuer adjustments and share identity [S15]</t>
  </si>
  <si>
    <t>consensus_revenue_m</t>
  </si>
  <si>
    <t>currency</t>
  </si>
  <si>
    <t>USD</t>
  </si>
  <si>
    <t>summary_sha256</t>
  </si>
  <si>
    <t>e59b846434f90c9b5de8c2ed951fd1b25c1f6d0217c680f72dea41992051a49d [S15]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</si>
  <si>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</si>
  <si>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</si>
  <si>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</si>
  <si>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</si>
  <si>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</si>
  <si>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</si>
  <si>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</si>
  <si>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</si>
  <si>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</si>
  <si>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</si>
  <si>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(list in Notes column)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</si>
  <si>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 [S15]</t>
  </si>
  <si>
    <t>ABT_consensus.json — complete summary_row (raw)</t>
  </si>
  <si>
    <t>company_name</t>
  </si>
  <si>
    <t>exchange_ticker</t>
  </si>
  <si>
    <t>NYSE:ABT</t>
  </si>
  <si>
    <t>capiq_company_id</t>
  </si>
  <si>
    <t>247483</t>
  </si>
  <si>
    <t>currency_basis</t>
  </si>
  <si>
    <t>fiscal_year_end</t>
  </si>
  <si>
    <t>Dec-31</t>
  </si>
  <si>
    <t>fiscal_quarter</t>
  </si>
  <si>
    <t>quarter_end_date</t>
  </si>
  <si>
    <t>expected_report_date</t>
  </si>
  <si>
    <t>2026-10-21</t>
  </si>
  <si>
    <t>normalized diluted and GAAP diluted, as labelled [S15]</t>
  </si>
  <si>
    <t>eps_normalized_estimates</t>
  </si>
  <si>
    <t>eps_normalized_contributors</t>
  </si>
  <si>
    <t>detail_tab_total_contributors</t>
  </si>
  <si>
    <t>Blank in source: unavailable (not zero)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</si>
  <si>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</si>
  <si>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</si>
  <si>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</si>
  <si>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</si>
  <si>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</si>
  <si>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</si>
  <si>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</si>
  <si>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</si>
  <si>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</si>
  <si>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</si>
  <si>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</si>
  <si>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</si>
  <si>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</si>
  <si>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</si>
  <si>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</si>
  <si>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</si>
  <si>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</si>
  <si>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</si>
  <si>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</si>
  <si>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</si>
  <si>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</si>
  <si>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</si>
  <si>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</si>
  <si>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</si>
  <si>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</si>
  <si>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</si>
  <si>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</si>
  <si>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</si>
  <si>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</si>
  <si>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</si>
  <si>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</si>
  <si>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</si>
  <si>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</si>
  <si>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</si>
  <si>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</si>
  <si>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</si>
  <si>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</si>
  <si>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</si>
  <si>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</si>
  <si>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</si>
  <si>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</si>
  <si>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</si>
  <si>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</si>
  <si>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</si>
  <si>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</si>
  <si>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</si>
  <si>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</si>
  <si>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</si>
  <si>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</si>
  <si>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</si>
  <si>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</si>
  <si>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</si>
  <si>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</si>
  <si>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</si>
  <si>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132.03/81.97</t>
  </si>
  <si>
    <t>estimates_captured_at</t>
  </si>
  <si>
    <t>notes</t>
  </si>
  <si>
    <t>GAAP actuals run well below GAAP consensus in the last three quarters (0.53 vs 0.95 most recently) while normalized tracks closely; charges are sitting outside the normalized figure, so use normalized for scoring [S15]</t>
  </si>
  <si>
    <t>ABT_history.csv — all six rows (raw)</t>
  </si>
  <si>
    <t>report_date</t>
  </si>
  <si>
    <t>norm cons</t>
  </si>
  <si>
    <t>norm act</t>
  </si>
  <si>
    <t>GAAP cons</t>
  </si>
  <si>
    <t>GAAP act</t>
  </si>
  <si>
    <t>rev cons</t>
  </si>
  <si>
    <t>rev act</t>
  </si>
  <si>
    <t>surprise $</t>
  </si>
  <si>
    <t>Columns: eps_normalized_consensus, eps_normalized_actual, eps_gaap_consensus, eps_gaap_actual, revenue_m_consensus, revenue_m_actual; surprise = norm act - norm cons</t>
  </si>
  <si>
    <t>2025-04-16</t>
  </si>
  <si>
    <t>[S16]</t>
  </si>
  <si>
    <t>2025-07-17</t>
  </si>
  <si>
    <t>2025-10-15</t>
  </si>
  <si>
    <t>2026-01-22</t>
  </si>
  <si>
    <t>2026-04-16</t>
  </si>
  <si>
    <t>2026-07-16</t>
  </si>
  <si>
    <t>SHA256 ABT_consensus.json</t>
  </si>
  <si>
    <t>6f4fd62f6900e92644502e8b8c10cdda08f792a34b68c320b99d3f070c945e81</t>
  </si>
  <si>
    <t>SHA256 ABT_history.csv</t>
  </si>
  <si>
    <t>1a084f9b9a7401227a4852290880cfa0ccd2f48712ed1e6c18943f802d6192b2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</si>
</sst>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245" formatCode="#,##0.0_);(#,##0.0);&quot;–&quot;_)"/>
    <numFmt numFmtId="16246" formatCode="#,##0_);(#,##0);&quot;–&quot;_)"/>
    <numFmt numFmtId="16247" formatCode="0.0%_);(0.0%);&quot;–&quot;_)"/>
    <numFmt numFmtId="16248" formatCode="$0.00_);($0.00);&quot;–&quot;_)"/>
    <numFmt numFmtId="16251" formatCode="yyyy-mm-dd"/>
    <numFmt numFmtId="16258" formatCode="0.0&quot;x&quot;_);(0.0&quot;x&quot;)"/>
    <numFmt numFmtId="16294" formatCode="#,##0.0000_);(#,##0.0000);&quot;–&quot;_)"/>
    <numFmt numFmtId="16296" formatCode="0.0000"/>
    <numFmt numFmtId="16298" formatCode="#,##0.00_);(#,##0.00);&quot;–&quot;_)"/>
    <numFmt numFmtId="16301" formatCode="0.00_);(0.00);&quot;–&quot;_)"/>
  </numFmts>
  <fonts count="19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/>
      <i val="0"/>
      <sz val="10"/>
      <color rgb="FF006100"/>
      <name val="Arial"/>
    </font>
    <font>
      <b val="0"/>
      <i/>
      <sz val="10"/>
      <color rgb="FF404040"/>
      <name val="Arial"/>
    </font>
    <font>
      <b val="0"/>
      <i/>
      <sz val="10"/>
      <color rgb="FF000000"/>
      <name val="Arial"/>
    </font>
    <font>
      <b val="0"/>
      <i val="0"/>
      <sz val="10"/>
      <color rgb="FF0000FF"/>
      <name val="Arial"/>
    </font>
    <font>
      <b/>
      <i/>
      <sz val="10"/>
      <color rgb="FF404040"/>
      <name val="Arial"/>
    </font>
    <font>
      <b val="0"/>
      <i val="0"/>
      <sz val="10"/>
      <color rgb="FF006100"/>
      <name val="Arial"/>
    </font>
    <font>
      <b/>
      <i val="0"/>
      <sz val="12"/>
      <color rgb="FF000000"/>
      <name val="Arial"/>
    </font>
    <font>
      <b/>
      <i val="0"/>
      <sz val="10"/>
      <color rgb="FF0000FF"/>
      <name val="Arial"/>
    </font>
    <font>
      <b val="0"/>
      <i/>
      <sz val="10"/>
      <color rgb="FF0000FF"/>
      <name val="Arial"/>
    </font>
    <font>
      <b val="0"/>
      <i/>
      <sz val="10"/>
      <color rgb="FF006100"/>
      <name val="Arial"/>
    </font>
    <font>
      <b/>
      <i/>
      <sz val="10"/>
      <color rgb="FF000000"/>
      <name val="Arial"/>
    </font>
    <font>
      <b val="0"/>
      <i val="0"/>
      <sz val="11"/>
      <color rgb="FF006100"/>
      <name val="Calibri"/>
    </font>
    <font>
      <b val="0"/>
      <i val="0"/>
      <sz val="11"/>
      <color rgb="FF000000"/>
      <name val="Calibri"/>
    </font>
    <font>
      <b val="0"/>
      <i val="0"/>
      <sz val="11"/>
      <color rgb="FF0000FF"/>
      <name val="Calibri"/>
    </font>
    <font>
      <b val="0"/>
      <i/>
      <sz val="11"/>
      <color rgb="FF404040"/>
      <name val="Calibri"/>
    </font>
    <font>
      <b/>
      <i val="0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EEF3FA"/>
      </patternFill>
    </fill>
  </fills>
  <borders count="10">
    <border>
      <left/>
      <right/>
      <top/>
      <bottom/>
    </border>
    <border>
      <left/>
      <right/>
      <top/>
      <bottom/>
      <diagonal/>
    </border>
    <border>
      <top style="thin">
        <color rgb="FF808080"/>
      </top>
      <bottom style="thin">
        <color rgb="FF808080"/>
      </bottom>
    </border>
    <border>
      <top style="thin">
        <color rgb="FF808080"/>
      </top>
    </border>
    <border>
      <bottom style="thin">
        <color rgb="FF808080"/>
      </bottom>
    </border>
    <border>
      <top style="thin">
        <color rgb="FF000000"/>
      </top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1"/>
  </cellStyleXfs>
  <cellXfs count="87">
    <xf numFmtId="0" fontId="0" fillId="0" borderId="1" xfId="0"/>
    <xf numFmtId="0" fontId="1" fillId="0" borderId="1" xfId="0"/>
    <xf numFmtId="0" fontId="9" fillId="0" borderId="1" xfId="0"/>
    <xf numFmtId="0" fontId="2" fillId="0" borderId="1" xfId="0"/>
    <xf numFmtId="0" fontId="5" fillId="0" borderId="1" xfId="0"/>
    <xf numFmtId="0" fontId="2" fillId="2" borderId="6" xfId="0"/>
    <xf numFmtId="0" fontId="2" fillId="2" borderId="6" xfId="0">
      <alignment horizontal="right" vertical="bottom"/>
    </xf>
    <xf numFmtId="0" fontId="1" fillId="2" borderId="1" xfId="0"/>
    <xf numFmtId="16251" fontId="1" fillId="2" borderId="1" xfId="0">
      <alignment horizontal="right" vertical="bottom"/>
    </xf>
    <xf numFmtId="0" fontId="1" fillId="2" borderId="7" xfId="0"/>
    <xf numFmtId="1" fontId="1" fillId="2" borderId="7" xfId="0">
      <alignment horizontal="right" vertical="bottom"/>
    </xf>
    <xf numFmtId="0" fontId="4" fillId="0" borderId="1" xfId="0"/>
    <xf numFmtId="0" fontId="1" fillId="0" borderId="1" xfId="0">
      <alignment horizontal="left" vertical="bottom"/>
    </xf>
    <xf numFmtId="0" fontId="1" fillId="0" borderId="1" xfId="0">
      <alignment horizontal="right" vertical="bottom"/>
    </xf>
    <xf numFmtId="0" fontId="2" fillId="2" borderId="8" xfId="0"/>
    <xf numFmtId="0" fontId="2" fillId="2" borderId="8" xfId="0">
      <alignment horizontal="right" vertical="bottom"/>
    </xf>
    <xf numFmtId="0" fontId="7" fillId="2" borderId="8" xfId="0"/>
    <xf numFmtId="16245" fontId="3" fillId="0" borderId="1" xfId="0">
      <alignment horizontal="right" vertical="bottom"/>
    </xf>
    <xf numFmtId="16245" fontId="2" fillId="0" borderId="1" xfId="0">
      <alignment horizontal="right" vertical="bottom"/>
    </xf>
    <xf numFmtId="16247" fontId="2" fillId="0" borderId="1" xfId="0">
      <alignment horizontal="right" vertical="bottom"/>
    </xf>
    <xf numFmtId="0" fontId="2" fillId="0" borderId="1" xfId="0">
      <alignment horizontal="right" vertical="bottom"/>
    </xf>
    <xf numFmtId="16246" fontId="3" fillId="0" borderId="1" xfId="0">
      <alignment horizontal="right" vertical="bottom"/>
    </xf>
    <xf numFmtId="16248" fontId="3" fillId="0" borderId="1" xfId="0">
      <alignment horizontal="right" vertical="bottom"/>
    </xf>
    <xf numFmtId="16248" fontId="2" fillId="0" borderId="1" xfId="0">
      <alignment horizontal="right" vertical="bottom"/>
    </xf>
    <xf numFmtId="16247" fontId="3" fillId="0" borderId="1" xfId="0">
      <alignment horizontal="right" vertical="bottom"/>
    </xf>
    <xf numFmtId="0" fontId="3" fillId="0" borderId="1" xfId="0">
      <alignment horizontal="right" vertical="bottom"/>
    </xf>
    <xf numFmtId="16248" fontId="8" fillId="0" borderId="1" xfId="0">
      <alignment horizontal="right" vertical="bottom"/>
    </xf>
    <xf numFmtId="16245" fontId="8" fillId="0" borderId="1" xfId="0">
      <alignment horizontal="right" vertical="bottom"/>
    </xf>
    <xf numFmtId="16248" fontId="6" fillId="0" borderId="1" xfId="0">
      <alignment horizontal="right" vertical="bottom"/>
    </xf>
    <xf numFmtId="16245" fontId="6" fillId="0" borderId="1" xfId="0">
      <alignment horizontal="right" vertical="bottom"/>
    </xf>
    <xf numFmtId="16294" fontId="8" fillId="0" borderId="1" xfId="0">
      <alignment horizontal="right" vertical="bottom"/>
    </xf>
    <xf numFmtId="16296" fontId="6" fillId="0" borderId="1" xfId="0">
      <alignment horizontal="right" vertical="bottom"/>
    </xf>
    <xf numFmtId="16248" fontId="1" fillId="0" borderId="1" xfId="0">
      <alignment horizontal="right" vertical="bottom"/>
    </xf>
    <xf numFmtId="16245" fontId="1" fillId="0" borderId="1" xfId="0">
      <alignment horizontal="right" vertical="bottom"/>
    </xf>
    <xf numFmtId="16294" fontId="1" fillId="0" borderId="1" xfId="0">
      <alignment horizontal="right" vertical="bottom"/>
    </xf>
    <xf numFmtId="0" fontId="1" fillId="3" borderId="1" xfId="0"/>
    <xf numFmtId="0" fontId="5" fillId="0" borderId="1" xfId="0">
      <alignment horizontal="right" vertical="bottom"/>
    </xf>
    <xf numFmtId="16247" fontId="11" fillId="3" borderId="1" xfId="0">
      <alignment horizontal="right" vertical="bottom"/>
    </xf>
    <xf numFmtId="16247" fontId="5" fillId="3" borderId="1" xfId="0">
      <alignment horizontal="right" vertical="bottom"/>
    </xf>
    <xf numFmtId="16245" fontId="3" fillId="0" borderId="9" xfId="0">
      <alignment horizontal="right" vertical="bottom"/>
    </xf>
    <xf numFmtId="16245" fontId="3" fillId="3" borderId="9" xfId="0">
      <alignment horizontal="right" vertical="bottom"/>
    </xf>
    <xf numFmtId="16247" fontId="12" fillId="0" borderId="1" xfId="0">
      <alignment horizontal="right" vertical="bottom"/>
    </xf>
    <xf numFmtId="16247" fontId="12" fillId="3" borderId="1" xfId="0">
      <alignment horizontal="right" vertical="bottom"/>
    </xf>
    <xf numFmtId="16245" fontId="1" fillId="3" borderId="1" xfId="0">
      <alignment horizontal="right" vertical="bottom"/>
    </xf>
    <xf numFmtId="16247" fontId="5" fillId="0" borderId="1" xfId="0">
      <alignment horizontal="right" vertical="bottom"/>
    </xf>
    <xf numFmtId="16246" fontId="12" fillId="0" borderId="1" xfId="0">
      <alignment horizontal="right" vertical="bottom"/>
    </xf>
    <xf numFmtId="16246" fontId="12" fillId="3" borderId="1" xfId="0">
      <alignment horizontal="right" vertical="bottom"/>
    </xf>
    <xf numFmtId="16246" fontId="5" fillId="0" borderId="1" xfId="0">
      <alignment horizontal="right" vertical="bottom"/>
    </xf>
    <xf numFmtId="16246" fontId="5" fillId="3" borderId="1" xfId="0">
      <alignment horizontal="right" vertical="bottom"/>
    </xf>
    <xf numFmtId="16245" fontId="10" fillId="0" borderId="9" xfId="0">
      <alignment horizontal="right" vertical="bottom"/>
    </xf>
    <xf numFmtId="16245" fontId="2" fillId="0" borderId="9" xfId="0">
      <alignment horizontal="right" vertical="bottom"/>
    </xf>
    <xf numFmtId="16245" fontId="2" fillId="3" borderId="9" xfId="0">
      <alignment horizontal="right" vertical="bottom"/>
    </xf>
    <xf numFmtId="0" fontId="1" fillId="3" borderId="1" xfId="0">
      <alignment horizontal="right" vertical="bottom"/>
    </xf>
    <xf numFmtId="16245" fontId="8" fillId="3" borderId="1" xfId="0">
      <alignment horizontal="right" vertical="bottom"/>
    </xf>
    <xf numFmtId="16247" fontId="11" fillId="0" borderId="1" xfId="0">
      <alignment horizontal="right" vertical="bottom"/>
    </xf>
    <xf numFmtId="0" fontId="5" fillId="3" borderId="1" xfId="0">
      <alignment horizontal="right" vertical="bottom"/>
    </xf>
    <xf numFmtId="0" fontId="2" fillId="0" borderId="9" xfId="0">
      <alignment horizontal="right" vertical="bottom"/>
    </xf>
    <xf numFmtId="0" fontId="2" fillId="3" borderId="9" xfId="0">
      <alignment horizontal="right" vertical="bottom"/>
    </xf>
    <xf numFmtId="16245" fontId="6" fillId="3" borderId="1" xfId="0">
      <alignment horizontal="right" vertical="bottom"/>
    </xf>
    <xf numFmtId="16248" fontId="1" fillId="3" borderId="1" xfId="0">
      <alignment horizontal="right" vertical="bottom"/>
    </xf>
    <xf numFmtId="16248" fontId="3" fillId="0" borderId="9" xfId="0">
      <alignment horizontal="right" vertical="bottom"/>
    </xf>
    <xf numFmtId="16248" fontId="10" fillId="0" borderId="9" xfId="0">
      <alignment horizontal="right" vertical="bottom"/>
    </xf>
    <xf numFmtId="16248" fontId="2" fillId="3" borderId="9" xfId="0">
      <alignment horizontal="right" vertical="bottom"/>
    </xf>
    <xf numFmtId="16258" fontId="8" fillId="0" borderId="1" xfId="0">
      <alignment horizontal="right" vertical="bottom"/>
    </xf>
    <xf numFmtId="16258" fontId="8" fillId="3" borderId="1" xfId="0">
      <alignment horizontal="right" vertical="bottom"/>
    </xf>
    <xf numFmtId="16258" fontId="1" fillId="0" borderId="1" xfId="0">
      <alignment horizontal="right" vertical="bottom"/>
    </xf>
    <xf numFmtId="16258" fontId="1" fillId="3" borderId="1" xfId="0">
      <alignment horizontal="right" vertical="bottom"/>
    </xf>
    <xf numFmtId="16248" fontId="6" fillId="3" borderId="1" xfId="0">
      <alignment horizontal="right" vertical="bottom"/>
    </xf>
    <xf numFmtId="16251" fontId="8" fillId="0" borderId="1" xfId="0">
      <alignment horizontal="right" vertical="bottom"/>
    </xf>
    <xf numFmtId="0" fontId="4" fillId="0" borderId="1" xfId="0">
      <alignment horizontal="left" vertical="bottom" indent="1"/>
    </xf>
    <xf numFmtId="16251" fontId="12" fillId="0" borderId="1" xfId="0">
      <alignment horizontal="right" vertical="bottom"/>
    </xf>
    <xf numFmtId="0" fontId="7" fillId="2" borderId="8" xfId="0">
      <alignment horizontal="left" vertical="bottom" indent="1"/>
    </xf>
    <xf numFmtId="16246" fontId="8" fillId="0" borderId="1" xfId="0">
      <alignment horizontal="right" vertical="bottom"/>
    </xf>
    <xf numFmtId="16246" fontId="6" fillId="0" borderId="1" xfId="0">
      <alignment horizontal="right" vertical="bottom"/>
    </xf>
    <xf numFmtId="0" fontId="13" fillId="0" borderId="1" xfId="0"/>
    <xf numFmtId="16247" fontId="13" fillId="0" borderId="1" xfId="0">
      <alignment horizontal="right" vertical="bottom"/>
    </xf>
    <xf numFmtId="0" fontId="13" fillId="0" borderId="1" xfId="0">
      <alignment horizontal="right" vertical="bottom"/>
    </xf>
    <xf numFmtId="16247" fontId="13" fillId="0" borderId="9" xfId="0">
      <alignment horizontal="right" vertical="bottom"/>
    </xf>
    <xf numFmtId="0" fontId="13" fillId="0" borderId="9" xfId="0">
      <alignment horizontal="right" vertical="bottom"/>
    </xf>
    <xf numFmtId="0" fontId="2" fillId="2" borderId="8" xfId="0">
      <alignment horizontal="left" vertical="bottom" indent="1"/>
    </xf>
    <xf numFmtId="0" fontId="2" fillId="2" borderId="8" xfId="0">
      <alignment horizontal="left" vertical="bottom"/>
    </xf>
    <xf numFmtId="16251" fontId="6" fillId="0" borderId="1" xfId="0">
      <alignment horizontal="right" vertical="bottom"/>
    </xf>
    <xf numFmtId="0" fontId="1" fillId="0" borderId="1" xfId="0">
      <alignment horizontal="left" vertical="bottom" indent="1"/>
    </xf>
    <xf numFmtId="0" fontId="6" fillId="0" borderId="1" xfId="0">
      <alignment horizontal="right" vertical="bottom"/>
    </xf>
    <xf numFmtId="16298" fontId="6" fillId="0" borderId="1" xfId="0">
      <alignment horizontal="right" vertical="bottom"/>
    </xf>
    <xf numFmtId="16301" fontId="6" fillId="0" borderId="1" xfId="0">
      <alignment horizontal="right" vertical="bottom"/>
    </xf>
    <xf numFmtId="16251" fontId="1" fillId="0" borderId="1" xfId="0">
      <alignment horizontal="lef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609600</xdr:colOff>
      <xdr:row>3</xdr:row>
      <xdr:rowOff>38100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3810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A0FA498-CE4F-5C17-9938-F229EB98EB4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10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3</v>
      </c>
      <c r="C5" s="6"/>
      <c r="D5" s="6"/>
      <c r="E5" s="6"/>
      <c r="F5" s="6"/>
      <c r="G5" s="6"/>
      <c r="H5" s="6"/>
      <c r="I5" s="6"/>
      <c r="J5" s="6"/>
      <c r="K5" s="5" t="s">
        <v>4</v>
      </c>
    </row>
    <row r="6" ht="15" customHeight="1">
      <c r="A6" s="1"/>
      <c r="B6" s="7"/>
      <c r="C6" s="8"/>
      <c r="D6" s="8"/>
      <c r="E6" s="8"/>
      <c r="F6" s="8"/>
      <c r="G6" s="8"/>
      <c r="H6" s="8"/>
      <c r="I6" s="8"/>
      <c r="J6" s="8"/>
      <c r="K6" s="7"/>
    </row>
    <row r="7" ht="15" customHeight="1">
      <c r="A7" s="1"/>
      <c r="B7" s="9"/>
      <c r="C7" s="10"/>
      <c r="D7" s="10"/>
      <c r="E7" s="10"/>
      <c r="F7" s="10"/>
      <c r="G7" s="10"/>
      <c r="H7" s="10"/>
      <c r="I7" s="10"/>
      <c r="J7" s="10"/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1"/>
    </row>
    <row r="9" ht="15" customHeight="1">
      <c r="A9" s="1"/>
      <c r="B9" s="1" t="s">
        <v>5</v>
      </c>
      <c r="C9" s="12" t="s">
        <v>6</v>
      </c>
      <c r="D9" s="13"/>
      <c r="E9" s="13"/>
      <c r="F9" s="13"/>
      <c r="G9" s="13"/>
      <c r="H9" s="13"/>
      <c r="I9" s="13"/>
      <c r="J9" s="13"/>
      <c r="K9" s="11"/>
    </row>
    <row r="10" ht="15" customHeight="1">
      <c r="A10" s="1"/>
      <c r="B10" s="1" t="s">
        <v>7</v>
      </c>
      <c r="C10" s="12" t="s">
        <v>8</v>
      </c>
      <c r="D10" s="13"/>
      <c r="E10" s="13"/>
      <c r="F10" s="13"/>
      <c r="G10" s="13"/>
      <c r="H10" s="13"/>
      <c r="I10" s="13"/>
      <c r="J10" s="13"/>
      <c r="K10" s="11"/>
    </row>
    <row r="11" ht="15" customHeight="1">
      <c r="A11" s="1"/>
      <c r="B11" s="1" t="s">
        <v>9</v>
      </c>
      <c r="C11" s="12" t="s">
        <v>10</v>
      </c>
      <c r="D11" s="13"/>
      <c r="E11" s="13"/>
      <c r="F11" s="13"/>
      <c r="G11" s="13"/>
      <c r="H11" s="13"/>
      <c r="I11" s="13"/>
      <c r="J11" s="13"/>
      <c r="K11" s="11"/>
    </row>
    <row r="12" ht="15" customHeight="1">
      <c r="A12" s="1"/>
      <c r="B12" s="1" t="s">
        <v>11</v>
      </c>
      <c r="C12" s="12" t="s">
        <v>12</v>
      </c>
      <c r="D12" s="13"/>
      <c r="E12" s="13"/>
      <c r="F12" s="13"/>
      <c r="G12" s="13"/>
      <c r="H12" s="13"/>
      <c r="I12" s="13"/>
      <c r="J12" s="13"/>
      <c r="K12" s="11"/>
    </row>
    <row r="13" ht="15" customHeight="1">
      <c r="A13" s="1"/>
      <c r="B13" s="1" t="s">
        <v>13</v>
      </c>
      <c r="C13" s="12" t="s">
        <v>14</v>
      </c>
      <c r="D13" s="13"/>
      <c r="E13" s="13"/>
      <c r="F13" s="13"/>
      <c r="G13" s="13"/>
      <c r="H13" s="13"/>
      <c r="I13" s="13"/>
      <c r="J13" s="13"/>
      <c r="K13" s="11"/>
    </row>
    <row r="14" ht="15" customHeight="1">
      <c r="A14" s="1"/>
      <c r="B14" s="1" t="s">
        <v>15</v>
      </c>
      <c r="C14" s="12" t="s">
        <v>16</v>
      </c>
      <c r="D14" s="13"/>
      <c r="E14" s="13"/>
      <c r="F14" s="13"/>
      <c r="G14" s="13"/>
      <c r="H14" s="13"/>
      <c r="I14" s="13"/>
      <c r="J14" s="13"/>
      <c r="K14" s="11"/>
    </row>
    <row r="15" ht="15" customHeight="1">
      <c r="A15" s="1"/>
      <c r="B15" s="1" t="s">
        <v>17</v>
      </c>
      <c r="C15" s="12" t="s">
        <v>18</v>
      </c>
      <c r="D15" s="13"/>
      <c r="E15" s="13"/>
      <c r="F15" s="13"/>
      <c r="G15" s="13"/>
      <c r="H15" s="13"/>
      <c r="I15" s="13"/>
      <c r="J15" s="13"/>
      <c r="K15" s="11"/>
    </row>
    <row r="16" ht="15" customHeight="1">
      <c r="A16" s="1"/>
      <c r="B16" s="1" t="s">
        <v>19</v>
      </c>
      <c r="C16" s="12" t="s">
        <v>20</v>
      </c>
      <c r="D16" s="13"/>
      <c r="E16" s="13"/>
      <c r="F16" s="13"/>
      <c r="G16" s="13"/>
      <c r="H16" s="13"/>
      <c r="I16" s="13"/>
      <c r="J16" s="13"/>
      <c r="K16" s="11"/>
    </row>
    <row r="17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1"/>
    </row>
    <row r="18" ht="15" customHeight="1">
      <c r="A18" s="1"/>
      <c r="B18" s="14" t="s">
        <v>21</v>
      </c>
      <c r="C18" s="15" t="s">
        <v>22</v>
      </c>
      <c r="D18" s="15" t="s">
        <v>23</v>
      </c>
      <c r="E18" s="15" t="s">
        <v>24</v>
      </c>
      <c r="F18" s="15" t="s">
        <v>25</v>
      </c>
      <c r="G18" s="15" t="s">
        <v>26</v>
      </c>
      <c r="H18" s="15" t="s">
        <v>27</v>
      </c>
      <c r="I18" s="15" t="s">
        <v>28</v>
      </c>
      <c r="J18" s="15"/>
      <c r="K18" s="16"/>
    </row>
    <row r="19" ht="15" customHeight="1">
      <c r="A19" s="1"/>
      <c r="B19" s="3" t="s">
        <v>29</v>
      </c>
      <c r="C19" s="17">
        <f>'Revenue summary'!J74</f>
        <v>12921.353943404734</v>
      </c>
      <c r="D19" s="17">
        <f>Inputs!C61</f>
        <v>12990.17</v>
      </c>
      <c r="E19" s="18">
        <f t="shared" si="0" ref="E19:E23">C19-D19</f>
        <v>-68.81605659526576</v>
      </c>
      <c r="F19" s="19">
        <f t="shared" si="1" ref="F19:F23">C19/D19-1</f>
        <v>-0.005297548576751909</v>
      </c>
      <c r="G19" s="20" t="s">
        <v>30</v>
      </c>
      <c r="H19" s="20" t="s">
        <v>30</v>
      </c>
      <c r="I19" s="21">
        <f>Inputs!C66</f>
        <v>24</v>
      </c>
      <c r="J19" s="20"/>
      <c r="K19" s="11"/>
    </row>
    <row r="20" ht="15" customHeight="1">
      <c r="A20" s="1"/>
      <c r="B20" s="3" t="s">
        <v>31</v>
      </c>
      <c r="C20" s="17">
        <f>'Income Statement'!J93</f>
        <v>2475.6847219857013</v>
      </c>
      <c r="D20" s="17">
        <f>Inputs!C74</f>
        <v>2478.36</v>
      </c>
      <c r="E20" s="18">
        <f t="shared" si="0"/>
        <v>-2.675278014298783</v>
      </c>
      <c r="F20" s="19">
        <f t="shared" si="1"/>
        <v>-0.0010794549679218335</v>
      </c>
      <c r="G20" s="17">
        <f>Guidance!G17*'Income Statement'!J40/(1-'Income Statement'!J37)</f>
        <v>2473.08063098548</v>
      </c>
      <c r="H20" s="18">
        <f t="shared" si="2" ref="H20:H21">C20-G20</f>
        <v>2.6040910002211604</v>
      </c>
      <c r="I20" s="20" t="s">
        <v>30</v>
      </c>
      <c r="J20" s="20"/>
      <c r="K20" s="11"/>
    </row>
    <row r="21" ht="15" customHeight="1">
      <c r="A21" s="1"/>
      <c r="B21" s="3" t="s">
        <v>32</v>
      </c>
      <c r="C21" s="22">
        <f>'Income Statement'!J97</f>
        <v>1.42</v>
      </c>
      <c r="D21" s="22">
        <f>Inputs!C43</f>
        <v>1.41</v>
      </c>
      <c r="E21" s="23">
        <f t="shared" si="0"/>
        <v>0.010000000000000009</v>
      </c>
      <c r="F21" s="19">
        <f t="shared" si="1"/>
        <v>0.007092198581560183</v>
      </c>
      <c r="G21" s="22">
        <f>Guidance!G17</f>
        <v>1.42</v>
      </c>
      <c r="H21" s="23">
        <f t="shared" si="2"/>
        <v>0</v>
      </c>
      <c r="I21" s="21">
        <f>Inputs!C48</f>
        <v>23</v>
      </c>
      <c r="J21" s="20"/>
      <c r="K21" s="11" t="s">
        <v>33</v>
      </c>
    </row>
    <row r="22" ht="15" customHeight="1">
      <c r="A22" s="1"/>
      <c r="B22" s="3" t="s">
        <v>34</v>
      </c>
      <c r="C22" s="17">
        <f>'Income Statement'!J33</f>
        <v>1596.2847219857017</v>
      </c>
      <c r="D22" s="17">
        <f>Inputs!C75</f>
        <v>1761.75</v>
      </c>
      <c r="E22" s="18">
        <f t="shared" si="0"/>
        <v>-165.4652780142983</v>
      </c>
      <c r="F22" s="19">
        <f t="shared" si="1"/>
        <v>-0.09392097517485354</v>
      </c>
      <c r="G22" s="20" t="s">
        <v>30</v>
      </c>
      <c r="H22" s="20" t="s">
        <v>30</v>
      </c>
      <c r="I22" s="20" t="s">
        <v>30</v>
      </c>
      <c r="J22" s="20"/>
      <c r="K22" s="11"/>
    </row>
    <row r="23" ht="15" customHeight="1">
      <c r="A23" s="1"/>
      <c r="B23" s="3" t="s">
        <v>35</v>
      </c>
      <c r="C23" s="22">
        <f>'Income Statement'!J43</f>
        <v>0.92</v>
      </c>
      <c r="D23" s="22">
        <f>Inputs!C52</f>
        <v>0.96</v>
      </c>
      <c r="E23" s="23">
        <f t="shared" si="0"/>
        <v>-0.039999999999999925</v>
      </c>
      <c r="F23" s="19">
        <f t="shared" si="1"/>
        <v>-0.04166666666666663</v>
      </c>
      <c r="G23" s="20" t="s">
        <v>30</v>
      </c>
      <c r="H23" s="20" t="s">
        <v>30</v>
      </c>
      <c r="I23" s="21">
        <f>Inputs!C57</f>
        <v>11</v>
      </c>
      <c r="J23" s="20"/>
      <c r="K23" s="11"/>
    </row>
    <row r="24" ht="15" customHeight="1">
      <c r="A24" s="1"/>
      <c r="B24" s="3" t="s">
        <v>36</v>
      </c>
      <c r="C24" s="24">
        <f>Guidance!C49</f>
        <v>0.67</v>
      </c>
      <c r="D24" s="20"/>
      <c r="E24" s="20"/>
      <c r="F24" s="20"/>
      <c r="G24" s="20"/>
      <c r="H24" s="20"/>
      <c r="I24" s="20"/>
      <c r="J24" s="20"/>
      <c r="K24" s="11" t="s">
        <v>37</v>
      </c>
    </row>
    <row r="25" ht="15" customHeight="1">
      <c r="A25" s="1"/>
      <c r="B25" s="3" t="s">
        <v>38</v>
      </c>
      <c r="C25" s="20" t="s">
        <v>39</v>
      </c>
      <c r="D25" s="20"/>
      <c r="E25" s="20"/>
      <c r="F25" s="20"/>
      <c r="G25" s="20"/>
      <c r="H25" s="20"/>
      <c r="I25" s="20"/>
      <c r="J25" s="20"/>
      <c r="K25" s="11" t="s">
        <v>40</v>
      </c>
    </row>
    <row r="26" ht="15" customHeight="1">
      <c r="A26" s="1"/>
      <c r="B26" s="3" t="s">
        <v>41</v>
      </c>
      <c r="C26" s="25" t="str">
        <f>IF(AND(E35:E68),"PASS","FAIL")</f>
        <v>PASS</v>
      </c>
      <c r="D26" s="20"/>
      <c r="E26" s="20"/>
      <c r="F26" s="20"/>
      <c r="G26" s="20"/>
      <c r="H26" s="20"/>
      <c r="I26" s="20"/>
      <c r="J26" s="20"/>
      <c r="K26" s="11" t="s">
        <v>43</v>
      </c>
    </row>
    <row r="27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1"/>
    </row>
    <row r="28" ht="15" customHeight="1">
      <c r="A28" s="1"/>
      <c r="B28" s="4" t="s">
        <v>44</v>
      </c>
      <c r="C28" s="13"/>
      <c r="D28" s="13"/>
      <c r="E28" s="13"/>
      <c r="F28" s="13"/>
      <c r="G28" s="13"/>
      <c r="H28" s="13"/>
      <c r="I28" s="13"/>
      <c r="J28" s="13"/>
      <c r="K28" s="11"/>
    </row>
    <row r="29" ht="15" customHeight="1">
      <c r="A29" s="1"/>
      <c r="B29" s="1" t="s">
        <v>45</v>
      </c>
      <c r="C29" s="26">
        <f>Inputs!C44</f>
        <v>1.42</v>
      </c>
      <c r="D29" s="26">
        <f>Inputs!C45</f>
        <v>1.44</v>
      </c>
      <c r="E29" s="26">
        <f>Inputs!C46</f>
        <v>1.31</v>
      </c>
      <c r="F29" s="13"/>
      <c r="G29" s="13"/>
      <c r="H29" s="13"/>
      <c r="I29" s="13"/>
      <c r="J29" s="13"/>
      <c r="K29" s="11"/>
    </row>
    <row r="30" ht="15" customHeight="1">
      <c r="A30" s="1"/>
      <c r="B30" s="1" t="s">
        <v>46</v>
      </c>
      <c r="C30" s="27">
        <f>Inputs!C62</f>
        <v>12986.65</v>
      </c>
      <c r="D30" s="27">
        <f>Inputs!C63</f>
        <v>13144</v>
      </c>
      <c r="E30" s="27">
        <f>Inputs!C64</f>
        <v>12926</v>
      </c>
      <c r="F30" s="13"/>
      <c r="G30" s="13"/>
      <c r="H30" s="13"/>
      <c r="I30" s="13"/>
      <c r="J30" s="13"/>
      <c r="K30" s="11"/>
    </row>
    <row r="31" ht="15" customHeight="1">
      <c r="A31" s="1"/>
      <c r="B31" s="1" t="s">
        <v>47</v>
      </c>
      <c r="C31" s="28">
        <v>1.42</v>
      </c>
      <c r="D31" s="28">
        <v>1.42</v>
      </c>
      <c r="E31" s="13"/>
      <c r="F31" s="13"/>
      <c r="G31" s="13"/>
      <c r="H31" s="13"/>
      <c r="I31" s="13"/>
      <c r="J31" s="13"/>
      <c r="K31" s="11" t="s">
        <v>48</v>
      </c>
    </row>
    <row r="32" ht="15" customHeight="1">
      <c r="A32" s="1"/>
      <c r="B32" s="1" t="s">
        <v>49</v>
      </c>
      <c r="C32" s="29">
        <v>12970</v>
      </c>
      <c r="D32" s="29">
        <v>13000</v>
      </c>
      <c r="E32" s="13"/>
      <c r="F32" s="13"/>
      <c r="G32" s="13"/>
      <c r="H32" s="13"/>
      <c r="I32" s="13"/>
      <c r="J32" s="13"/>
      <c r="K32" s="11" t="s">
        <v>50</v>
      </c>
    </row>
    <row r="34" ht="15" customHeight="1">
      <c r="B34" s="14" t="s">
        <v>51</v>
      </c>
      <c r="C34" s="15" t="s">
        <v>52</v>
      </c>
      <c r="D34" s="15" t="s">
        <v>53</v>
      </c>
      <c r="E34" s="15" t="s">
        <v>54</v>
      </c>
      <c r="F34" s="1"/>
      <c r="G34" s="1"/>
      <c r="H34" s="1"/>
      <c r="I34" s="1"/>
      <c r="J34" s="1"/>
      <c r="K34" s="11" t="s">
        <v>55</v>
      </c>
    </row>
    <row r="35" ht="15" customHeight="1">
      <c r="B35" s="1" t="s">
        <v>56</v>
      </c>
      <c r="C35" s="30">
        <f>SUMIF('Revenue summary'!C97:I97,"&gt;0")-SUMIF('Revenue summary'!C97:I97,"&lt;0")</f>
        <v>0</v>
      </c>
      <c r="D35" s="31">
        <v>0.5</v>
      </c>
      <c r="E35" s="13" t="b">
        <f t="shared" si="3" ref="E35:E67">C35&lt;D35</f>
        <v>1</v>
      </c>
      <c r="F35" s="1"/>
      <c r="G35" s="1"/>
      <c r="H35" s="1"/>
      <c r="I35" s="1"/>
      <c r="J35" s="1"/>
      <c r="K35" s="11" t="s">
        <v>57</v>
      </c>
    </row>
    <row r="36" ht="15" customHeight="1">
      <c r="B36" s="1" t="s">
        <v>58</v>
      </c>
      <c r="C36" s="30">
        <f>SUMIF('Balance Sheet'!C47:J47,"&gt;0")-SUMIF('Balance Sheet'!C47:J47,"&lt;0")</f>
        <v>0</v>
      </c>
      <c r="D36" s="31">
        <v>0.5</v>
      </c>
      <c r="E36" s="13" t="b">
        <f t="shared" si="3"/>
        <v>1</v>
      </c>
      <c r="F36" s="1"/>
      <c r="G36" s="1"/>
      <c r="H36" s="1"/>
      <c r="I36" s="1"/>
      <c r="J36" s="1"/>
      <c r="K36" s="11" t="s">
        <v>59</v>
      </c>
    </row>
    <row r="37" ht="15" customHeight="1">
      <c r="B37" s="1" t="s">
        <v>60</v>
      </c>
      <c r="C37" s="30">
        <f>SUMIF('Balance Sheet'!C49:I49,"&gt;0")-SUMIF('Balance Sheet'!C49:I49,"&lt;0")</f>
        <v>0</v>
      </c>
      <c r="D37" s="31">
        <v>0.5</v>
      </c>
      <c r="E37" s="13" t="b">
        <f t="shared" si="3"/>
        <v>1</v>
      </c>
      <c r="F37" s="1"/>
      <c r="G37" s="1"/>
      <c r="H37" s="1"/>
      <c r="I37" s="1"/>
      <c r="J37" s="1"/>
      <c r="K37" s="11" t="s">
        <v>61</v>
      </c>
    </row>
    <row r="38" ht="15" customHeight="1">
      <c r="B38" s="1" t="s">
        <v>62</v>
      </c>
      <c r="C38" s="30">
        <f>SUMIF('Cash Flow Statement'!C38:J38,"&gt;0")-SUMIF('Cash Flow Statement'!C38:J38,"&lt;0")</f>
        <v>0</v>
      </c>
      <c r="D38" s="31">
        <v>0.5</v>
      </c>
      <c r="E38" s="13" t="b">
        <f t="shared" si="3"/>
        <v>1</v>
      </c>
      <c r="F38" s="1"/>
      <c r="G38" s="1"/>
      <c r="H38" s="1"/>
      <c r="I38" s="1"/>
      <c r="J38" s="1"/>
      <c r="K38" s="11" t="s">
        <v>63</v>
      </c>
    </row>
    <row r="39" ht="15" customHeight="1">
      <c r="B39" s="1" t="s">
        <v>64</v>
      </c>
      <c r="C39" s="30">
        <f>SUMIF('Cash Flow Statement'!C39:J39,"&gt;0")-SUMIF('Cash Flow Statement'!C39:J39,"&lt;0")</f>
        <v>0</v>
      </c>
      <c r="D39" s="31">
        <v>0.5</v>
      </c>
      <c r="E39" s="13" t="b">
        <f t="shared" si="3"/>
        <v>1</v>
      </c>
      <c r="F39" s="1"/>
      <c r="G39" s="1"/>
      <c r="H39" s="1"/>
      <c r="I39" s="1"/>
      <c r="J39" s="1"/>
      <c r="K39" s="11" t="s">
        <v>65</v>
      </c>
    </row>
    <row r="40" ht="15" customHeight="1">
      <c r="B40" s="1" t="s">
        <v>66</v>
      </c>
      <c r="C40" s="30">
        <f>SUMIF('Cash Flow Statement'!C40:J40,"&gt;0")-SUMIF('Cash Flow Statement'!C40:J40,"&lt;0")</f>
        <v>0</v>
      </c>
      <c r="D40" s="31">
        <v>0.5</v>
      </c>
      <c r="E40" s="13" t="b">
        <f t="shared" si="3"/>
        <v>1</v>
      </c>
      <c r="F40" s="1"/>
      <c r="G40" s="1"/>
      <c r="H40" s="1"/>
      <c r="I40" s="1"/>
      <c r="J40" s="1"/>
      <c r="K40" s="11" t="s">
        <v>67</v>
      </c>
    </row>
    <row r="41" ht="15" customHeight="1">
      <c r="B41" s="1" t="s">
        <v>68</v>
      </c>
      <c r="C41" s="30">
        <f>SUMIF('Cash Flow Statement'!C72:I72,"&gt;0")-SUMIF('Cash Flow Statement'!C72:I72,"&lt;0")</f>
        <v>0</v>
      </c>
      <c r="D41" s="31">
        <v>0.5</v>
      </c>
      <c r="E41" s="13" t="b">
        <f t="shared" si="3"/>
        <v>1</v>
      </c>
      <c r="F41" s="1"/>
      <c r="G41" s="1"/>
      <c r="H41" s="1"/>
      <c r="I41" s="1"/>
      <c r="J41" s="1"/>
      <c r="K41" s="11" t="s">
        <v>69</v>
      </c>
    </row>
    <row r="42" ht="15" customHeight="1">
      <c r="B42" s="1" t="s">
        <v>70</v>
      </c>
      <c r="C42" s="30">
        <f>SUMIF(Geo!C41:J41,"&gt;0")-SUMIF(Geo!C41:J41,"&lt;0")</f>
        <v>0</v>
      </c>
      <c r="D42" s="31">
        <v>0.5</v>
      </c>
      <c r="E42" s="13" t="b">
        <f t="shared" si="3"/>
        <v>1</v>
      </c>
      <c r="F42" s="1"/>
      <c r="G42" s="1"/>
      <c r="H42" s="1"/>
      <c r="I42" s="1"/>
      <c r="J42" s="1"/>
      <c r="K42" s="11" t="s">
        <v>71</v>
      </c>
    </row>
    <row r="43" ht="15" customHeight="1">
      <c r="B43" s="1" t="s">
        <v>72</v>
      </c>
      <c r="C43" s="30">
        <f>SUMIF(Geo!G89:G89,"&gt;0")-SUMIF(Geo!G89:G89,"&lt;0")</f>
        <v>0</v>
      </c>
      <c r="D43" s="31">
        <v>0.5</v>
      </c>
      <c r="E43" s="13" t="b">
        <f t="shared" si="3"/>
        <v>1</v>
      </c>
      <c r="F43" s="1"/>
      <c r="G43" s="1"/>
      <c r="H43" s="1"/>
      <c r="I43" s="1"/>
      <c r="J43" s="1"/>
      <c r="K43" s="11" t="s">
        <v>73</v>
      </c>
    </row>
    <row r="44" ht="15" customHeight="1">
      <c r="B44" s="1" t="s">
        <v>74</v>
      </c>
      <c r="C44" s="30">
        <f>SUMIF(Geo!G90:G90,"&gt;0")-SUMIF(Geo!G90:G90,"&lt;0")</f>
        <v>0</v>
      </c>
      <c r="D44" s="31">
        <v>0.5</v>
      </c>
      <c r="E44" s="13" t="b">
        <f t="shared" si="3"/>
        <v>1</v>
      </c>
      <c r="F44" s="1"/>
      <c r="G44" s="1"/>
      <c r="H44" s="1"/>
      <c r="I44" s="1"/>
      <c r="J44" s="1"/>
      <c r="K44" s="11" t="s">
        <v>75</v>
      </c>
    </row>
    <row r="45" ht="15" customHeight="1">
      <c r="B45" s="1" t="s">
        <v>76</v>
      </c>
      <c r="C45" s="30">
        <f>SUMIF('Income Statement'!C57:I57,"&gt;0")-SUMIF('Income Statement'!C57:I57,"&lt;0")</f>
        <v>0</v>
      </c>
      <c r="D45" s="31">
        <v>0.5</v>
      </c>
      <c r="E45" s="13" t="b">
        <f t="shared" si="3"/>
        <v>1</v>
      </c>
      <c r="F45" s="1"/>
      <c r="G45" s="1"/>
      <c r="H45" s="1"/>
      <c r="I45" s="1"/>
      <c r="J45" s="1"/>
      <c r="K45" s="11" t="s">
        <v>77</v>
      </c>
    </row>
    <row r="46" ht="15" customHeight="1">
      <c r="B46" s="1" t="s">
        <v>78</v>
      </c>
      <c r="C46" s="30">
        <f>SUMIF('Income Statement'!C66:J66,"&gt;0")-SUMIF('Income Statement'!C66:J66,"&lt;0")</f>
        <v>0</v>
      </c>
      <c r="D46" s="31">
        <v>0.5</v>
      </c>
      <c r="E46" s="13" t="b">
        <f t="shared" si="3"/>
        <v>1</v>
      </c>
      <c r="F46" s="1"/>
      <c r="G46" s="1"/>
      <c r="H46" s="1"/>
      <c r="I46" s="1"/>
      <c r="J46" s="1"/>
      <c r="K46" s="11" t="s">
        <v>79</v>
      </c>
    </row>
    <row r="47" ht="15" customHeight="1">
      <c r="B47" s="1" t="s">
        <v>80</v>
      </c>
      <c r="C47" s="30">
        <f>SUMIF('Income Statement'!C89:J89,"&gt;0")-SUMIF('Income Statement'!C89:J89,"&lt;0")</f>
        <v>0</v>
      </c>
      <c r="D47" s="31">
        <v>0.5</v>
      </c>
      <c r="E47" s="13" t="b">
        <f t="shared" si="3"/>
        <v>1</v>
      </c>
      <c r="F47" s="1"/>
      <c r="G47" s="1"/>
      <c r="H47" s="1"/>
      <c r="I47" s="1"/>
      <c r="J47" s="1"/>
      <c r="K47" s="11" t="s">
        <v>81</v>
      </c>
    </row>
    <row r="48" ht="15" customHeight="1">
      <c r="B48" s="1" t="s">
        <v>82</v>
      </c>
      <c r="C48" s="30">
        <f>SUMIF('Income Statement'!C95:J95,"&gt;0")-SUMIF('Income Statement'!C95:J95,"&lt;0")</f>
        <v>0</v>
      </c>
      <c r="D48" s="31">
        <v>0.5</v>
      </c>
      <c r="E48" s="13" t="b">
        <f t="shared" si="3"/>
        <v>1</v>
      </c>
      <c r="F48" s="1"/>
      <c r="G48" s="1"/>
      <c r="H48" s="1"/>
      <c r="I48" s="1"/>
      <c r="J48" s="1"/>
      <c r="K48" s="11" t="s">
        <v>83</v>
      </c>
    </row>
    <row r="49" ht="15" customHeight="1">
      <c r="B49" s="1" t="s">
        <v>84</v>
      </c>
      <c r="C49" s="30">
        <f>COUNTIF('Revenue summary'!C98:J98,FALSE)</f>
        <v>0</v>
      </c>
      <c r="D49" s="31">
        <v>0</v>
      </c>
      <c r="E49" s="13" t="b">
        <f t="shared" si="4" ref="E49:E68">C49=D49</f>
        <v>1</v>
      </c>
      <c r="F49" s="1"/>
      <c r="G49" s="1"/>
      <c r="H49" s="1"/>
      <c r="I49" s="1"/>
      <c r="J49" s="1"/>
      <c r="K49" s="11" t="s">
        <v>85</v>
      </c>
    </row>
    <row r="50" ht="15" customHeight="1">
      <c r="B50" s="1" t="s">
        <v>86</v>
      </c>
      <c r="C50" s="30">
        <f>COUNTIF('Income Statement'!C99:J99,FALSE)</f>
        <v>0</v>
      </c>
      <c r="D50" s="31">
        <v>0</v>
      </c>
      <c r="E50" s="13" t="b">
        <f t="shared" si="4"/>
        <v>1</v>
      </c>
      <c r="F50" s="1"/>
      <c r="G50" s="1"/>
      <c r="H50" s="1"/>
      <c r="I50" s="1"/>
      <c r="J50" s="1"/>
      <c r="K50" s="11" t="s">
        <v>87</v>
      </c>
    </row>
    <row r="51" ht="15" customHeight="1">
      <c r="B51" s="1" t="s">
        <v>88</v>
      </c>
      <c r="C51" s="30">
        <f>COUNTIF('Income Statement'!C45:J45,FALSE)</f>
        <v>0</v>
      </c>
      <c r="D51" s="31">
        <v>0</v>
      </c>
      <c r="E51" s="13" t="b">
        <f t="shared" si="4"/>
        <v>1</v>
      </c>
      <c r="F51" s="1"/>
      <c r="G51" s="1"/>
      <c r="H51" s="1"/>
      <c r="I51" s="1"/>
      <c r="J51" s="1"/>
      <c r="K51" s="11" t="s">
        <v>89</v>
      </c>
    </row>
    <row r="52" ht="15" customHeight="1">
      <c r="B52" s="1" t="s">
        <v>90</v>
      </c>
      <c r="C52" s="30">
        <f>SUMPRODUCT(--ISERROR('Revenue summary'!B9:J99))</f>
        <v>0</v>
      </c>
      <c r="D52" s="31">
        <v>0</v>
      </c>
      <c r="E52" s="13" t="b">
        <f t="shared" si="4"/>
        <v>1</v>
      </c>
      <c r="F52" s="1"/>
      <c r="G52" s="1"/>
      <c r="H52" s="1"/>
      <c r="I52" s="1"/>
      <c r="J52" s="1"/>
      <c r="K52" s="11" t="s">
        <v>91</v>
      </c>
    </row>
    <row r="53" ht="15" customHeight="1">
      <c r="B53" s="1" t="s">
        <v>92</v>
      </c>
      <c r="C53" s="30">
        <f>SUMPRODUCT(--ISERROR('Segment - Nutrition'!B9:J134))</f>
        <v>0</v>
      </c>
      <c r="D53" s="31">
        <v>0</v>
      </c>
      <c r="E53" s="13" t="b">
        <f t="shared" si="4"/>
        <v>1</v>
      </c>
      <c r="F53" s="1"/>
      <c r="G53" s="1"/>
      <c r="H53" s="1"/>
      <c r="I53" s="1"/>
      <c r="J53" s="1"/>
      <c r="K53" s="11" t="s">
        <v>93</v>
      </c>
    </row>
    <row r="54" ht="15" customHeight="1">
      <c r="B54" s="1" t="s">
        <v>94</v>
      </c>
      <c r="C54" s="30">
        <f>SUMPRODUCT(--ISERROR('Segment - Diagnostics'!B9:J289))</f>
        <v>0</v>
      </c>
      <c r="D54" s="31">
        <v>0</v>
      </c>
      <c r="E54" s="13" t="b">
        <f t="shared" si="4"/>
        <v>1</v>
      </c>
      <c r="F54" s="1"/>
      <c r="G54" s="1"/>
      <c r="H54" s="1"/>
      <c r="I54" s="1"/>
      <c r="J54" s="1"/>
      <c r="K54" s="11" t="s">
        <v>95</v>
      </c>
    </row>
    <row r="55" ht="15" customHeight="1">
      <c r="B55" s="1" t="s">
        <v>96</v>
      </c>
      <c r="C55" s="30">
        <f>SUMPRODUCT(--ISERROR('Segment - Established Pharma'!B9:J110))</f>
        <v>0</v>
      </c>
      <c r="D55" s="31">
        <v>0</v>
      </c>
      <c r="E55" s="13" t="b">
        <f t="shared" si="4"/>
        <v>1</v>
      </c>
      <c r="F55" s="1"/>
      <c r="G55" s="1"/>
      <c r="H55" s="1"/>
      <c r="I55" s="1"/>
      <c r="J55" s="1"/>
      <c r="K55" s="11" t="s">
        <v>97</v>
      </c>
    </row>
    <row r="56" ht="15" customHeight="1">
      <c r="B56" s="1" t="s">
        <v>98</v>
      </c>
      <c r="C56" s="30">
        <f>SUMPRODUCT(--ISERROR('Segment - Medical Devices'!B9:J338))</f>
        <v>0</v>
      </c>
      <c r="D56" s="31">
        <v>0</v>
      </c>
      <c r="E56" s="13" t="b">
        <f t="shared" si="4"/>
        <v>1</v>
      </c>
      <c r="F56" s="1"/>
      <c r="G56" s="1"/>
      <c r="H56" s="1"/>
      <c r="I56" s="1"/>
      <c r="J56" s="1"/>
      <c r="K56" s="11" t="s">
        <v>99</v>
      </c>
    </row>
    <row r="57" ht="15" customHeight="1">
      <c r="B57" s="1" t="s">
        <v>100</v>
      </c>
      <c r="C57" s="30">
        <f>SUMPRODUCT(--ISERROR('Income Statement'!B9:J121))</f>
        <v>0</v>
      </c>
      <c r="D57" s="31">
        <v>0</v>
      </c>
      <c r="E57" s="13" t="b">
        <f t="shared" si="4"/>
        <v>1</v>
      </c>
      <c r="F57" s="1"/>
      <c r="G57" s="1"/>
      <c r="H57" s="1"/>
      <c r="I57" s="1"/>
      <c r="J57" s="1"/>
      <c r="K57" s="11" t="s">
        <v>101</v>
      </c>
    </row>
    <row r="58" ht="15" customHeight="1">
      <c r="B58" s="1" t="s">
        <v>102</v>
      </c>
      <c r="C58" s="30">
        <f>SUMPRODUCT(--ISERROR('Balance Sheet'!B9:J57))</f>
        <v>0</v>
      </c>
      <c r="D58" s="31">
        <v>0</v>
      </c>
      <c r="E58" s="13" t="b">
        <f t="shared" si="4"/>
        <v>1</v>
      </c>
      <c r="F58" s="1"/>
      <c r="G58" s="1"/>
      <c r="H58" s="1"/>
      <c r="I58" s="1"/>
      <c r="J58" s="1"/>
      <c r="K58" s="11" t="s">
        <v>103</v>
      </c>
    </row>
    <row r="59" ht="15" customHeight="1">
      <c r="B59" s="1" t="s">
        <v>104</v>
      </c>
      <c r="C59" s="30">
        <f>SUMPRODUCT(--ISERROR('Cash Flow Statement'!B9:J76))</f>
        <v>0</v>
      </c>
      <c r="D59" s="31">
        <v>0</v>
      </c>
      <c r="E59" s="13" t="b">
        <f t="shared" si="4"/>
        <v>1</v>
      </c>
      <c r="F59" s="1"/>
      <c r="G59" s="1"/>
      <c r="H59" s="1"/>
      <c r="I59" s="1"/>
      <c r="J59" s="1"/>
      <c r="K59" s="11" t="s">
        <v>105</v>
      </c>
    </row>
    <row r="60" ht="15" customHeight="1">
      <c r="B60" s="1" t="s">
        <v>106</v>
      </c>
      <c r="C60" s="30">
        <f>SUMPRODUCT(--ISERROR(Geo!B9:J90))</f>
        <v>0</v>
      </c>
      <c r="D60" s="31">
        <v>0</v>
      </c>
      <c r="E60" s="13" t="b">
        <f t="shared" si="4"/>
        <v>1</v>
      </c>
      <c r="F60" s="1"/>
      <c r="G60" s="1"/>
      <c r="H60" s="1"/>
      <c r="I60" s="1"/>
      <c r="J60" s="1"/>
      <c r="K60" s="11" t="s">
        <v>107</v>
      </c>
    </row>
    <row r="61" ht="15" customHeight="1">
      <c r="B61" s="1" t="s">
        <v>108</v>
      </c>
      <c r="C61" s="30">
        <f>SUMPRODUCT(--ISERROR('Share Count'!B9:J33))</f>
        <v>0</v>
      </c>
      <c r="D61" s="31">
        <v>0</v>
      </c>
      <c r="E61" s="13" t="b">
        <f t="shared" si="4"/>
        <v>1</v>
      </c>
      <c r="F61" s="1"/>
      <c r="G61" s="1"/>
      <c r="H61" s="1"/>
      <c r="I61" s="1"/>
      <c r="J61" s="1"/>
      <c r="K61" s="11" t="s">
        <v>109</v>
      </c>
    </row>
    <row r="62" ht="15" customHeight="1">
      <c r="B62" s="1" t="s">
        <v>110</v>
      </c>
      <c r="C62" s="30">
        <f>SUMPRODUCT(--ISERROR(Guidance!B9:J50))</f>
        <v>0</v>
      </c>
      <c r="D62" s="31">
        <v>0</v>
      </c>
      <c r="E62" s="13" t="b">
        <f t="shared" si="4"/>
        <v>1</v>
      </c>
      <c r="F62" s="1"/>
      <c r="G62" s="1"/>
      <c r="H62" s="1"/>
      <c r="I62" s="1"/>
      <c r="J62" s="1"/>
      <c r="K62" s="11" t="s">
        <v>111</v>
      </c>
    </row>
    <row r="63" ht="15" customHeight="1">
      <c r="B63" s="1" t="s">
        <v>112</v>
      </c>
      <c r="C63" s="30">
        <f>SUMPRODUCT(--ISERROR(Sources!B9:J40))</f>
        <v>0</v>
      </c>
      <c r="D63" s="31">
        <v>0</v>
      </c>
      <c r="E63" s="13" t="b">
        <f t="shared" si="4"/>
        <v>1</v>
      </c>
      <c r="F63" s="1"/>
      <c r="G63" s="1"/>
      <c r="H63" s="1"/>
      <c r="I63" s="1"/>
      <c r="J63" s="1"/>
      <c r="K63" s="11" t="s">
        <v>113</v>
      </c>
    </row>
    <row r="64" ht="15" customHeight="1">
      <c r="B64" s="1" t="s">
        <v>114</v>
      </c>
      <c r="C64" s="30">
        <f>SUMPRODUCT(--ISERROR(Inputs!B9:J109))</f>
        <v>0</v>
      </c>
      <c r="D64" s="31">
        <v>0</v>
      </c>
      <c r="E64" s="13" t="b">
        <f t="shared" si="4"/>
        <v>1</v>
      </c>
      <c r="F64" s="1"/>
      <c r="G64" s="1"/>
      <c r="H64" s="1"/>
      <c r="I64" s="1"/>
      <c r="J64" s="1"/>
      <c r="K64" s="11" t="s">
        <v>115</v>
      </c>
    </row>
    <row r="65" ht="15" customHeight="1">
      <c r="B65" s="1" t="s">
        <v>116</v>
      </c>
      <c r="C65" s="30">
        <f>ABS(C21-'Income Statement'!J97)</f>
        <v>0</v>
      </c>
      <c r="D65" s="31">
        <v>0.0001</v>
      </c>
      <c r="E65" s="32" t="b">
        <f t="shared" si="3"/>
        <v>1</v>
      </c>
      <c r="F65" s="1"/>
      <c r="G65" s="1"/>
      <c r="H65" s="1"/>
      <c r="I65" s="1"/>
      <c r="J65" s="1"/>
      <c r="K65" s="11" t="s">
        <v>117</v>
      </c>
    </row>
    <row r="66" ht="15" customHeight="1">
      <c r="B66" s="1" t="s">
        <v>118</v>
      </c>
      <c r="C66" s="30">
        <f>ABS(C19-'Revenue summary'!J74)</f>
        <v>0</v>
      </c>
      <c r="D66" s="31">
        <v>0.001</v>
      </c>
      <c r="E66" s="33" t="b">
        <f t="shared" si="3"/>
        <v>1</v>
      </c>
      <c r="F66" s="1"/>
      <c r="G66" s="1"/>
      <c r="H66" s="1"/>
      <c r="I66" s="1"/>
      <c r="J66" s="1"/>
      <c r="K66" s="11" t="s">
        <v>119</v>
      </c>
    </row>
    <row r="67" ht="15" customHeight="1">
      <c r="B67" s="1" t="s">
        <v>120</v>
      </c>
      <c r="C67" s="30">
        <f>ABS(C20-'Income Statement'!J93)</f>
        <v>0</v>
      </c>
      <c r="D67" s="31">
        <v>0.001</v>
      </c>
      <c r="E67" s="33" t="b">
        <f t="shared" si="3"/>
        <v>1</v>
      </c>
      <c r="F67" s="1"/>
      <c r="G67" s="1"/>
      <c r="H67" s="1"/>
      <c r="I67" s="1"/>
      <c r="J67" s="1"/>
      <c r="K67" s="11" t="s">
        <v>119</v>
      </c>
    </row>
    <row r="68" ht="15" customHeight="1">
      <c r="B68" s="1" t="s">
        <v>121</v>
      </c>
      <c r="C68" s="34">
        <f>SUMPRODUCT(--ISERROR(C19:I25))</f>
        <v>0</v>
      </c>
      <c r="D68" s="31">
        <v>0</v>
      </c>
      <c r="E68" s="13" t="b">
        <f t="shared" si="4"/>
        <v>1</v>
      </c>
      <c r="F68" s="1"/>
      <c r="G68" s="1"/>
      <c r="H68" s="1"/>
      <c r="I68" s="1"/>
      <c r="J68" s="1"/>
      <c r="K68" s="11" t="s">
        <v>122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8BAEE28-7938-78E8-4A78-8FC4328E930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123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3" t="s">
        <v>135</v>
      </c>
      <c r="C9" s="1"/>
      <c r="D9" s="1"/>
      <c r="E9" s="1"/>
      <c r="F9" s="1"/>
      <c r="G9" s="1"/>
      <c r="H9" s="1"/>
      <c r="I9" s="1"/>
      <c r="J9" s="35"/>
      <c r="K9" s="11"/>
    </row>
    <row r="10" ht="15" customHeight="1">
      <c r="A10" s="1"/>
      <c r="B10" s="4" t="s">
        <v>136</v>
      </c>
      <c r="C10" s="36"/>
      <c r="D10" s="36"/>
      <c r="E10" s="36"/>
      <c r="F10" s="36"/>
      <c r="G10" s="36"/>
      <c r="H10" s="36"/>
      <c r="I10" s="36"/>
      <c r="J10" s="37">
        <v>-0.01</v>
      </c>
      <c r="K10" s="11" t="s">
        <v>137</v>
      </c>
    </row>
    <row r="11" ht="15" customHeight="1">
      <c r="A11" s="1"/>
      <c r="B11" s="4" t="s">
        <v>138</v>
      </c>
      <c r="C11" s="36"/>
      <c r="D11" s="36"/>
      <c r="E11" s="36"/>
      <c r="F11" s="36"/>
      <c r="G11" s="36"/>
      <c r="H11" s="36"/>
      <c r="I11" s="36"/>
      <c r="J11" s="38">
        <f>J80/J81</f>
        <v>0.5817347106082964</v>
      </c>
      <c r="K11" s="11" t="s">
        <v>139</v>
      </c>
    </row>
    <row r="12" ht="15" customHeight="1">
      <c r="A12" s="1"/>
      <c r="B12" s="4" t="s">
        <v>140</v>
      </c>
      <c r="C12" s="36"/>
      <c r="D12" s="36"/>
      <c r="E12" s="36"/>
      <c r="F12" s="36"/>
      <c r="G12" s="36"/>
      <c r="H12" s="36"/>
      <c r="I12" s="36"/>
      <c r="J12" s="38">
        <f>J10/J11</f>
        <v>-0.017189966178128523</v>
      </c>
      <c r="K12" s="11" t="s">
        <v>141</v>
      </c>
    </row>
    <row r="13" ht="15" customHeight="1">
      <c r="A13" s="1"/>
      <c r="B13" s="1"/>
      <c r="C13" s="1"/>
      <c r="D13" s="1"/>
      <c r="E13" s="1"/>
      <c r="F13" s="1"/>
      <c r="G13" s="1"/>
      <c r="H13" s="1"/>
      <c r="I13" s="1"/>
      <c r="J13" s="35"/>
      <c r="K13" s="11"/>
    </row>
    <row r="14" ht="15" customHeight="1">
      <c r="A14" s="1"/>
      <c r="B14" s="3" t="s">
        <v>142</v>
      </c>
      <c r="C14" s="1"/>
      <c r="D14" s="1"/>
      <c r="E14" s="1"/>
      <c r="F14" s="1"/>
      <c r="G14" s="1"/>
      <c r="H14" s="1"/>
      <c r="I14" s="1"/>
      <c r="J14" s="35"/>
      <c r="K14" s="11"/>
    </row>
    <row r="15" ht="15" customHeight="1">
      <c r="A15" s="1"/>
      <c r="B15" s="3" t="s">
        <v>143</v>
      </c>
      <c r="C15" s="39">
        <f>'Segment - Nutrition'!C85</f>
        <v>2146</v>
      </c>
      <c r="D15" s="39">
        <f>'Segment - Nutrition'!D85</f>
        <v>2212</v>
      </c>
      <c r="E15" s="39">
        <f>'Segment - Nutrition'!E85</f>
        <v>2153</v>
      </c>
      <c r="F15" s="39">
        <f>'Segment - Nutrition'!F85</f>
        <v>1940</v>
      </c>
      <c r="G15" s="39">
        <f>'Segment - Nutrition'!G85</f>
        <v>8451</v>
      </c>
      <c r="H15" s="39">
        <f>'Segment - Nutrition'!H85</f>
        <v>2017</v>
      </c>
      <c r="I15" s="39">
        <f>'Segment - Nutrition'!I85</f>
        <v>2144</v>
      </c>
      <c r="J15" s="40">
        <f>'Segment - Nutrition'!J85</f>
        <v>2202.2455540586243</v>
      </c>
      <c r="K15" s="11" t="s">
        <v>144</v>
      </c>
    </row>
    <row r="16" ht="15" customHeight="1">
      <c r="A16" s="1"/>
      <c r="B16" s="4" t="s">
        <v>145</v>
      </c>
      <c r="C16" s="41">
        <f>C15/'Segment - Nutrition'!C105-1</f>
        <v>0.03771760154738879</v>
      </c>
      <c r="D16" s="41">
        <f>D15/'Segment - Nutrition'!D105-1</f>
        <v>0.028837209302325473</v>
      </c>
      <c r="E16" s="41">
        <f>E15/'Segment - Nutrition'!E105-1</f>
        <v>0.04211035818005815</v>
      </c>
      <c r="F16" s="41">
        <f>F15/'Segment - Nutrition'!F105-1</f>
        <v>-0.08877407233442935</v>
      </c>
      <c r="G16" s="41">
        <f>G15/'Segment - Nutrition'!G105-1</f>
        <v>0.004516819208367995</v>
      </c>
      <c r="H16" s="41">
        <f>H15/'Segment - Nutrition'!H105-1</f>
        <v>-0.060111835973904904</v>
      </c>
      <c r="I16" s="41">
        <f>I15/'Segment - Nutrition'!I105-1</f>
        <v>-0.030741410488245968</v>
      </c>
      <c r="J16" s="42">
        <f>J15/'Segment - Nutrition'!J105-1</f>
        <v>0.022872993060206293</v>
      </c>
      <c r="K16" s="11"/>
    </row>
    <row r="17" ht="15" customHeight="1">
      <c r="A17" s="1"/>
      <c r="B17" s="1" t="s">
        <v>146</v>
      </c>
      <c r="C17" s="27">
        <f>C15-'Segment - Nutrition'!F105</f>
        <v>17</v>
      </c>
      <c r="D17" s="33">
        <f t="shared" si="3" ref="D17:J76">D15-C15</f>
        <v>66</v>
      </c>
      <c r="E17" s="33">
        <f t="shared" si="3"/>
        <v>-59</v>
      </c>
      <c r="F17" s="33">
        <f t="shared" si="3"/>
        <v>-213</v>
      </c>
      <c r="G17" s="13" t="s">
        <v>30</v>
      </c>
      <c r="H17" s="33">
        <f t="shared" si="9" ref="H17:H76">H15-F15</f>
        <v>77</v>
      </c>
      <c r="I17" s="33">
        <f t="shared" si="3"/>
        <v>127</v>
      </c>
      <c r="J17" s="43">
        <f t="shared" si="3"/>
        <v>58.24555405862429</v>
      </c>
      <c r="K17" s="11"/>
    </row>
    <row r="18" ht="15" customHeight="1">
      <c r="A18" s="1"/>
      <c r="B18" s="4" t="s">
        <v>147</v>
      </c>
      <c r="C18" s="41">
        <f>C15/'Segment - Nutrition'!F105-1</f>
        <v>0.007984969469234438</v>
      </c>
      <c r="D18" s="44">
        <f t="shared" si="4" ref="D18:J77">D15/C15-1</f>
        <v>0.03075489282385835</v>
      </c>
      <c r="E18" s="44">
        <f t="shared" si="4"/>
        <v>-0.02667269439421338</v>
      </c>
      <c r="F18" s="44">
        <f t="shared" si="4"/>
        <v>-0.09893172317696242</v>
      </c>
      <c r="G18" s="36" t="s">
        <v>30</v>
      </c>
      <c r="H18" s="44">
        <f t="shared" si="10" ref="H18:H77">H15/F15-1</f>
        <v>0.03969072164948462</v>
      </c>
      <c r="I18" s="44">
        <f t="shared" si="4"/>
        <v>0.06296479920674258</v>
      </c>
      <c r="J18" s="38">
        <f t="shared" si="4"/>
        <v>0.02716676961689557</v>
      </c>
      <c r="K18" s="11"/>
    </row>
    <row r="19" ht="15" customHeight="1">
      <c r="A19" s="1"/>
      <c r="B19" s="4" t="s">
        <v>148</v>
      </c>
      <c r="C19" s="44">
        <f t="shared" si="5" ref="C19:J19">C15/C74</f>
        <v>0.20718285383278626</v>
      </c>
      <c r="D19" s="44">
        <f t="shared" si="5"/>
        <v>0.1985280919045055</v>
      </c>
      <c r="E19" s="44">
        <f t="shared" si="5"/>
        <v>0.18937461518163426</v>
      </c>
      <c r="F19" s="44">
        <f t="shared" si="5"/>
        <v>0.16929924077144604</v>
      </c>
      <c r="G19" s="44">
        <f t="shared" si="5"/>
        <v>0.19064699512723335</v>
      </c>
      <c r="H19" s="44">
        <f t="shared" si="5"/>
        <v>0.18067001074883554</v>
      </c>
      <c r="I19" s="44">
        <f t="shared" si="5"/>
        <v>0.17025331533391566</v>
      </c>
      <c r="J19" s="38">
        <f t="shared" si="5"/>
        <v>0.17043458167808226</v>
      </c>
      <c r="K19" s="11"/>
    </row>
    <row r="20" ht="15" customHeight="1">
      <c r="A20" s="1"/>
      <c r="B20" s="4" t="s">
        <v>149</v>
      </c>
      <c r="C20" s="45">
        <f>(C19-'Segment - Nutrition'!C105/C92)*10000</f>
        <v>-3.6431597853450737</v>
      </c>
      <c r="D20" s="45">
        <f>(D19-'Segment - Nutrition'!D105/D92)*10000</f>
        <v>-86.60883714652262</v>
      </c>
      <c r="E20" s="45">
        <f>(E19-'Segment - Nutrition'!E105/E92)*10000</f>
        <v>-48.89606727157464</v>
      </c>
      <c r="F20" s="45">
        <f>(F19-'Segment - Nutrition'!F105/F92)*10000</f>
        <v>-247.0476870549948</v>
      </c>
      <c r="G20" s="45">
        <f>(G19-'Segment - Nutrition'!G105/G92)*10000</f>
        <v>-99.01276624852461</v>
      </c>
      <c r="H20" s="45">
        <f>(H19-'Segment - Nutrition'!H105/H92)*10000</f>
        <v>-265.12843083950713</v>
      </c>
      <c r="I20" s="45">
        <f>(I19-'Segment - Nutrition'!I105/I92)*10000</f>
        <v>-282.74776570589825</v>
      </c>
      <c r="J20" s="46">
        <f>(J19-'Segment - Nutrition'!J105/J92)*10000</f>
        <v>-189.40033503552002</v>
      </c>
      <c r="K20" s="11"/>
    </row>
    <row r="21" ht="15" customHeight="1">
      <c r="A21" s="1"/>
      <c r="B21" s="4" t="s">
        <v>150</v>
      </c>
      <c r="C21" s="36" t="s">
        <v>30</v>
      </c>
      <c r="D21" s="36" t="s">
        <v>30</v>
      </c>
      <c r="E21" s="41">
        <f>'Segment - Nutrition'!E99</f>
        <v>0.040073572120038925</v>
      </c>
      <c r="F21" s="41">
        <f>'Segment - Nutrition'!F99</f>
        <v>-0.09053405354626587</v>
      </c>
      <c r="G21" s="41">
        <f>'Segment - Nutrition'!G99</f>
        <v>0.012137380952381038</v>
      </c>
      <c r="H21" s="41">
        <f>'Segment - Nutrition'!H99</f>
        <v>-0.07769944082013047</v>
      </c>
      <c r="I21" s="41">
        <f>'Segment - Nutrition'!I99</f>
        <v>-0.0353417721518986</v>
      </c>
      <c r="J21" s="42">
        <f>'Segment - Nutrition'!J99</f>
        <v>0.03332094751509507</v>
      </c>
      <c r="K21" s="11"/>
    </row>
    <row r="22" ht="15" customHeight="1">
      <c r="A22" s="1"/>
      <c r="B22" s="4" t="s">
        <v>151</v>
      </c>
      <c r="C22" s="36" t="s">
        <v>30</v>
      </c>
      <c r="D22" s="36" t="s">
        <v>30</v>
      </c>
      <c r="E22" s="36" t="s">
        <v>30</v>
      </c>
      <c r="F22" s="47">
        <f t="shared" si="6" ref="F22:J88">(F21-E21)*10000</f>
        <v>-1306.0762566630478</v>
      </c>
      <c r="G22" s="36" t="s">
        <v>30</v>
      </c>
      <c r="H22" s="47">
        <f t="shared" si="7" ref="H22:H88">(H21-F21)*10000</f>
        <v>128.34612726135396</v>
      </c>
      <c r="I22" s="47">
        <f t="shared" si="6"/>
        <v>423.5766866823187</v>
      </c>
      <c r="J22" s="48">
        <f t="shared" si="6"/>
        <v>686.6271966699367</v>
      </c>
      <c r="K22" s="11"/>
    </row>
    <row r="23" ht="15" customHeight="1">
      <c r="A23" s="1"/>
      <c r="B23" s="4" t="s">
        <v>152</v>
      </c>
      <c r="C23" s="36" t="s">
        <v>30</v>
      </c>
      <c r="D23" s="36" t="s">
        <v>30</v>
      </c>
      <c r="E23" s="41">
        <f>'Segment - Nutrition'!E95</f>
        <v>0</v>
      </c>
      <c r="F23" s="41">
        <f>'Segment - Nutrition'!F95</f>
        <v>0</v>
      </c>
      <c r="G23" s="41">
        <f>'Segment - Nutrition'!G95</f>
        <v>-0.0015452276239154017</v>
      </c>
      <c r="H23" s="41">
        <f>'Segment - Nutrition'!H95</f>
        <v>0</v>
      </c>
      <c r="I23" s="41">
        <f>'Segment - Nutrition'!I95</f>
        <v>0</v>
      </c>
      <c r="J23" s="42">
        <f>'Segment - Nutrition'!J95</f>
        <v>0</v>
      </c>
      <c r="K23" s="11"/>
    </row>
    <row r="24" ht="15" customHeight="1">
      <c r="A24" s="1"/>
      <c r="B24" s="4" t="s">
        <v>151</v>
      </c>
      <c r="C24" s="36" t="s">
        <v>30</v>
      </c>
      <c r="D24" s="36" t="s">
        <v>30</v>
      </c>
      <c r="E24" s="36" t="s">
        <v>30</v>
      </c>
      <c r="F24" s="47">
        <f t="shared" si="6"/>
        <v>0</v>
      </c>
      <c r="G24" s="36" t="s">
        <v>30</v>
      </c>
      <c r="H24" s="47">
        <f t="shared" si="7"/>
        <v>0</v>
      </c>
      <c r="I24" s="47">
        <f t="shared" si="6"/>
        <v>0</v>
      </c>
      <c r="J24" s="48">
        <f t="shared" si="6"/>
        <v>0</v>
      </c>
      <c r="K24" s="11"/>
    </row>
    <row r="25" ht="15" customHeight="1">
      <c r="A25" s="1"/>
      <c r="B25" s="4" t="s">
        <v>153</v>
      </c>
      <c r="C25" s="36" t="s">
        <v>30</v>
      </c>
      <c r="D25" s="36" t="s">
        <v>30</v>
      </c>
      <c r="E25" s="41">
        <f>'Segment - Nutrition'!E97</f>
        <v>0.0019583095990676203</v>
      </c>
      <c r="F25" s="41">
        <f>'Segment - Nutrition'!F97</f>
        <v>0.0019351809913270568</v>
      </c>
      <c r="G25" s="41">
        <f>'Segment - Nutrition'!G97</f>
        <v>-0.005993210501962221</v>
      </c>
      <c r="H25" s="41">
        <f>'Segment - Nutrition'!H97</f>
        <v>0.01906927700647265</v>
      </c>
      <c r="I25" s="41">
        <f>'Segment - Nutrition'!I97</f>
        <v>0.00476890315227485</v>
      </c>
      <c r="J25" s="42">
        <f>'Segment - Nutrition'!J97</f>
        <v>-0.010111044859792861</v>
      </c>
      <c r="K25" s="11"/>
    </row>
    <row r="26" ht="15" customHeight="1">
      <c r="A26" s="1"/>
      <c r="B26" s="4" t="s">
        <v>151</v>
      </c>
      <c r="C26" s="36" t="s">
        <v>30</v>
      </c>
      <c r="D26" s="36" t="s">
        <v>30</v>
      </c>
      <c r="E26" s="36" t="s">
        <v>30</v>
      </c>
      <c r="F26" s="47">
        <f t="shared" si="6"/>
        <v>-0.23128607740563467</v>
      </c>
      <c r="G26" s="36" t="s">
        <v>30</v>
      </c>
      <c r="H26" s="47">
        <f t="shared" si="7"/>
        <v>171.34096015145593</v>
      </c>
      <c r="I26" s="47">
        <f t="shared" si="6"/>
        <v>-143.003738541978</v>
      </c>
      <c r="J26" s="48">
        <f t="shared" si="6"/>
        <v>-148.79948012067712</v>
      </c>
      <c r="K26" s="11"/>
    </row>
    <row r="27" ht="15" customHeight="1">
      <c r="A27" s="1"/>
      <c r="B27" s="4" t="s">
        <v>154</v>
      </c>
      <c r="C27" s="36" t="s">
        <v>30</v>
      </c>
      <c r="D27" s="36" t="s">
        <v>30</v>
      </c>
      <c r="E27" s="44">
        <f t="shared" si="8" ref="E27:J66">(1+E21)*(1+E23)*(1+E25)-1</f>
        <v>0.04211035818005815</v>
      </c>
      <c r="F27" s="44">
        <f t="shared" si="8"/>
        <v>-0.08877407233442935</v>
      </c>
      <c r="G27" s="44">
        <f t="shared" si="8"/>
        <v>0.004516819208368217</v>
      </c>
      <c r="H27" s="44">
        <f t="shared" si="8"/>
        <v>-0.060111835973904904</v>
      </c>
      <c r="I27" s="44">
        <f t="shared" si="8"/>
        <v>-0.030741410488245968</v>
      </c>
      <c r="J27" s="38">
        <f t="shared" si="8"/>
        <v>0.022872993060206293</v>
      </c>
      <c r="K27" s="11"/>
    </row>
    <row r="28" ht="15" customHeight="1">
      <c r="A28" s="1"/>
      <c r="B28" s="3" t="s">
        <v>155</v>
      </c>
      <c r="C28" s="39">
        <f>'Segment - Diagnostics'!C220</f>
        <v>2054</v>
      </c>
      <c r="D28" s="39">
        <f>'Segment - Diagnostics'!D220</f>
        <v>2173</v>
      </c>
      <c r="E28" s="39">
        <f>'Segment - Diagnostics'!E220</f>
        <v>2253</v>
      </c>
      <c r="F28" s="39">
        <f>'Segment - Diagnostics'!F220</f>
        <v>2457</v>
      </c>
      <c r="G28" s="39">
        <f>'Segment - Diagnostics'!G220</f>
        <v>8937</v>
      </c>
      <c r="H28" s="39">
        <f>'Segment - Diagnostics'!H220</f>
        <v>2180</v>
      </c>
      <c r="I28" s="39">
        <f>'Segment - Diagnostics'!I220</f>
        <v>3092</v>
      </c>
      <c r="J28" s="40">
        <f>'Segment - Diagnostics'!J220</f>
        <v>3249.1819038895146</v>
      </c>
      <c r="K28" s="11" t="s">
        <v>156</v>
      </c>
    </row>
    <row r="29" ht="15" customHeight="1">
      <c r="A29" s="1"/>
      <c r="B29" s="4" t="s">
        <v>145</v>
      </c>
      <c r="C29" s="41">
        <f>C28/'Segment - Diagnostics'!C242-1</f>
        <v>-0.0722673893405601</v>
      </c>
      <c r="D29" s="41">
        <f>D28/'Segment - Diagnostics'!D242-1</f>
        <v>-0.010022779043280194</v>
      </c>
      <c r="E29" s="41">
        <f>E28/'Segment - Diagnostics'!E242-1</f>
        <v>-0.0659203980099502</v>
      </c>
      <c r="F29" s="41">
        <f>F28/'Segment - Diagnostics'!F242-1</f>
        <v>-0.025000000000000022</v>
      </c>
      <c r="G29" s="41">
        <f>G28/'Segment - Diagnostics'!G242-1</f>
        <v>-0.043250187346108526</v>
      </c>
      <c r="H29" s="41">
        <f>H28/'Segment - Diagnostics'!H242-1</f>
        <v>0.06134371957156759</v>
      </c>
      <c r="I29" s="41">
        <f>I28/'Segment - Diagnostics'!I242-1</f>
        <v>0.4229176254026692</v>
      </c>
      <c r="J29" s="42">
        <f>J28/'Segment - Diagnostics'!J242-1</f>
        <v>0.442157968881276</v>
      </c>
      <c r="K29" s="11"/>
    </row>
    <row r="30" ht="15" customHeight="1">
      <c r="A30" s="1"/>
      <c r="B30" s="1" t="s">
        <v>146</v>
      </c>
      <c r="C30" s="27">
        <f>C28-'Segment - Diagnostics'!F242</f>
        <v>-466</v>
      </c>
      <c r="D30" s="33">
        <f t="shared" si="3"/>
        <v>119</v>
      </c>
      <c r="E30" s="33">
        <f t="shared" si="3"/>
        <v>80</v>
      </c>
      <c r="F30" s="33">
        <f t="shared" si="3"/>
        <v>204</v>
      </c>
      <c r="G30" s="13" t="s">
        <v>30</v>
      </c>
      <c r="H30" s="33">
        <f t="shared" si="9"/>
        <v>-277</v>
      </c>
      <c r="I30" s="33">
        <f t="shared" si="3"/>
        <v>912</v>
      </c>
      <c r="J30" s="43">
        <f t="shared" si="3"/>
        <v>157.18190388951462</v>
      </c>
      <c r="K30" s="11"/>
    </row>
    <row r="31" ht="15" customHeight="1">
      <c r="A31" s="1"/>
      <c r="B31" s="4" t="s">
        <v>147</v>
      </c>
      <c r="C31" s="41">
        <f>C28/'Segment - Diagnostics'!F242-1</f>
        <v>-0.18492063492063493</v>
      </c>
      <c r="D31" s="44">
        <f t="shared" si="4"/>
        <v>0.057935735150925094</v>
      </c>
      <c r="E31" s="44">
        <f t="shared" si="4"/>
        <v>0.03681546249424761</v>
      </c>
      <c r="F31" s="44">
        <f t="shared" si="4"/>
        <v>0.09054593874833561</v>
      </c>
      <c r="G31" s="36" t="s">
        <v>30</v>
      </c>
      <c r="H31" s="44">
        <f t="shared" si="10"/>
        <v>-0.11273911273911275</v>
      </c>
      <c r="I31" s="44">
        <f t="shared" si="4"/>
        <v>0.41834862385321103</v>
      </c>
      <c r="J31" s="38">
        <f t="shared" si="4"/>
        <v>0.05083502713114951</v>
      </c>
      <c r="K31" s="11"/>
    </row>
    <row r="32" ht="15" customHeight="1">
      <c r="A32" s="1"/>
      <c r="B32" s="4" t="s">
        <v>148</v>
      </c>
      <c r="C32" s="44">
        <f t="shared" si="11" ref="C32:J32">C28/C74</f>
        <v>0.1983008302761151</v>
      </c>
      <c r="D32" s="44">
        <f t="shared" si="11"/>
        <v>0.1950278226530246</v>
      </c>
      <c r="E32" s="44">
        <f t="shared" si="11"/>
        <v>0.19817046354120854</v>
      </c>
      <c r="F32" s="44">
        <f t="shared" si="11"/>
        <v>0.21441661576053758</v>
      </c>
      <c r="G32" s="44">
        <f t="shared" si="11"/>
        <v>0.20161072008662695</v>
      </c>
      <c r="H32" s="44">
        <f t="shared" si="11"/>
        <v>0.1952705123611609</v>
      </c>
      <c r="I32" s="44">
        <f t="shared" si="11"/>
        <v>0.24553323274835226</v>
      </c>
      <c r="J32" s="38">
        <f t="shared" si="11"/>
        <v>0.2514583160650861</v>
      </c>
      <c r="K32" s="11"/>
    </row>
    <row r="33" ht="15" customHeight="1">
      <c r="A33" s="1"/>
      <c r="B33" s="4" t="s">
        <v>149</v>
      </c>
      <c r="C33" s="45">
        <f>(C32-'Segment - Diagnostics'!C242/C92)*10000</f>
        <v>-238.99089434844367</v>
      </c>
      <c r="D33" s="45">
        <f>(D32-'Segment - Diagnostics'!D242/D92)*10000</f>
        <v>-164.9766640932482</v>
      </c>
      <c r="E33" s="45">
        <f>(E32-'Segment - Diagnostics'!E242/E92)*10000</f>
        <v>-286.278439341088</v>
      </c>
      <c r="F33" s="45">
        <f>(F32-'Segment - Diagnostics'!F242/F92)*10000</f>
        <v>-152.1706384580468</v>
      </c>
      <c r="G33" s="45">
        <f>(G32-'Segment - Diagnostics'!G242/G92)*10000</f>
        <v>-210.5912496700832</v>
      </c>
      <c r="H33" s="45">
        <f>(H32-'Segment - Diagnostics'!H242/H92)*10000</f>
        <v>-30.303179149542004</v>
      </c>
      <c r="I33" s="45">
        <f>(I32-'Segment - Diagnostics'!I242/I92)*10000</f>
        <v>505.05410095327665</v>
      </c>
      <c r="J33" s="46">
        <f>(J32-'Segment - Diagnostics'!J242/J92)*10000</f>
        <v>532.8785252387758</v>
      </c>
      <c r="K33" s="11"/>
    </row>
    <row r="34" ht="15" customHeight="1">
      <c r="A34" s="1"/>
      <c r="B34" s="4" t="s">
        <v>150</v>
      </c>
      <c r="C34" s="36" t="s">
        <v>30</v>
      </c>
      <c r="D34" s="36" t="s">
        <v>30</v>
      </c>
      <c r="E34" s="41">
        <f>'Segment - Diagnostics'!E236</f>
        <v>-0.0780339966832504</v>
      </c>
      <c r="F34" s="41">
        <f>'Segment - Diagnostics'!F236</f>
        <v>-0.03602936507936494</v>
      </c>
      <c r="G34" s="41">
        <f>'Segment - Diagnostics'!G236</f>
        <v>-0.04498586875066901</v>
      </c>
      <c r="H34" s="41">
        <f>'Segment - Diagnostics'!H236</f>
        <v>0.018302788844621665</v>
      </c>
      <c r="I34" s="41">
        <f>'Segment - Diagnostics'!I236</f>
        <v>0.028784852546916984</v>
      </c>
      <c r="J34" s="42">
        <f>'Segment - Diagnostics'!J236</f>
        <v>0.05477770618556699</v>
      </c>
      <c r="K34" s="11"/>
    </row>
    <row r="35" ht="15" customHeight="1">
      <c r="A35" s="1"/>
      <c r="B35" s="4" t="s">
        <v>151</v>
      </c>
      <c r="C35" s="36" t="s">
        <v>30</v>
      </c>
      <c r="D35" s="36" t="s">
        <v>30</v>
      </c>
      <c r="E35" s="36" t="s">
        <v>30</v>
      </c>
      <c r="F35" s="47">
        <f t="shared" si="6"/>
        <v>420.04631603885457</v>
      </c>
      <c r="G35" s="36" t="s">
        <v>30</v>
      </c>
      <c r="H35" s="47">
        <f t="shared" si="7"/>
        <v>543.3215392398661</v>
      </c>
      <c r="I35" s="47">
        <f t="shared" si="6"/>
        <v>104.82063702295319</v>
      </c>
      <c r="J35" s="48">
        <f t="shared" si="6"/>
        <v>259.9285363865</v>
      </c>
      <c r="K35" s="11"/>
    </row>
    <row r="36" ht="15" customHeight="1">
      <c r="A36" s="1"/>
      <c r="B36" s="4" t="s">
        <v>152</v>
      </c>
      <c r="C36" s="36" t="s">
        <v>30</v>
      </c>
      <c r="D36" s="36" t="s">
        <v>30</v>
      </c>
      <c r="E36" s="41">
        <f>'Segment - Diagnostics'!E232</f>
        <v>0</v>
      </c>
      <c r="F36" s="41">
        <f>'Segment - Diagnostics'!F232</f>
        <v>0</v>
      </c>
      <c r="G36" s="41">
        <f>'Segment - Diagnostics'!G232</f>
        <v>0</v>
      </c>
      <c r="H36" s="41">
        <f>'Segment - Diagnostics'!H232</f>
        <v>0.006664807888673074</v>
      </c>
      <c r="I36" s="41">
        <f>'Segment - Diagnostics'!I232</f>
        <v>0.37321675103543495</v>
      </c>
      <c r="J36" s="42">
        <f>'Segment - Diagnostics'!J232</f>
        <v>0.3777185974256547</v>
      </c>
      <c r="K36" s="11"/>
    </row>
    <row r="37" ht="15" customHeight="1">
      <c r="A37" s="1"/>
      <c r="B37" s="4" t="s">
        <v>151</v>
      </c>
      <c r="C37" s="36" t="s">
        <v>30</v>
      </c>
      <c r="D37" s="36" t="s">
        <v>30</v>
      </c>
      <c r="E37" s="36" t="s">
        <v>30</v>
      </c>
      <c r="F37" s="47">
        <f t="shared" si="6"/>
        <v>0</v>
      </c>
      <c r="G37" s="36" t="s">
        <v>30</v>
      </c>
      <c r="H37" s="47">
        <f t="shared" si="7"/>
        <v>66.64807888673074</v>
      </c>
      <c r="I37" s="47">
        <f t="shared" si="6"/>
        <v>3665.5194314676187</v>
      </c>
      <c r="J37" s="48">
        <f t="shared" si="6"/>
        <v>45.018463902197766</v>
      </c>
      <c r="K37" s="11"/>
    </row>
    <row r="38" ht="15" customHeight="1">
      <c r="A38" s="1"/>
      <c r="B38" s="4" t="s">
        <v>153</v>
      </c>
      <c r="C38" s="36" t="s">
        <v>30</v>
      </c>
      <c r="D38" s="36" t="s">
        <v>30</v>
      </c>
      <c r="E38" s="41">
        <f>'Segment - Diagnostics'!E234</f>
        <v>0.013138877821657013</v>
      </c>
      <c r="F38" s="41">
        <f>'Segment - Diagnostics'!F234</f>
        <v>0.011441598612879966</v>
      </c>
      <c r="G38" s="41">
        <f>'Segment - Diagnostics'!G234</f>
        <v>0.0018174405464450594</v>
      </c>
      <c r="H38" s="41">
        <f>'Segment - Diagnostics'!H234</f>
        <v>0.03536680006117221</v>
      </c>
      <c r="I38" s="41">
        <f>'Segment - Diagnostics'!I234</f>
        <v>0.0072009000962247605</v>
      </c>
      <c r="J38" s="42">
        <f>'Segment - Diagnostics'!J234</f>
        <v>-0.007589452787691409</v>
      </c>
      <c r="K38" s="11"/>
    </row>
    <row r="39" ht="15" customHeight="1">
      <c r="A39" s="1"/>
      <c r="B39" s="4" t="s">
        <v>151</v>
      </c>
      <c r="C39" s="36" t="s">
        <v>30</v>
      </c>
      <c r="D39" s="36" t="s">
        <v>30</v>
      </c>
      <c r="E39" s="36" t="s">
        <v>30</v>
      </c>
      <c r="F39" s="47">
        <f t="shared" si="6"/>
        <v>-16.972792087770472</v>
      </c>
      <c r="G39" s="36" t="s">
        <v>30</v>
      </c>
      <c r="H39" s="47">
        <f t="shared" si="7"/>
        <v>239.25201448292245</v>
      </c>
      <c r="I39" s="47">
        <f t="shared" si="6"/>
        <v>-281.6589996494745</v>
      </c>
      <c r="J39" s="48">
        <f t="shared" si="6"/>
        <v>-147.90352883916168</v>
      </c>
      <c r="K39" s="11"/>
    </row>
    <row r="40" ht="15" customHeight="1">
      <c r="A40" s="1"/>
      <c r="B40" s="4" t="s">
        <v>154</v>
      </c>
      <c r="C40" s="36" t="s">
        <v>30</v>
      </c>
      <c r="D40" s="36" t="s">
        <v>30</v>
      </c>
      <c r="E40" s="44">
        <f t="shared" si="8"/>
        <v>-0.0659203980099502</v>
      </c>
      <c r="F40" s="44">
        <f t="shared" si="8"/>
        <v>-0.025000000000000022</v>
      </c>
      <c r="G40" s="44">
        <f t="shared" si="8"/>
        <v>-0.043250187346108526</v>
      </c>
      <c r="H40" s="44">
        <f t="shared" si="8"/>
        <v>0.06134371957156759</v>
      </c>
      <c r="I40" s="44">
        <f t="shared" si="8"/>
        <v>0.4229176254026692</v>
      </c>
      <c r="J40" s="38">
        <f t="shared" si="8"/>
        <v>0.442157968881276</v>
      </c>
      <c r="K40" s="11"/>
    </row>
    <row r="41" ht="15" customHeight="1">
      <c r="A41" s="1"/>
      <c r="B41" s="3" t="s">
        <v>157</v>
      </c>
      <c r="C41" s="39">
        <f>'Segment - Established Pharma'!C65</f>
        <v>1260</v>
      </c>
      <c r="D41" s="39">
        <f>'Segment - Established Pharma'!D65</f>
        <v>1383</v>
      </c>
      <c r="E41" s="39">
        <f>'Segment - Established Pharma'!E65</f>
        <v>1511</v>
      </c>
      <c r="F41" s="39">
        <f>'Segment - Established Pharma'!F65</f>
        <v>1382</v>
      </c>
      <c r="G41" s="39">
        <f>'Segment - Established Pharma'!G65</f>
        <v>5536</v>
      </c>
      <c r="H41" s="39">
        <f>'Segment - Established Pharma'!H65</f>
        <v>1426</v>
      </c>
      <c r="I41" s="39">
        <f>'Segment - Established Pharma'!I65</f>
        <v>1499</v>
      </c>
      <c r="J41" s="40">
        <f>'Segment - Established Pharma'!J65</f>
        <v>1610.4374354706877</v>
      </c>
      <c r="K41" s="11" t="s">
        <v>158</v>
      </c>
    </row>
    <row r="42" ht="15" customHeight="1">
      <c r="A42" s="1"/>
      <c r="B42" s="4" t="s">
        <v>145</v>
      </c>
      <c r="C42" s="41">
        <f>C41/'Segment - Established Pharma'!C83-1</f>
        <v>0.027732463295269127</v>
      </c>
      <c r="D42" s="41">
        <f>D41/'Segment - Established Pharma'!D83-1</f>
        <v>0.06877897990726423</v>
      </c>
      <c r="E42" s="41">
        <f>E41/'Segment - Established Pharma'!E83-1</f>
        <v>0.07467994310099568</v>
      </c>
      <c r="F42" s="41">
        <f>F41/'Segment - Established Pharma'!F83-1</f>
        <v>0.08990536277602534</v>
      </c>
      <c r="G42" s="41">
        <f>G41/'Segment - Established Pharma'!G83-1</f>
        <v>0.065845206006931</v>
      </c>
      <c r="H42" s="41">
        <f>H41/'Segment - Established Pharma'!H83-1</f>
        <v>0.13174603174603172</v>
      </c>
      <c r="I42" s="41">
        <f>I41/'Segment - Established Pharma'!I83-1</f>
        <v>0.08387563268257403</v>
      </c>
      <c r="J42" s="42">
        <f>J41/'Segment - Established Pharma'!J83-1</f>
        <v>0.06580902413678857</v>
      </c>
      <c r="K42" s="11"/>
    </row>
    <row r="43" ht="15" customHeight="1">
      <c r="A43" s="1"/>
      <c r="B43" s="1" t="s">
        <v>146</v>
      </c>
      <c r="C43" s="27">
        <f>C41-'Segment - Established Pharma'!F83</f>
        <v>-8</v>
      </c>
      <c r="D43" s="33">
        <f t="shared" si="3"/>
        <v>123</v>
      </c>
      <c r="E43" s="33">
        <f t="shared" si="3"/>
        <v>128</v>
      </c>
      <c r="F43" s="33">
        <f t="shared" si="3"/>
        <v>-129</v>
      </c>
      <c r="G43" s="13" t="s">
        <v>30</v>
      </c>
      <c r="H43" s="33">
        <f t="shared" si="9"/>
        <v>44</v>
      </c>
      <c r="I43" s="33">
        <f t="shared" si="3"/>
        <v>73</v>
      </c>
      <c r="J43" s="43">
        <f t="shared" si="3"/>
        <v>111.43743547068766</v>
      </c>
      <c r="K43" s="11"/>
    </row>
    <row r="44" ht="15" customHeight="1">
      <c r="A44" s="1"/>
      <c r="B44" s="4" t="s">
        <v>147</v>
      </c>
      <c r="C44" s="41">
        <f>C41/'Segment - Established Pharma'!F83-1</f>
        <v>-0.006309148264984188</v>
      </c>
      <c r="D44" s="44">
        <f t="shared" si="4"/>
        <v>0.09761904761904772</v>
      </c>
      <c r="E44" s="44">
        <f t="shared" si="4"/>
        <v>0.0925524222704266</v>
      </c>
      <c r="F44" s="44">
        <f t="shared" si="4"/>
        <v>-0.08537392455327597</v>
      </c>
      <c r="G44" s="36" t="s">
        <v>30</v>
      </c>
      <c r="H44" s="44">
        <f t="shared" si="10"/>
        <v>0.03183791606367592</v>
      </c>
      <c r="I44" s="44">
        <f t="shared" si="4"/>
        <v>0.05119214586255261</v>
      </c>
      <c r="J44" s="38">
        <f t="shared" si="4"/>
        <v>0.07434118443674964</v>
      </c>
      <c r="K44" s="11"/>
    </row>
    <row r="45" ht="15" customHeight="1">
      <c r="A45" s="1"/>
      <c r="B45" s="4" t="s">
        <v>148</v>
      </c>
      <c r="C45" s="44">
        <f t="shared" si="12" ref="C45:J45">C41/C74</f>
        <v>0.1216451052326704</v>
      </c>
      <c r="D45" s="44">
        <f t="shared" si="12"/>
        <v>0.12412493268712978</v>
      </c>
      <c r="E45" s="44">
        <f t="shared" si="12"/>
        <v>0.13290526871316738</v>
      </c>
      <c r="F45" s="44">
        <f t="shared" si="12"/>
        <v>0.12060389213718474</v>
      </c>
      <c r="G45" s="44">
        <f t="shared" si="12"/>
        <v>0.1248872044757264</v>
      </c>
      <c r="H45" s="44">
        <f t="shared" si="12"/>
        <v>0.12773199570046578</v>
      </c>
      <c r="I45" s="44">
        <f t="shared" si="12"/>
        <v>0.11903438418168824</v>
      </c>
      <c r="J45" s="38">
        <f t="shared" si="12"/>
        <v>0.1246337994086665</v>
      </c>
      <c r="K45" s="11"/>
    </row>
    <row r="46" ht="15" customHeight="1">
      <c r="A46" s="1"/>
      <c r="B46" s="4" t="s">
        <v>149</v>
      </c>
      <c r="C46" s="45">
        <f>(C45-'Segment - Established Pharma'!C83/C92)*10000</f>
        <v>-13.978494040216976</v>
      </c>
      <c r="D46" s="45">
        <f>(D45-'Segment - Established Pharma'!D83/D92)*10000</f>
        <v>-5.73920545981918</v>
      </c>
      <c r="E46" s="45">
        <f>(E45-'Segment - Established Pharma'!E83/E92)*10000</f>
        <v>7.002851682684497</v>
      </c>
      <c r="F46" s="45">
        <f>(F45-'Segment - Established Pharma'!F83/F92)*10000</f>
        <v>50.58056525739513</v>
      </c>
      <c r="G46" s="45">
        <f>(G45-'Segment - Established Pharma'!G83/G92)*10000</f>
        <v>10.731401133902835</v>
      </c>
      <c r="H46" s="45">
        <f>(H45-'Segment - Established Pharma'!H83/H92)*10000</f>
        <v>60.868904677953836</v>
      </c>
      <c r="I46" s="45">
        <f>(I45-'Segment - Established Pharma'!I83/I92)*10000</f>
        <v>-50.90548505441536</v>
      </c>
      <c r="J46" s="46">
        <f>(J45-'Segment - Established Pharma'!J83/J92)*10000</f>
        <v>-82.71469304500873</v>
      </c>
      <c r="K46" s="11"/>
    </row>
    <row r="47" ht="15" customHeight="1">
      <c r="A47" s="1"/>
      <c r="B47" s="4" t="s">
        <v>150</v>
      </c>
      <c r="C47" s="36" t="s">
        <v>30</v>
      </c>
      <c r="D47" s="36" t="s">
        <v>30</v>
      </c>
      <c r="E47" s="41">
        <f>'Segment - Established Pharma'!E78</f>
        <v>0.07114793741109526</v>
      </c>
      <c r="F47" s="41">
        <f>'Segment - Established Pharma'!F78</f>
        <v>0.06983911671924292</v>
      </c>
      <c r="G47" s="41">
        <f>'Segment - Established Pharma'!G78</f>
        <v>0.07416519060454374</v>
      </c>
      <c r="H47" s="41">
        <f>'Segment - Established Pharma'!H78</f>
        <v>0.09048809523809531</v>
      </c>
      <c r="I47" s="41">
        <f>'Segment - Established Pharma'!I78</f>
        <v>0.08685249457700617</v>
      </c>
      <c r="J47" s="42">
        <f>'Segment - Established Pharma'!J78</f>
        <v>0.0844506949040369</v>
      </c>
      <c r="K47" s="11"/>
    </row>
    <row r="48" ht="15" customHeight="1">
      <c r="A48" s="1"/>
      <c r="B48" s="4" t="s">
        <v>151</v>
      </c>
      <c r="C48" s="36" t="s">
        <v>30</v>
      </c>
      <c r="D48" s="36" t="s">
        <v>30</v>
      </c>
      <c r="E48" s="36" t="s">
        <v>30</v>
      </c>
      <c r="F48" s="47">
        <f t="shared" si="6"/>
        <v>-13.088206918523415</v>
      </c>
      <c r="G48" s="36" t="s">
        <v>30</v>
      </c>
      <c r="H48" s="47">
        <f t="shared" si="7"/>
        <v>206.4897851885239</v>
      </c>
      <c r="I48" s="47">
        <f t="shared" si="6"/>
        <v>-36.35600661089144</v>
      </c>
      <c r="J48" s="48">
        <f t="shared" si="6"/>
        <v>-24.017996729692737</v>
      </c>
      <c r="K48" s="11"/>
    </row>
    <row r="49" ht="15" customHeight="1">
      <c r="A49" s="1"/>
      <c r="B49" s="4" t="s">
        <v>152</v>
      </c>
      <c r="C49" s="36" t="s">
        <v>30</v>
      </c>
      <c r="D49" s="36" t="s">
        <v>30</v>
      </c>
      <c r="E49" s="41">
        <f>'Segment - Established Pharma'!E74</f>
        <v>0</v>
      </c>
      <c r="F49" s="41">
        <f>'Segment - Established Pharma'!F74</f>
        <v>0</v>
      </c>
      <c r="G49" s="41">
        <f>'Segment - Established Pharma'!G74</f>
        <v>0</v>
      </c>
      <c r="H49" s="41">
        <f>'Segment - Established Pharma'!H74</f>
        <v>0</v>
      </c>
      <c r="I49" s="41">
        <f>'Segment - Established Pharma'!I74</f>
        <v>0</v>
      </c>
      <c r="J49" s="42">
        <f>'Segment - Established Pharma'!J74</f>
        <v>0</v>
      </c>
      <c r="K49" s="11"/>
    </row>
    <row r="50" ht="15" customHeight="1">
      <c r="A50" s="1"/>
      <c r="B50" s="4" t="s">
        <v>151</v>
      </c>
      <c r="C50" s="36" t="s">
        <v>30</v>
      </c>
      <c r="D50" s="36" t="s">
        <v>30</v>
      </c>
      <c r="E50" s="36" t="s">
        <v>30</v>
      </c>
      <c r="F50" s="47">
        <f t="shared" si="6"/>
        <v>0</v>
      </c>
      <c r="G50" s="36" t="s">
        <v>30</v>
      </c>
      <c r="H50" s="47">
        <f t="shared" si="7"/>
        <v>0</v>
      </c>
      <c r="I50" s="47">
        <f t="shared" si="6"/>
        <v>0</v>
      </c>
      <c r="J50" s="48">
        <f t="shared" si="6"/>
        <v>0</v>
      </c>
      <c r="K50" s="11"/>
    </row>
    <row r="51" ht="15" customHeight="1">
      <c r="A51" s="1"/>
      <c r="B51" s="4" t="s">
        <v>153</v>
      </c>
      <c r="C51" s="36" t="s">
        <v>30</v>
      </c>
      <c r="D51" s="36" t="s">
        <v>30</v>
      </c>
      <c r="E51" s="41">
        <f>'Segment - Established Pharma'!E76</f>
        <v>0.003297402316282394</v>
      </c>
      <c r="F51" s="41">
        <f>'Segment - Established Pharma'!F76</f>
        <v>0.018756321154453026</v>
      </c>
      <c r="G51" s="41">
        <f>'Segment - Established Pharma'!G76</f>
        <v>-0.007745535482238219</v>
      </c>
      <c r="H51" s="41">
        <f>'Segment - Established Pharma'!H76</f>
        <v>0.0378343758983708</v>
      </c>
      <c r="I51" s="41">
        <f>'Segment - Established Pharma'!I76</f>
        <v>-0.002738975076457595</v>
      </c>
      <c r="J51" s="42">
        <f>'Segment - Established Pharma'!J76</f>
        <v>-0.017189966178128513</v>
      </c>
      <c r="K51" s="11"/>
    </row>
    <row r="52" ht="15" customHeight="1">
      <c r="A52" s="1"/>
      <c r="B52" s="4" t="s">
        <v>151</v>
      </c>
      <c r="C52" s="36" t="s">
        <v>30</v>
      </c>
      <c r="D52" s="36" t="s">
        <v>30</v>
      </c>
      <c r="E52" s="36" t="s">
        <v>30</v>
      </c>
      <c r="F52" s="47">
        <f t="shared" si="6"/>
        <v>154.58918838170632</v>
      </c>
      <c r="G52" s="36" t="s">
        <v>30</v>
      </c>
      <c r="H52" s="47">
        <f t="shared" si="7"/>
        <v>190.78054743917772</v>
      </c>
      <c r="I52" s="47">
        <f t="shared" si="6"/>
        <v>-405.73350974828395</v>
      </c>
      <c r="J52" s="48">
        <f t="shared" si="6"/>
        <v>-144.50991101670917</v>
      </c>
      <c r="K52" s="11"/>
    </row>
    <row r="53" ht="15" customHeight="1">
      <c r="A53" s="1"/>
      <c r="B53" s="4" t="s">
        <v>154</v>
      </c>
      <c r="C53" s="36" t="s">
        <v>30</v>
      </c>
      <c r="D53" s="36" t="s">
        <v>30</v>
      </c>
      <c r="E53" s="44">
        <f t="shared" si="8"/>
        <v>0.07467994310099568</v>
      </c>
      <c r="F53" s="44">
        <f t="shared" si="8"/>
        <v>0.08990536277602534</v>
      </c>
      <c r="G53" s="44">
        <f t="shared" si="8"/>
        <v>0.065845206006931</v>
      </c>
      <c r="H53" s="44">
        <f t="shared" si="8"/>
        <v>0.13174603174603172</v>
      </c>
      <c r="I53" s="44">
        <f t="shared" si="8"/>
        <v>0.08387563268257403</v>
      </c>
      <c r="J53" s="38">
        <f t="shared" si="8"/>
        <v>0.06580902413678857</v>
      </c>
      <c r="K53" s="11"/>
    </row>
    <row r="54" ht="15" customHeight="1">
      <c r="A54" s="1"/>
      <c r="B54" s="3" t="s">
        <v>159</v>
      </c>
      <c r="C54" s="39">
        <f>'Segment - Medical Devices'!C272</f>
        <v>4895</v>
      </c>
      <c r="D54" s="39">
        <f>'Segment - Medical Devices'!D272</f>
        <v>5369</v>
      </c>
      <c r="E54" s="39">
        <f>'Segment - Medical Devices'!E272</f>
        <v>5448</v>
      </c>
      <c r="F54" s="39">
        <f>'Segment - Medical Devices'!F272</f>
        <v>5675</v>
      </c>
      <c r="G54" s="39">
        <f>'Segment - Medical Devices'!G272</f>
        <v>21387</v>
      </c>
      <c r="H54" s="39">
        <f>'Segment - Medical Devices'!H272</f>
        <v>5539</v>
      </c>
      <c r="I54" s="39">
        <f>'Segment - Medical Devices'!I272</f>
        <v>5853</v>
      </c>
      <c r="J54" s="40">
        <f>'Segment - Medical Devices'!J272</f>
        <v>5854.489049985908</v>
      </c>
      <c r="K54" s="11" t="s">
        <v>160</v>
      </c>
    </row>
    <row r="55" ht="15" customHeight="1">
      <c r="A55" s="1"/>
      <c r="B55" s="4" t="s">
        <v>145</v>
      </c>
      <c r="C55" s="41">
        <f>C54/'Segment - Medical Devices'!C294-1</f>
        <v>0.0992589265663597</v>
      </c>
      <c r="D55" s="41">
        <f>D54/'Segment - Medical Devices'!D294-1</f>
        <v>0.13413603717786238</v>
      </c>
      <c r="E55" s="41">
        <f>E54/'Segment - Medical Devices'!E294-1</f>
        <v>0.1476722140299136</v>
      </c>
      <c r="F55" s="41">
        <f>F54/'Segment - Medical Devices'!F294-1</f>
        <v>0.123317498020586</v>
      </c>
      <c r="G55" s="41">
        <f>G54/'Segment - Medical Devices'!G294-1</f>
        <v>0.12646160328663236</v>
      </c>
      <c r="H55" s="41">
        <f>H54/'Segment - Medical Devices'!H294-1</f>
        <v>0.13156281920326873</v>
      </c>
      <c r="I55" s="41">
        <f>I54/'Segment - Medical Devices'!I294-1</f>
        <v>0.09014714099459864</v>
      </c>
      <c r="J55" s="42">
        <f>J54/'Segment - Medical Devices'!J294-1</f>
        <v>0.074612527530453</v>
      </c>
      <c r="K55" s="11"/>
    </row>
    <row r="56" ht="15" customHeight="1">
      <c r="A56" s="1"/>
      <c r="B56" s="1" t="s">
        <v>146</v>
      </c>
      <c r="C56" s="27">
        <f>C54-'Segment - Medical Devices'!F294</f>
        <v>-157</v>
      </c>
      <c r="D56" s="33">
        <f t="shared" si="3"/>
        <v>474</v>
      </c>
      <c r="E56" s="33">
        <f t="shared" si="3"/>
        <v>79</v>
      </c>
      <c r="F56" s="33">
        <f t="shared" si="3"/>
        <v>227</v>
      </c>
      <c r="G56" s="13" t="s">
        <v>30</v>
      </c>
      <c r="H56" s="33">
        <f t="shared" si="9"/>
        <v>-136</v>
      </c>
      <c r="I56" s="33">
        <f t="shared" si="3"/>
        <v>314</v>
      </c>
      <c r="J56" s="43">
        <f t="shared" si="3"/>
        <v>1.489049985908423</v>
      </c>
      <c r="K56" s="11"/>
    </row>
    <row r="57" ht="15" customHeight="1">
      <c r="A57" s="1"/>
      <c r="B57" s="4" t="s">
        <v>147</v>
      </c>
      <c r="C57" s="41">
        <f>C54/'Segment - Medical Devices'!F294-1</f>
        <v>-0.031076801266824994</v>
      </c>
      <c r="D57" s="44">
        <f t="shared" si="4"/>
        <v>0.0968335035750767</v>
      </c>
      <c r="E57" s="44">
        <f t="shared" si="4"/>
        <v>0.01471409945986224</v>
      </c>
      <c r="F57" s="44">
        <f t="shared" si="4"/>
        <v>0.04166666666666674</v>
      </c>
      <c r="G57" s="36" t="s">
        <v>30</v>
      </c>
      <c r="H57" s="44">
        <f t="shared" si="10"/>
        <v>-0.023964757709251105</v>
      </c>
      <c r="I57" s="44">
        <f t="shared" si="4"/>
        <v>0.05668893302040079</v>
      </c>
      <c r="J57" s="38">
        <f t="shared" si="4"/>
        <v>0.0002544079934918564</v>
      </c>
      <c r="K57" s="11"/>
    </row>
    <row r="58" ht="15" customHeight="1">
      <c r="A58" s="1"/>
      <c r="B58" s="4" t="s">
        <v>148</v>
      </c>
      <c r="C58" s="44">
        <f t="shared" si="13" ref="C58:J58">C54/C74</f>
        <v>0.47258157945549334</v>
      </c>
      <c r="D58" s="44">
        <f t="shared" si="13"/>
        <v>0.4818704002872016</v>
      </c>
      <c r="E58" s="44">
        <f t="shared" si="13"/>
        <v>0.4791978186296068</v>
      </c>
      <c r="F58" s="44">
        <f t="shared" si="13"/>
        <v>0.49524391308142074</v>
      </c>
      <c r="G58" s="44">
        <f t="shared" si="13"/>
        <v>0.48247157552788306</v>
      </c>
      <c r="H58" s="44">
        <f t="shared" si="13"/>
        <v>0.49614833393049085</v>
      </c>
      <c r="I58" s="44">
        <f t="shared" si="13"/>
        <v>0.4647820217581196</v>
      </c>
      <c r="J58" s="38">
        <f t="shared" si="13"/>
        <v>0.45308634649499197</v>
      </c>
      <c r="K58" s="11"/>
    </row>
    <row r="59" ht="15" customHeight="1">
      <c r="A59" s="1"/>
      <c r="B59" s="4" t="s">
        <v>149</v>
      </c>
      <c r="C59" s="45">
        <f>(C58-'Segment - Medical Devices'!C294/C92)*10000</f>
        <v>256.72707516513015</v>
      </c>
      <c r="D59" s="45">
        <f>(D58-'Segment - Medical Devices'!D294/D92)*10000</f>
        <v>256.6918606343749</v>
      </c>
      <c r="E59" s="45">
        <f>(E58-'Segment - Medical Devices'!E294/E92)*10000</f>
        <v>328.41448154759587</v>
      </c>
      <c r="F59" s="45">
        <f>(F58-'Segment - Medical Devices'!F294/F92)*10000</f>
        <v>348.83060156325087</v>
      </c>
      <c r="G59" s="45">
        <f>(G58-'Segment - Medical Devices'!G294/G92)*10000</f>
        <v>298.85163132173875</v>
      </c>
      <c r="H59" s="45">
        <f>(H58-'Segment - Medical Devices'!H294/H92)*10000</f>
        <v>235.6675447499751</v>
      </c>
      <c r="I59" s="45">
        <f>(I58-'Segment - Medical Devices'!I294/I92)*10000</f>
        <v>-170.8837852908196</v>
      </c>
      <c r="J59" s="46">
        <f>(J58-'Segment - Medical Devices'!J294/J92)*10000</f>
        <v>-261.11472134614843</v>
      </c>
      <c r="K59" s="11"/>
    </row>
    <row r="60" ht="15" customHeight="1">
      <c r="A60" s="1"/>
      <c r="B60" s="4" t="s">
        <v>150</v>
      </c>
      <c r="C60" s="36" t="s">
        <v>30</v>
      </c>
      <c r="D60" s="36" t="s">
        <v>30</v>
      </c>
      <c r="E60" s="41">
        <f>'Segment - Medical Devices'!E288</f>
        <v>0.12449820939540746</v>
      </c>
      <c r="F60" s="41">
        <f>'Segment - Medical Devices'!F288</f>
        <v>0.10374425969912915</v>
      </c>
      <c r="G60" s="41">
        <f>'Segment - Medical Devices'!G288</f>
        <v>0.11864321078689599</v>
      </c>
      <c r="H60" s="41">
        <f>'Segment - Medical Devices'!H288</f>
        <v>0.08451221515089302</v>
      </c>
      <c r="I60" s="41">
        <f>'Segment - Medical Devices'!I288</f>
        <v>0.08394108846081938</v>
      </c>
      <c r="J60" s="42">
        <f>'Segment - Medical Devices'!J288</f>
        <v>0.0890517876889052</v>
      </c>
      <c r="K60" s="11"/>
    </row>
    <row r="61" ht="15" customHeight="1">
      <c r="A61" s="1"/>
      <c r="B61" s="4" t="s">
        <v>151</v>
      </c>
      <c r="C61" s="36" t="s">
        <v>30</v>
      </c>
      <c r="D61" s="36" t="s">
        <v>30</v>
      </c>
      <c r="E61" s="36" t="s">
        <v>30</v>
      </c>
      <c r="F61" s="47">
        <f t="shared" si="6"/>
        <v>-207.53949696278306</v>
      </c>
      <c r="G61" s="36" t="s">
        <v>30</v>
      </c>
      <c r="H61" s="47">
        <f t="shared" si="7"/>
        <v>-192.32044548236127</v>
      </c>
      <c r="I61" s="47">
        <f t="shared" si="6"/>
        <v>-5.7112669007364225</v>
      </c>
      <c r="J61" s="48">
        <f t="shared" si="6"/>
        <v>51.10699228085824</v>
      </c>
      <c r="K61" s="11"/>
    </row>
    <row r="62" ht="15" customHeight="1">
      <c r="A62" s="1"/>
      <c r="B62" s="4" t="s">
        <v>152</v>
      </c>
      <c r="C62" s="36" t="s">
        <v>30</v>
      </c>
      <c r="D62" s="36" t="s">
        <v>30</v>
      </c>
      <c r="E62" s="41">
        <f>'Segment - Medical Devices'!E284</f>
        <v>0</v>
      </c>
      <c r="F62" s="41">
        <f>'Segment - Medical Devices'!F284</f>
        <v>0</v>
      </c>
      <c r="G62" s="41">
        <f>'Segment - Medical Devices'!G284</f>
        <v>0</v>
      </c>
      <c r="H62" s="41">
        <f>'Segment - Medical Devices'!H284</f>
        <v>-0.003395998326523708</v>
      </c>
      <c r="I62" s="41">
        <f>'Segment - Medical Devices'!I284</f>
        <v>-0.004097597317936352</v>
      </c>
      <c r="J62" s="42">
        <f>'Segment - Medical Devices'!J284</f>
        <v>-0.004038179148311283</v>
      </c>
      <c r="K62" s="11"/>
    </row>
    <row r="63" ht="15" customHeight="1">
      <c r="A63" s="1"/>
      <c r="B63" s="4" t="s">
        <v>151</v>
      </c>
      <c r="C63" s="36" t="s">
        <v>30</v>
      </c>
      <c r="D63" s="36" t="s">
        <v>30</v>
      </c>
      <c r="E63" s="36" t="s">
        <v>30</v>
      </c>
      <c r="F63" s="47">
        <f t="shared" si="6"/>
        <v>0</v>
      </c>
      <c r="G63" s="36" t="s">
        <v>30</v>
      </c>
      <c r="H63" s="47">
        <f t="shared" si="7"/>
        <v>-33.959983265237085</v>
      </c>
      <c r="I63" s="47">
        <f t="shared" si="6"/>
        <v>-7.0159899141264415</v>
      </c>
      <c r="J63" s="48">
        <f t="shared" si="6"/>
        <v>0.5941816962506952</v>
      </c>
      <c r="K63" s="11"/>
    </row>
    <row r="64" ht="15" customHeight="1">
      <c r="A64" s="1"/>
      <c r="B64" s="4" t="s">
        <v>153</v>
      </c>
      <c r="C64" s="36" t="s">
        <v>30</v>
      </c>
      <c r="D64" s="36" t="s">
        <v>30</v>
      </c>
      <c r="E64" s="41">
        <f>'Segment - Medical Devices'!E286</f>
        <v>0.020608307279533777</v>
      </c>
      <c r="F64" s="41">
        <f>'Segment - Medical Devices'!F286</f>
        <v>0.017733490479753256</v>
      </c>
      <c r="G64" s="41">
        <f>'Segment - Medical Devices'!G286</f>
        <v>0.006989174407304288</v>
      </c>
      <c r="H64" s="41">
        <f>'Segment - Medical Devices'!H286</f>
        <v>0.04693952114471944</v>
      </c>
      <c r="I64" s="41">
        <f>'Segment - Medical Devices'!I286</f>
        <v>0.00986346570027119</v>
      </c>
      <c r="J64" s="42">
        <f>'Segment - Medical Devices'!J286</f>
        <v>-0.009257766923259636</v>
      </c>
      <c r="K64" s="11"/>
    </row>
    <row r="65" ht="15" customHeight="1">
      <c r="A65" s="1"/>
      <c r="B65" s="4" t="s">
        <v>151</v>
      </c>
      <c r="C65" s="36" t="s">
        <v>30</v>
      </c>
      <c r="D65" s="36" t="s">
        <v>30</v>
      </c>
      <c r="E65" s="36" t="s">
        <v>30</v>
      </c>
      <c r="F65" s="47">
        <f t="shared" si="6"/>
        <v>-28.74816799780522</v>
      </c>
      <c r="G65" s="36" t="s">
        <v>30</v>
      </c>
      <c r="H65" s="47">
        <f t="shared" si="7"/>
        <v>292.06030664966187</v>
      </c>
      <c r="I65" s="47">
        <f t="shared" si="6"/>
        <v>-370.7605544444825</v>
      </c>
      <c r="J65" s="48">
        <f t="shared" si="6"/>
        <v>-191.21232623530827</v>
      </c>
      <c r="K65" s="11"/>
    </row>
    <row r="66" ht="15" customHeight="1">
      <c r="A66" s="1"/>
      <c r="B66" s="4" t="s">
        <v>154</v>
      </c>
      <c r="C66" s="36" t="s">
        <v>30</v>
      </c>
      <c r="D66" s="36" t="s">
        <v>30</v>
      </c>
      <c r="E66" s="44">
        <f t="shared" si="8"/>
        <v>0.1476722140299136</v>
      </c>
      <c r="F66" s="44">
        <f t="shared" si="8"/>
        <v>0.123317498020586</v>
      </c>
      <c r="G66" s="44">
        <f t="shared" si="8"/>
        <v>0.12646160328663236</v>
      </c>
      <c r="H66" s="44">
        <f t="shared" si="8"/>
        <v>0.13156281920326873</v>
      </c>
      <c r="I66" s="44">
        <f t="shared" si="8"/>
        <v>0.09014714099459886</v>
      </c>
      <c r="J66" s="38">
        <f t="shared" si="8"/>
        <v>0.074612527530453</v>
      </c>
      <c r="K66" s="11"/>
    </row>
    <row r="67" ht="15" customHeight="1">
      <c r="A67" s="1"/>
      <c r="B67" s="3" t="s">
        <v>161</v>
      </c>
      <c r="C67" s="49">
        <v>3</v>
      </c>
      <c r="D67" s="49">
        <v>5</v>
      </c>
      <c r="E67" s="49">
        <v>4</v>
      </c>
      <c r="F67" s="49">
        <v>5</v>
      </c>
      <c r="G67" s="50">
        <f>SUM(C67:F67)</f>
        <v>17</v>
      </c>
      <c r="H67" s="49">
        <v>2</v>
      </c>
      <c r="I67" s="49">
        <v>5</v>
      </c>
      <c r="J67" s="51">
        <f>I67</f>
        <v>5</v>
      </c>
      <c r="K67" s="11" t="s">
        <v>162</v>
      </c>
    </row>
    <row r="68" ht="15" customHeight="1">
      <c r="A68" s="1"/>
      <c r="B68" s="4" t="s">
        <v>145</v>
      </c>
      <c r="C68" s="44">
        <f t="shared" si="14" ref="C68:J68">C67/C93-1</f>
        <v>0</v>
      </c>
      <c r="D68" s="44">
        <f t="shared" si="14"/>
        <v>0.25</v>
      </c>
      <c r="E68" s="44">
        <f t="shared" si="14"/>
        <v>0</v>
      </c>
      <c r="F68" s="44">
        <f t="shared" si="14"/>
        <v>0</v>
      </c>
      <c r="G68" s="44">
        <f t="shared" si="14"/>
        <v>0.0625</v>
      </c>
      <c r="H68" s="44">
        <f t="shared" si="14"/>
        <v>-0.33333333333333337</v>
      </c>
      <c r="I68" s="44">
        <f t="shared" si="14"/>
        <v>0</v>
      </c>
      <c r="J68" s="38">
        <f t="shared" si="14"/>
        <v>0.25</v>
      </c>
      <c r="K68" s="11"/>
    </row>
    <row r="69" ht="15" customHeight="1">
      <c r="A69" s="1"/>
      <c r="B69" s="1" t="s">
        <v>146</v>
      </c>
      <c r="C69" s="33">
        <f>C67-F93</f>
        <v>-2</v>
      </c>
      <c r="D69" s="33">
        <f t="shared" si="3"/>
        <v>2</v>
      </c>
      <c r="E69" s="33">
        <f t="shared" si="3"/>
        <v>-1</v>
      </c>
      <c r="F69" s="33">
        <f t="shared" si="3"/>
        <v>1</v>
      </c>
      <c r="G69" s="13" t="s">
        <v>30</v>
      </c>
      <c r="H69" s="33">
        <f t="shared" si="9"/>
        <v>-3</v>
      </c>
      <c r="I69" s="33">
        <f t="shared" si="3"/>
        <v>3</v>
      </c>
      <c r="J69" s="43">
        <f t="shared" si="3"/>
        <v>0</v>
      </c>
      <c r="K69" s="11"/>
    </row>
    <row r="70" ht="15" customHeight="1">
      <c r="A70" s="1"/>
      <c r="B70" s="4" t="s">
        <v>147</v>
      </c>
      <c r="C70" s="44">
        <f>C67/F93-1</f>
        <v>-0.4</v>
      </c>
      <c r="D70" s="44">
        <f t="shared" si="4"/>
        <v>0.6666666666666667</v>
      </c>
      <c r="E70" s="44">
        <f t="shared" si="4"/>
        <v>-0.19999999999999996</v>
      </c>
      <c r="F70" s="44">
        <f t="shared" si="4"/>
        <v>0.25</v>
      </c>
      <c r="G70" s="36" t="s">
        <v>30</v>
      </c>
      <c r="H70" s="44">
        <f t="shared" si="10"/>
        <v>-0.6</v>
      </c>
      <c r="I70" s="44">
        <f t="shared" si="4"/>
        <v>1.5</v>
      </c>
      <c r="J70" s="38">
        <f t="shared" si="4"/>
        <v>0</v>
      </c>
      <c r="K70" s="11"/>
    </row>
    <row r="71" ht="15" customHeight="1">
      <c r="A71" s="1"/>
      <c r="B71" s="4" t="s">
        <v>148</v>
      </c>
      <c r="C71" s="44">
        <f t="shared" si="15" ref="C71:J71">C67/C74</f>
        <v>0.00028963120293492954</v>
      </c>
      <c r="D71" s="44">
        <f t="shared" si="15"/>
        <v>0.00044875246813857474</v>
      </c>
      <c r="E71" s="44">
        <f t="shared" si="15"/>
        <v>0.00035183393438297124</v>
      </c>
      <c r="F71" s="44">
        <f t="shared" si="15"/>
        <v>0.0004363382494109434</v>
      </c>
      <c r="G71" s="44">
        <f t="shared" si="15"/>
        <v>0.0003835047825302292</v>
      </c>
      <c r="H71" s="44">
        <f t="shared" si="15"/>
        <v>0.00017914725904693657</v>
      </c>
      <c r="I71" s="44">
        <f t="shared" si="15"/>
        <v>0.00039704597792424365</v>
      </c>
      <c r="J71" s="38">
        <f t="shared" si="15"/>
        <v>0.0003869563531731967</v>
      </c>
      <c r="K71" s="11"/>
    </row>
    <row r="72" ht="15" customHeight="1">
      <c r="A72" s="1"/>
      <c r="B72" s="4" t="s">
        <v>149</v>
      </c>
      <c r="C72" s="47">
        <f t="shared" si="16" ref="C72:J72">(C71-C93/C92)*10000</f>
        <v>-0.11452699112441019</v>
      </c>
      <c r="D72" s="47">
        <f t="shared" si="16"/>
        <v>0.6328460652153708</v>
      </c>
      <c r="E72" s="47">
        <f t="shared" si="16"/>
        <v>-0.24282661761833627</v>
      </c>
      <c r="F72" s="47">
        <f t="shared" si="16"/>
        <v>-0.1928413076037063</v>
      </c>
      <c r="G72" s="47">
        <f t="shared" si="16"/>
        <v>0.020983462966177573</v>
      </c>
      <c r="H72" s="47">
        <f t="shared" si="16"/>
        <v>-1.1048394388799296</v>
      </c>
      <c r="I72" s="47">
        <f t="shared" si="16"/>
        <v>-0.5170649021433109</v>
      </c>
      <c r="J72" s="48">
        <f t="shared" si="16"/>
        <v>0.35122418790225435</v>
      </c>
      <c r="K72" s="11"/>
    </row>
    <row r="73" ht="15" customHeight="1">
      <c r="A73" s="1"/>
      <c r="B73" s="1" t="s">
        <v>163</v>
      </c>
      <c r="C73" s="13" t="s">
        <v>30</v>
      </c>
      <c r="D73" s="13" t="s">
        <v>30</v>
      </c>
      <c r="E73" s="13" t="s">
        <v>30</v>
      </c>
      <c r="F73" s="13" t="s">
        <v>30</v>
      </c>
      <c r="G73" s="13" t="s">
        <v>30</v>
      </c>
      <c r="H73" s="13" t="s">
        <v>30</v>
      </c>
      <c r="I73" s="13" t="s">
        <v>30</v>
      </c>
      <c r="J73" s="52" t="s">
        <v>30</v>
      </c>
      <c r="K73" s="11" t="s">
        <v>164</v>
      </c>
    </row>
    <row r="74" ht="15" customHeight="1">
      <c r="A74" s="1"/>
      <c r="B74" s="3" t="s">
        <v>165</v>
      </c>
      <c r="C74" s="50">
        <f t="shared" si="17" ref="C74:J74">C15+C28+C41+C54+C67</f>
        <v>10358</v>
      </c>
      <c r="D74" s="50">
        <f t="shared" si="17"/>
        <v>11142</v>
      </c>
      <c r="E74" s="50">
        <f t="shared" si="17"/>
        <v>11369</v>
      </c>
      <c r="F74" s="50">
        <f t="shared" si="17"/>
        <v>11459</v>
      </c>
      <c r="G74" s="50">
        <f t="shared" si="17"/>
        <v>44328</v>
      </c>
      <c r="H74" s="50">
        <f t="shared" si="17"/>
        <v>11164</v>
      </c>
      <c r="I74" s="50">
        <f t="shared" si="17"/>
        <v>12593</v>
      </c>
      <c r="J74" s="51">
        <f t="shared" si="17"/>
        <v>12921.353943404734</v>
      </c>
      <c r="K74" s="11"/>
    </row>
    <row r="75" ht="15" customHeight="1">
      <c r="A75" s="1"/>
      <c r="B75" s="4" t="s">
        <v>166</v>
      </c>
      <c r="C75" s="44">
        <f t="shared" si="18" ref="C75:J75">C74/C92-1</f>
        <v>0.03954235246888804</v>
      </c>
      <c r="D75" s="44">
        <f t="shared" si="18"/>
        <v>0.07372072853425848</v>
      </c>
      <c r="E75" s="44">
        <f t="shared" si="18"/>
        <v>0.06901739539257168</v>
      </c>
      <c r="F75" s="44">
        <f t="shared" si="18"/>
        <v>0.0441953708766174</v>
      </c>
      <c r="G75" s="44">
        <f t="shared" si="18"/>
        <v>0.05668653158522052</v>
      </c>
      <c r="H75" s="44">
        <f t="shared" si="18"/>
        <v>0.07781424985518437</v>
      </c>
      <c r="I75" s="44">
        <f t="shared" si="18"/>
        <v>0.1302279662538144</v>
      </c>
      <c r="J75" s="38">
        <f t="shared" si="18"/>
        <v>0.13654269886575188</v>
      </c>
      <c r="K75" s="11"/>
    </row>
    <row r="76" ht="15" customHeight="1">
      <c r="A76" s="1"/>
      <c r="B76" s="1" t="s">
        <v>146</v>
      </c>
      <c r="C76" s="33">
        <f>C74-F92</f>
        <v>-616</v>
      </c>
      <c r="D76" s="33">
        <f t="shared" si="3"/>
        <v>784</v>
      </c>
      <c r="E76" s="33">
        <f t="shared" si="3"/>
        <v>227</v>
      </c>
      <c r="F76" s="33">
        <f t="shared" si="3"/>
        <v>90</v>
      </c>
      <c r="G76" s="13" t="s">
        <v>30</v>
      </c>
      <c r="H76" s="33">
        <f t="shared" si="9"/>
        <v>-295</v>
      </c>
      <c r="I76" s="33">
        <f t="shared" si="3"/>
        <v>1429</v>
      </c>
      <c r="J76" s="43">
        <f t="shared" si="3"/>
        <v>328.3539434047343</v>
      </c>
      <c r="K76" s="11"/>
    </row>
    <row r="77" ht="15" customHeight="1">
      <c r="A77" s="1"/>
      <c r="B77" s="4" t="s">
        <v>147</v>
      </c>
      <c r="C77" s="44">
        <f>C74/F92-1</f>
        <v>-0.05613267723710591</v>
      </c>
      <c r="D77" s="44">
        <f t="shared" si="4"/>
        <v>0.07569028770032826</v>
      </c>
      <c r="E77" s="44">
        <f t="shared" si="4"/>
        <v>0.020373362053491384</v>
      </c>
      <c r="F77" s="44">
        <f t="shared" si="4"/>
        <v>0.007916263523616962</v>
      </c>
      <c r="G77" s="36" t="s">
        <v>30</v>
      </c>
      <c r="H77" s="44">
        <f t="shared" si="10"/>
        <v>-0.025743956715245653</v>
      </c>
      <c r="I77" s="44">
        <f t="shared" si="4"/>
        <v>0.12800071658903622</v>
      </c>
      <c r="J77" s="38">
        <f t="shared" si="4"/>
        <v>0.026074322512882997</v>
      </c>
      <c r="K77" s="11"/>
    </row>
    <row r="78" ht="15" customHeight="1">
      <c r="A78" s="1"/>
      <c r="B78" s="4" t="s">
        <v>148</v>
      </c>
      <c r="C78" s="44">
        <f t="shared" si="19" ref="C78:J78">C74/C74</f>
        <v>1</v>
      </c>
      <c r="D78" s="44">
        <f t="shared" si="19"/>
        <v>1</v>
      </c>
      <c r="E78" s="44">
        <f t="shared" si="19"/>
        <v>1</v>
      </c>
      <c r="F78" s="44">
        <f t="shared" si="19"/>
        <v>1</v>
      </c>
      <c r="G78" s="44">
        <f t="shared" si="19"/>
        <v>1</v>
      </c>
      <c r="H78" s="44">
        <f t="shared" si="19"/>
        <v>1</v>
      </c>
      <c r="I78" s="44">
        <f t="shared" si="19"/>
        <v>1</v>
      </c>
      <c r="J78" s="38">
        <f t="shared" si="19"/>
        <v>1</v>
      </c>
      <c r="K78" s="11"/>
    </row>
    <row r="79" ht="15" customHeight="1">
      <c r="A79" s="1"/>
      <c r="B79" s="1" t="s">
        <v>167</v>
      </c>
      <c r="C79" s="13" t="s">
        <v>30</v>
      </c>
      <c r="D79" s="13" t="s">
        <v>30</v>
      </c>
      <c r="E79" s="27">
        <f>'Segment - Nutrition'!E91+'Segment - Diagnostics'!E226+'Segment - Established Pharma'!E71+'Segment - Medical Devices'!E278+E67</f>
        <v>11220.600999999999</v>
      </c>
      <c r="F79" s="27">
        <f>'Segment - Nutrition'!F91+'Segment - Diagnostics'!F226+'Segment - Established Pharma'!F71+'Segment - Medical Devices'!F278+F67</f>
        <v>11303.131</v>
      </c>
      <c r="G79" s="27">
        <f>'Segment - Nutrition'!G91+'Segment - Diagnostics'!G226+'Segment - Established Pharma'!G71+'Segment - Medical Devices'!G278+G67</f>
        <v>44257.515</v>
      </c>
      <c r="H79" s="27">
        <f>'Segment - Nutrition'!H91+'Segment - Diagnostics'!H226+'Segment - Established Pharma'!H71+'Segment - Medical Devices'!H278+H67</f>
        <v>10751.465</v>
      </c>
      <c r="I79" s="27">
        <f>'Segment - Nutrition'!I91+'Segment - Diagnostics'!I226+'Segment - Established Pharma'!I71+'Segment - Medical Devices'!I278+I67</f>
        <v>12507.668000000001</v>
      </c>
      <c r="J79" s="53">
        <f>'Segment - Nutrition'!J91+'Segment - Diagnostics'!J226+'Segment - Established Pharma'!J71+'Segment - Medical Devices'!J278+J67</f>
        <v>13051.57</v>
      </c>
      <c r="K79" s="11"/>
    </row>
    <row r="80" ht="15" customHeight="1">
      <c r="A80" s="1"/>
      <c r="B80" s="1" t="s">
        <v>168</v>
      </c>
      <c r="C80" s="27">
        <f>'Segment - Nutrition'!C93+'Segment - Diagnostics'!C228+'Segment - Established Pharma'!C72+'Segment - Medical Devices'!C280</f>
        <v>6118</v>
      </c>
      <c r="D80" s="27">
        <f>'Segment - Nutrition'!D93+'Segment - Diagnostics'!D228+'Segment - Established Pharma'!D72+'Segment - Medical Devices'!D280</f>
        <v>6443</v>
      </c>
      <c r="E80" s="27">
        <f>'Segment - Nutrition'!E93+'Segment - Diagnostics'!E228+'Segment - Established Pharma'!E72+'Segment - Medical Devices'!E280</f>
        <v>6433</v>
      </c>
      <c r="F80" s="27">
        <f>'Segment - Nutrition'!F93+'Segment - Diagnostics'!F228+'Segment - Established Pharma'!F72+'Segment - Medical Devices'!F280</f>
        <v>6633</v>
      </c>
      <c r="G80" s="27">
        <f>'Segment - Nutrition'!G93+'Segment - Diagnostics'!G228+'Segment - Established Pharma'!G72+'Segment - Medical Devices'!G280</f>
        <v>25627</v>
      </c>
      <c r="H80" s="27">
        <f>'Segment - Nutrition'!H93+'Segment - Diagnostics'!H228+'Segment - Established Pharma'!H72+'Segment - Medical Devices'!H280</f>
        <v>6213</v>
      </c>
      <c r="I80" s="27">
        <f>'Segment - Nutrition'!I93+'Segment - Diagnostics'!I228+'Segment - Established Pharma'!I72+'Segment - Medical Devices'!I280</f>
        <v>6891</v>
      </c>
      <c r="J80" s="53">
        <f>'Segment - Nutrition'!J93+'Segment - Diagnostics'!J228+'Segment - Established Pharma'!J72+'Segment - Medical Devices'!J280</f>
        <v>7096</v>
      </c>
      <c r="K80" s="11"/>
    </row>
    <row r="81" ht="15" customHeight="1">
      <c r="A81" s="1"/>
      <c r="B81" s="1" t="s">
        <v>169</v>
      </c>
      <c r="C81" s="27">
        <f>'Segment - Nutrition'!C94+'Segment - Diagnostics'!C229+'Segment - Established Pharma'!C73+'Segment - Medical Devices'!C281+C93</f>
        <v>9964</v>
      </c>
      <c r="D81" s="27">
        <f>'Segment - Nutrition'!D94+'Segment - Diagnostics'!D229+'Segment - Established Pharma'!D73+'Segment - Medical Devices'!D281+D93</f>
        <v>10377</v>
      </c>
      <c r="E81" s="27">
        <f>'Segment - Nutrition'!E94+'Segment - Diagnostics'!E229+'Segment - Established Pharma'!E73+'Segment - Medical Devices'!E281+E93</f>
        <v>10635</v>
      </c>
      <c r="F81" s="27">
        <f>'Segment - Nutrition'!F94+'Segment - Diagnostics'!F229+'Segment - Established Pharma'!F73+'Segment - Medical Devices'!F281+F93</f>
        <v>10974</v>
      </c>
      <c r="G81" s="27">
        <f>'Segment - Nutrition'!G94+'Segment - Diagnostics'!G229+'Segment - Established Pharma'!G73+'Segment - Medical Devices'!G281+G93</f>
        <v>41937</v>
      </c>
      <c r="H81" s="27">
        <f>'Segment - Nutrition'!H94+'Segment - Diagnostics'!H229+'Segment - Established Pharma'!H73+'Segment - Medical Devices'!H281+H93</f>
        <v>11041</v>
      </c>
      <c r="I81" s="27">
        <f>'Segment - Nutrition'!I94+'Segment - Diagnostics'!I229+'Segment - Established Pharma'!I73+'Segment - Medical Devices'!I281+I93</f>
        <v>11931</v>
      </c>
      <c r="J81" s="53">
        <f>'Segment - Nutrition'!J94+'Segment - Diagnostics'!J229+'Segment - Established Pharma'!J73+'Segment - Medical Devices'!J281+J93</f>
        <v>12198</v>
      </c>
      <c r="K81" s="11" t="s">
        <v>170</v>
      </c>
    </row>
    <row r="82" ht="15" customHeight="1">
      <c r="A82" s="1"/>
      <c r="B82" s="1" t="s">
        <v>171</v>
      </c>
      <c r="C82" s="27">
        <f>'Segment - Diagnostics'!C230+'Segment - Diagnostics'!C231+'Segment - Medical Devices'!C282+'Segment - Medical Devices'!C283</f>
        <v>0</v>
      </c>
      <c r="D82" s="27">
        <f>'Segment - Diagnostics'!D230+'Segment - Diagnostics'!D231+'Segment - Medical Devices'!D282+'Segment - Medical Devices'!D283</f>
        <v>0</v>
      </c>
      <c r="E82" s="27">
        <f>'Segment - Diagnostics'!E230+'Segment - Diagnostics'!E231+'Segment - Medical Devices'!E282+'Segment - Medical Devices'!E283</f>
        <v>0</v>
      </c>
      <c r="F82" s="27">
        <f>'Segment - Diagnostics'!F230+'Segment - Diagnostics'!F231+'Segment - Medical Devices'!F282+'Segment - Medical Devices'!F283</f>
        <v>0</v>
      </c>
      <c r="G82" s="27">
        <f>'Segment - Diagnostics'!G230+'Segment - Diagnostics'!G231+'Segment - Medical Devices'!G282+'Segment - Medical Devices'!G283</f>
        <v>0</v>
      </c>
      <c r="H82" s="27">
        <f>'Segment - Diagnostics'!H230+'Segment - Diagnostics'!H231+'Segment - Medical Devices'!H282+'Segment - Medical Devices'!H283</f>
        <v>698</v>
      </c>
      <c r="I82" s="27">
        <f>'Segment - Diagnostics'!I230+'Segment - Diagnostics'!I231+'Segment - Medical Devices'!I282+'Segment - Medical Devices'!I283</f>
        <v>0</v>
      </c>
      <c r="J82" s="53">
        <f>'Segment - Diagnostics'!J230+'Segment - Diagnostics'!J231+'Segment - Medical Devices'!J282+'Segment - Medical Devices'!J283</f>
        <v>0</v>
      </c>
      <c r="K82" s="11"/>
    </row>
    <row r="83" ht="15" customHeight="1">
      <c r="A83" s="1"/>
      <c r="B83" s="4" t="s">
        <v>152</v>
      </c>
      <c r="C83" s="36" t="s">
        <v>30</v>
      </c>
      <c r="D83" s="36" t="s">
        <v>30</v>
      </c>
      <c r="E83" s="44">
        <f t="shared" si="20" ref="E83:J83">(E81/E92)*(E79/(E79+E82))-1</f>
        <v>0</v>
      </c>
      <c r="F83" s="44">
        <f t="shared" si="20"/>
        <v>0</v>
      </c>
      <c r="G83" s="44">
        <f t="shared" si="20"/>
        <v>-0.00030989272943982016</v>
      </c>
      <c r="H83" s="44">
        <f t="shared" si="20"/>
        <v>0.0009559254015358842</v>
      </c>
      <c r="I83" s="44">
        <f t="shared" si="20"/>
        <v>0.07081313947226708</v>
      </c>
      <c r="J83" s="38">
        <f t="shared" si="20"/>
        <v>0.0729175829008708</v>
      </c>
      <c r="K83" s="11" t="s">
        <v>172</v>
      </c>
    </row>
    <row r="84" ht="15" customHeight="1">
      <c r="A84" s="1"/>
      <c r="B84" s="4" t="s">
        <v>151</v>
      </c>
      <c r="C84" s="36" t="s">
        <v>30</v>
      </c>
      <c r="D84" s="36" t="s">
        <v>30</v>
      </c>
      <c r="E84" s="36" t="s">
        <v>30</v>
      </c>
      <c r="F84" s="47">
        <f t="shared" si="6"/>
        <v>0</v>
      </c>
      <c r="G84" s="36" t="s">
        <v>30</v>
      </c>
      <c r="H84" s="47">
        <f t="shared" si="7"/>
        <v>9.559254015358842</v>
      </c>
      <c r="I84" s="47">
        <f t="shared" si="6"/>
        <v>698.572140707312</v>
      </c>
      <c r="J84" s="48">
        <f t="shared" si="6"/>
        <v>21.044434286037195</v>
      </c>
      <c r="K84" s="11"/>
    </row>
    <row r="85" ht="15" customHeight="1">
      <c r="A85" s="1"/>
      <c r="B85" s="4" t="s">
        <v>153</v>
      </c>
      <c r="C85" s="36" t="s">
        <v>30</v>
      </c>
      <c r="D85" s="36" t="s">
        <v>30</v>
      </c>
      <c r="E85" s="44">
        <f t="shared" si="21" ref="E85:J85">E74/E79-1</f>
        <v>0.013225583905889016</v>
      </c>
      <c r="F85" s="44">
        <f t="shared" si="21"/>
        <v>0.013789895914680717</v>
      </c>
      <c r="G85" s="44">
        <f t="shared" si="21"/>
        <v>0.0015926108820163432</v>
      </c>
      <c r="H85" s="44">
        <f t="shared" si="21"/>
        <v>0.03837011979297711</v>
      </c>
      <c r="I85" s="44">
        <f t="shared" si="21"/>
        <v>0.006822374882352156</v>
      </c>
      <c r="J85" s="38">
        <f t="shared" si="21"/>
        <v>-0.009977041581607837</v>
      </c>
      <c r="K85" s="11"/>
    </row>
    <row r="86" ht="15" customHeight="1">
      <c r="A86" s="1"/>
      <c r="B86" s="4" t="s">
        <v>151</v>
      </c>
      <c r="C86" s="36" t="s">
        <v>30</v>
      </c>
      <c r="D86" s="36" t="s">
        <v>30</v>
      </c>
      <c r="E86" s="36" t="s">
        <v>30</v>
      </c>
      <c r="F86" s="47">
        <f t="shared" si="6"/>
        <v>5.6431200879170085</v>
      </c>
      <c r="G86" s="36" t="s">
        <v>30</v>
      </c>
      <c r="H86" s="47">
        <f t="shared" si="7"/>
        <v>245.8022387829639</v>
      </c>
      <c r="I86" s="47">
        <f t="shared" si="6"/>
        <v>-315.47744910624954</v>
      </c>
      <c r="J86" s="48">
        <f t="shared" si="6"/>
        <v>-167.99416463959994</v>
      </c>
      <c r="K86" s="11"/>
    </row>
    <row r="87" ht="15" customHeight="1">
      <c r="A87" s="1"/>
      <c r="B87" s="4" t="s">
        <v>150</v>
      </c>
      <c r="C87" s="36" t="s">
        <v>30</v>
      </c>
      <c r="D87" s="36" t="s">
        <v>30</v>
      </c>
      <c r="E87" s="44">
        <f t="shared" si="22" ref="E87:J87">(1+E75)/((1+E83)*(1+E85))-1</f>
        <v>0.0550635637047483</v>
      </c>
      <c r="F87" s="44">
        <f t="shared" si="22"/>
        <v>0.02999188992163271</v>
      </c>
      <c r="G87" s="44">
        <f t="shared" si="22"/>
        <v>0.055333357178624976</v>
      </c>
      <c r="H87" s="44">
        <f t="shared" si="22"/>
        <v>0.03699529028167725</v>
      </c>
      <c r="I87" s="44">
        <f t="shared" si="22"/>
        <v>0.04833358477914662</v>
      </c>
      <c r="J87" s="38">
        <f t="shared" si="22"/>
        <v>0.0699762256107559</v>
      </c>
      <c r="K87" s="11" t="s">
        <v>173</v>
      </c>
    </row>
    <row r="88" ht="15" customHeight="1">
      <c r="A88" s="1"/>
      <c r="B88" s="4" t="s">
        <v>151</v>
      </c>
      <c r="C88" s="36" t="s">
        <v>30</v>
      </c>
      <c r="D88" s="36" t="s">
        <v>30</v>
      </c>
      <c r="E88" s="36" t="s">
        <v>30</v>
      </c>
      <c r="F88" s="47">
        <f t="shared" si="6"/>
        <v>-250.71673783115588</v>
      </c>
      <c r="G88" s="36" t="s">
        <v>30</v>
      </c>
      <c r="H88" s="47">
        <f t="shared" si="7"/>
        <v>70.03400360044543</v>
      </c>
      <c r="I88" s="47">
        <f t="shared" si="6"/>
        <v>113.3829449746937</v>
      </c>
      <c r="J88" s="48">
        <f t="shared" si="6"/>
        <v>216.42640831609273</v>
      </c>
      <c r="K88" s="11"/>
    </row>
    <row r="89" ht="15" customHeight="1">
      <c r="A89" s="1"/>
      <c r="B89" s="4" t="s">
        <v>174</v>
      </c>
      <c r="C89" s="36" t="s">
        <v>30</v>
      </c>
      <c r="D89" s="36" t="s">
        <v>30</v>
      </c>
      <c r="E89" s="54">
        <v>0.055</v>
      </c>
      <c r="F89" s="54">
        <v>0.03</v>
      </c>
      <c r="G89" s="54">
        <v>0.055</v>
      </c>
      <c r="H89" s="54">
        <v>0.037000000000000005</v>
      </c>
      <c r="I89" s="54">
        <v>0.048</v>
      </c>
      <c r="J89" s="55" t="s">
        <v>30</v>
      </c>
      <c r="K89" s="11" t="s">
        <v>175</v>
      </c>
    </row>
    <row r="90" ht="15" customHeight="1">
      <c r="A90" s="1"/>
      <c r="B90" s="4" t="s">
        <v>176</v>
      </c>
      <c r="C90" s="36" t="s">
        <v>30</v>
      </c>
      <c r="D90" s="36" t="s">
        <v>30</v>
      </c>
      <c r="E90" s="47">
        <f t="shared" si="23" ref="E90:I90">(E87-E89)*10000</f>
        <v>0.6356370474829703</v>
      </c>
      <c r="F90" s="47">
        <f t="shared" si="23"/>
        <v>-0.08110078367290496</v>
      </c>
      <c r="G90" s="47">
        <f t="shared" si="23"/>
        <v>3.3335717862497534</v>
      </c>
      <c r="H90" s="47">
        <f t="shared" si="23"/>
        <v>-0.047097183227540196</v>
      </c>
      <c r="I90" s="47">
        <f t="shared" si="23"/>
        <v>3.3358477914662013</v>
      </c>
      <c r="J90" s="55" t="s">
        <v>30</v>
      </c>
      <c r="K90" s="11"/>
    </row>
    <row r="91" ht="15" customHeight="1">
      <c r="A91" s="1"/>
      <c r="B91" s="4" t="s">
        <v>177</v>
      </c>
      <c r="C91" s="36" t="s">
        <v>30</v>
      </c>
      <c r="D91" s="36" t="s">
        <v>30</v>
      </c>
      <c r="E91" s="54">
        <v>0.075</v>
      </c>
      <c r="F91" s="54">
        <v>0.038</v>
      </c>
      <c r="G91" s="54">
        <v>0.067</v>
      </c>
      <c r="H91" s="36" t="s">
        <v>30</v>
      </c>
      <c r="I91" s="36" t="s">
        <v>30</v>
      </c>
      <c r="J91" s="55" t="s">
        <v>30</v>
      </c>
      <c r="K91" s="11" t="s">
        <v>178</v>
      </c>
    </row>
    <row r="92" ht="15" customHeight="1">
      <c r="A92" s="1"/>
      <c r="B92" s="1" t="s">
        <v>179</v>
      </c>
      <c r="C92" s="27">
        <f>'Segment - Nutrition'!C105+'Segment - Diagnostics'!C242+'Segment - Established Pharma'!C83+'Segment - Medical Devices'!C294+C93</f>
        <v>9964</v>
      </c>
      <c r="D92" s="27">
        <f>'Segment - Nutrition'!D105+'Segment - Diagnostics'!D242+'Segment - Established Pharma'!D83+'Segment - Medical Devices'!D294+D93</f>
        <v>10377</v>
      </c>
      <c r="E92" s="27">
        <f>'Segment - Nutrition'!E105+'Segment - Diagnostics'!E242+'Segment - Established Pharma'!E83+'Segment - Medical Devices'!E294+E93</f>
        <v>10635</v>
      </c>
      <c r="F92" s="27">
        <f>'Segment - Nutrition'!F105+'Segment - Diagnostics'!F242+'Segment - Established Pharma'!F83+'Segment - Medical Devices'!F294+F93</f>
        <v>10974</v>
      </c>
      <c r="G92" s="27">
        <f>'Segment - Nutrition'!G105+'Segment - Diagnostics'!G242+'Segment - Established Pharma'!G83+'Segment - Medical Devices'!G294+G93</f>
        <v>41950</v>
      </c>
      <c r="H92" s="27">
        <f>'Segment - Nutrition'!H105+'Segment - Diagnostics'!H242+'Segment - Established Pharma'!H83+'Segment - Medical Devices'!H294+H93</f>
        <v>10358</v>
      </c>
      <c r="I92" s="27">
        <f>'Segment - Nutrition'!I105+'Segment - Diagnostics'!I242+'Segment - Established Pharma'!I83+'Segment - Medical Devices'!I294+I93</f>
        <v>11142</v>
      </c>
      <c r="J92" s="53">
        <f>'Segment - Nutrition'!J105+'Segment - Diagnostics'!J242+'Segment - Established Pharma'!J83+'Segment - Medical Devices'!J294+J93</f>
        <v>11369</v>
      </c>
      <c r="K92" s="11"/>
    </row>
    <row r="93" ht="15" customHeight="1">
      <c r="A93" s="1"/>
      <c r="B93" s="1" t="s">
        <v>180</v>
      </c>
      <c r="C93" s="29">
        <v>3</v>
      </c>
      <c r="D93" s="29">
        <v>4</v>
      </c>
      <c r="E93" s="29">
        <v>4</v>
      </c>
      <c r="F93" s="33">
        <f>G93-C93-D93-E93</f>
        <v>5</v>
      </c>
      <c r="G93" s="29">
        <v>16</v>
      </c>
      <c r="H93" s="33">
        <f t="shared" si="24" ref="H93:J93">C67</f>
        <v>3</v>
      </c>
      <c r="I93" s="33">
        <f t="shared" si="24"/>
        <v>5</v>
      </c>
      <c r="J93" s="43">
        <f t="shared" si="24"/>
        <v>4</v>
      </c>
      <c r="K93" s="11" t="s">
        <v>181</v>
      </c>
    </row>
    <row r="94" ht="15" customHeight="1">
      <c r="A94" s="1"/>
      <c r="B94" s="1"/>
      <c r="C94" s="1"/>
      <c r="D94" s="1"/>
      <c r="E94" s="1"/>
      <c r="F94" s="1"/>
      <c r="G94" s="1"/>
      <c r="H94" s="1"/>
      <c r="I94" s="1"/>
      <c r="J94" s="35"/>
      <c r="K94" s="11"/>
    </row>
    <row r="95" ht="15" customHeight="1">
      <c r="A95" s="1"/>
      <c r="B95" s="3" t="s">
        <v>182</v>
      </c>
      <c r="C95" s="1"/>
      <c r="D95" s="1"/>
      <c r="E95" s="1"/>
      <c r="F95" s="1"/>
      <c r="G95" s="1"/>
      <c r="H95" s="1"/>
      <c r="I95" s="1"/>
      <c r="J95" s="35"/>
      <c r="K95" s="11"/>
    </row>
    <row r="96" ht="15" customHeight="1">
      <c r="A96" s="1"/>
      <c r="B96" s="1" t="s">
        <v>183</v>
      </c>
      <c r="C96" s="27">
        <f>Inputs!I101</f>
        <v>10358</v>
      </c>
      <c r="D96" s="27">
        <f>Inputs!I102</f>
        <v>11142</v>
      </c>
      <c r="E96" s="27">
        <f>Inputs!I103</f>
        <v>11369</v>
      </c>
      <c r="F96" s="27">
        <f>Inputs!I104</f>
        <v>11459</v>
      </c>
      <c r="G96" s="13"/>
      <c r="H96" s="27">
        <f>Inputs!I105</f>
        <v>11164</v>
      </c>
      <c r="I96" s="27">
        <f>Inputs!I106</f>
        <v>12593</v>
      </c>
      <c r="J96" s="52"/>
      <c r="K96" s="11" t="s">
        <v>184</v>
      </c>
    </row>
    <row r="97" ht="15" customHeight="1">
      <c r="A97" s="1"/>
      <c r="B97" s="1" t="s">
        <v>185</v>
      </c>
      <c r="C97" s="33">
        <f t="shared" si="25" ref="C97:I97">C74-C96</f>
        <v>0</v>
      </c>
      <c r="D97" s="33">
        <f t="shared" si="25"/>
        <v>0</v>
      </c>
      <c r="E97" s="33">
        <f t="shared" si="25"/>
        <v>0</v>
      </c>
      <c r="F97" s="33">
        <f t="shared" si="25"/>
        <v>0</v>
      </c>
      <c r="G97" s="13"/>
      <c r="H97" s="33">
        <f t="shared" si="25"/>
        <v>0</v>
      </c>
      <c r="I97" s="33">
        <f t="shared" si="25"/>
        <v>0</v>
      </c>
      <c r="J97" s="52"/>
      <c r="K97" s="11" t="s">
        <v>186</v>
      </c>
    </row>
    <row r="98" ht="15" customHeight="1">
      <c r="A98" s="1"/>
      <c r="B98" s="1" t="s">
        <v>187</v>
      </c>
      <c r="C98" s="13" t="b">
        <f t="shared" si="26" ref="C98:J98">ABS(C74-(C15+C28+C41+C54+C67))&lt;0.001</f>
        <v>1</v>
      </c>
      <c r="D98" s="13" t="b">
        <f t="shared" si="26"/>
        <v>1</v>
      </c>
      <c r="E98" s="13" t="b">
        <f t="shared" si="26"/>
        <v>1</v>
      </c>
      <c r="F98" s="13" t="b">
        <f t="shared" si="26"/>
        <v>1</v>
      </c>
      <c r="G98" s="13" t="b">
        <f t="shared" si="26"/>
        <v>1</v>
      </c>
      <c r="H98" s="13" t="b">
        <f t="shared" si="26"/>
        <v>1</v>
      </c>
      <c r="I98" s="13" t="b">
        <f t="shared" si="26"/>
        <v>1</v>
      </c>
      <c r="J98" s="52" t="b">
        <f t="shared" si="26"/>
        <v>1</v>
      </c>
      <c r="K98" s="11" t="s">
        <v>188</v>
      </c>
    </row>
    <row r="99" ht="15" customHeight="1">
      <c r="A99" s="1"/>
      <c r="B99" s="4" t="s">
        <v>189</v>
      </c>
      <c r="C99" s="13"/>
      <c r="D99" s="13"/>
      <c r="E99" s="13"/>
      <c r="F99" s="13"/>
      <c r="G99" s="13"/>
      <c r="H99" s="13"/>
      <c r="I99" s="13"/>
      <c r="J99" s="52"/>
      <c r="K99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33F87D8-E258-FF68-F6AF-B948BEAB4E4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190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4" t="s">
        <v>191</v>
      </c>
      <c r="C9" s="13"/>
      <c r="D9" s="13"/>
      <c r="E9" s="13"/>
      <c r="F9" s="13"/>
      <c r="G9" s="13"/>
      <c r="H9" s="13"/>
      <c r="I9" s="13"/>
      <c r="J9" s="52"/>
      <c r="K9" s="11"/>
    </row>
    <row r="10" ht="15" customHeight="1">
      <c r="A10" s="1"/>
      <c r="B10" s="3" t="s">
        <v>192</v>
      </c>
      <c r="C10" s="1"/>
      <c r="D10" s="1"/>
      <c r="E10" s="1"/>
      <c r="F10" s="1"/>
      <c r="G10" s="1"/>
      <c r="H10" s="1"/>
      <c r="I10" s="1"/>
      <c r="J10" s="35"/>
      <c r="K10" s="11"/>
    </row>
    <row r="11" ht="15" customHeight="1">
      <c r="A11" s="1"/>
      <c r="B11" s="1" t="s">
        <v>193</v>
      </c>
      <c r="C11" s="29">
        <v>588</v>
      </c>
      <c r="D11" s="29">
        <v>587</v>
      </c>
      <c r="E11" s="29">
        <v>520</v>
      </c>
      <c r="F11" s="29">
        <v>463</v>
      </c>
      <c r="G11" s="33">
        <f t="shared" si="6" ref="G11:G49">SUM(C11:F11)</f>
        <v>2158</v>
      </c>
      <c r="H11" s="29">
        <v>511</v>
      </c>
      <c r="I11" s="29">
        <v>525</v>
      </c>
      <c r="J11" s="43">
        <f>(J129)*(1+J14)</f>
        <v>540.8000000000001</v>
      </c>
      <c r="K11" s="11" t="s">
        <v>194</v>
      </c>
    </row>
    <row r="12" ht="15" customHeight="1">
      <c r="A12" s="1"/>
      <c r="B12" s="4" t="s">
        <v>195</v>
      </c>
      <c r="C12" s="44">
        <f t="shared" si="3" ref="C12:J12">C11/C129-1</f>
        <v>0.14396887159533067</v>
      </c>
      <c r="D12" s="44">
        <f t="shared" si="3"/>
        <v>0.04078014184397172</v>
      </c>
      <c r="E12" s="44">
        <f t="shared" si="3"/>
        <v>-0.08450704225352113</v>
      </c>
      <c r="F12" s="44">
        <f t="shared" si="3"/>
        <v>-0.17615658362989328</v>
      </c>
      <c r="G12" s="44">
        <f t="shared" si="3"/>
        <v>-0.02264492753623193</v>
      </c>
      <c r="H12" s="44">
        <f t="shared" si="3"/>
        <v>-0.13095238095238093</v>
      </c>
      <c r="I12" s="44">
        <f t="shared" si="3"/>
        <v>-0.10562180579216351</v>
      </c>
      <c r="J12" s="38">
        <f t="shared" si="3"/>
        <v>0.040000000000000036</v>
      </c>
      <c r="K12" s="11"/>
    </row>
    <row r="13" ht="15" customHeight="1">
      <c r="A13" s="1"/>
      <c r="B13" s="1" t="s">
        <v>196</v>
      </c>
      <c r="C13" s="33">
        <f>C11-F129</f>
        <v>26</v>
      </c>
      <c r="D13" s="33">
        <f t="shared" si="4" ref="D13:J87">D11-C11</f>
        <v>-1</v>
      </c>
      <c r="E13" s="33">
        <f t="shared" si="4"/>
        <v>-67</v>
      </c>
      <c r="F13" s="33">
        <f t="shared" si="4"/>
        <v>-57</v>
      </c>
      <c r="G13" s="13" t="s">
        <v>30</v>
      </c>
      <c r="H13" s="33">
        <f t="shared" si="8" ref="H13:H87">H11-F11</f>
        <v>48</v>
      </c>
      <c r="I13" s="33">
        <f t="shared" si="4"/>
        <v>14</v>
      </c>
      <c r="J13" s="43">
        <f t="shared" si="4"/>
        <v>15.800000000000068</v>
      </c>
      <c r="K13" s="11"/>
    </row>
    <row r="14" ht="15" customHeight="1">
      <c r="A14" s="1"/>
      <c r="B14" s="4" t="s">
        <v>197</v>
      </c>
      <c r="C14" s="36" t="s">
        <v>30</v>
      </c>
      <c r="D14" s="36" t="s">
        <v>30</v>
      </c>
      <c r="E14" s="54">
        <v>-0.084</v>
      </c>
      <c r="F14" s="54">
        <v>-0.177</v>
      </c>
      <c r="G14" s="54">
        <v>-0.023</v>
      </c>
      <c r="H14" s="54">
        <v>-0.13</v>
      </c>
      <c r="I14" s="54">
        <v>-0.107</v>
      </c>
      <c r="J14" s="37">
        <v>0.04</v>
      </c>
      <c r="K14" s="11" t="s">
        <v>198</v>
      </c>
    </row>
    <row r="15" ht="15" customHeight="1">
      <c r="A15" s="1"/>
      <c r="B15" s="4" t="s">
        <v>199</v>
      </c>
      <c r="C15" s="36" t="s">
        <v>30</v>
      </c>
      <c r="D15" s="47" t="str">
        <f t="shared" si="5" ref="D15:J100">IF(AND(ISNUMBER(D14),ISNUMBER(C14)),(D14-C14)*10000,"n/a")</f>
        <v>n/a</v>
      </c>
      <c r="E15" s="47" t="str">
        <f t="shared" si="5"/>
        <v>n/a</v>
      </c>
      <c r="F15" s="47">
        <f t="shared" si="5"/>
        <v>-929.9999999999999</v>
      </c>
      <c r="G15" s="36" t="s">
        <v>30</v>
      </c>
      <c r="H15" s="47">
        <f t="shared" si="9" ref="H15:H100">IF(AND(ISNUMBER(H14),ISNUMBER(F14)),(H14-F14)*10000,"n/a")</f>
        <v>469.9999999999999</v>
      </c>
      <c r="I15" s="47">
        <f t="shared" si="5"/>
        <v>230.00000000000006</v>
      </c>
      <c r="J15" s="48">
        <f t="shared" si="5"/>
        <v>1470</v>
      </c>
      <c r="K15" s="11"/>
    </row>
    <row r="16" ht="15" customHeight="1">
      <c r="A16" s="1"/>
      <c r="B16" s="1" t="s">
        <v>200</v>
      </c>
      <c r="C16" s="29">
        <v>453</v>
      </c>
      <c r="D16" s="29">
        <v>467</v>
      </c>
      <c r="E16" s="29">
        <v>457</v>
      </c>
      <c r="F16" s="29">
        <v>439</v>
      </c>
      <c r="G16" s="33">
        <f t="shared" si="6"/>
        <v>1816</v>
      </c>
      <c r="H16" s="29">
        <v>442</v>
      </c>
      <c r="I16" s="29">
        <v>500</v>
      </c>
      <c r="J16" s="43">
        <f>(J130)*(1+J19)*(1+J21)</f>
        <v>476.092836583991</v>
      </c>
      <c r="K16" s="11" t="s">
        <v>194</v>
      </c>
    </row>
    <row r="17" ht="15" customHeight="1">
      <c r="A17" s="1"/>
      <c r="B17" s="4" t="s">
        <v>195</v>
      </c>
      <c r="C17" s="44">
        <f t="shared" si="7" ref="C17:J17">C16/C130-1</f>
        <v>-0.08484848484848484</v>
      </c>
      <c r="D17" s="44">
        <f t="shared" si="7"/>
        <v>-0.0565656565656566</v>
      </c>
      <c r="E17" s="44">
        <f t="shared" si="7"/>
        <v>0.18087855297157618</v>
      </c>
      <c r="F17" s="44">
        <f t="shared" si="7"/>
        <v>0.0022831050228311334</v>
      </c>
      <c r="G17" s="44">
        <f t="shared" si="7"/>
        <v>0.000550964187327807</v>
      </c>
      <c r="H17" s="44">
        <f t="shared" si="7"/>
        <v>-0.02428256070640178</v>
      </c>
      <c r="I17" s="44">
        <f t="shared" si="7"/>
        <v>0.07066381156316925</v>
      </c>
      <c r="J17" s="38">
        <f t="shared" si="7"/>
        <v>0.0417786358511838</v>
      </c>
      <c r="K17" s="11"/>
    </row>
    <row r="18" ht="15" customHeight="1">
      <c r="A18" s="1"/>
      <c r="B18" s="1" t="s">
        <v>196</v>
      </c>
      <c r="C18" s="33">
        <f>C16-F130</f>
        <v>15</v>
      </c>
      <c r="D18" s="33">
        <f t="shared" si="4"/>
        <v>14</v>
      </c>
      <c r="E18" s="33">
        <f t="shared" si="4"/>
        <v>-10</v>
      </c>
      <c r="F18" s="33">
        <f t="shared" si="4"/>
        <v>-18</v>
      </c>
      <c r="G18" s="13" t="s">
        <v>30</v>
      </c>
      <c r="H18" s="33">
        <f t="shared" si="8"/>
        <v>3</v>
      </c>
      <c r="I18" s="33">
        <f t="shared" si="4"/>
        <v>58</v>
      </c>
      <c r="J18" s="43">
        <f t="shared" si="4"/>
        <v>-23.907163416008984</v>
      </c>
      <c r="K18" s="11"/>
    </row>
    <row r="19" ht="15" customHeight="1">
      <c r="A19" s="1"/>
      <c r="B19" s="4" t="s">
        <v>197</v>
      </c>
      <c r="C19" s="36" t="s">
        <v>30</v>
      </c>
      <c r="D19" s="36" t="s">
        <v>30</v>
      </c>
      <c r="E19" s="54">
        <v>0.182</v>
      </c>
      <c r="F19" s="54">
        <v>-0.003</v>
      </c>
      <c r="G19" s="54">
        <v>0.013</v>
      </c>
      <c r="H19" s="54">
        <v>-0.053</v>
      </c>
      <c r="I19" s="54">
        <v>0.064</v>
      </c>
      <c r="J19" s="37">
        <v>0.06</v>
      </c>
      <c r="K19" s="11" t="s">
        <v>201</v>
      </c>
    </row>
    <row r="20" ht="15" customHeight="1">
      <c r="A20" s="1"/>
      <c r="B20" s="4" t="s">
        <v>199</v>
      </c>
      <c r="C20" s="36" t="s">
        <v>30</v>
      </c>
      <c r="D20" s="47" t="str">
        <f t="shared" si="5"/>
        <v>n/a</v>
      </c>
      <c r="E20" s="47" t="str">
        <f t="shared" si="5"/>
        <v>n/a</v>
      </c>
      <c r="F20" s="47">
        <f t="shared" si="5"/>
        <v>-1850</v>
      </c>
      <c r="G20" s="36" t="s">
        <v>30</v>
      </c>
      <c r="H20" s="47">
        <f t="shared" si="9"/>
        <v>-499.99999999999994</v>
      </c>
      <c r="I20" s="47">
        <f t="shared" si="5"/>
        <v>1170</v>
      </c>
      <c r="J20" s="48">
        <f t="shared" si="5"/>
        <v>-40.000000000000036</v>
      </c>
      <c r="K20" s="11"/>
    </row>
    <row r="21" ht="15" customHeight="1">
      <c r="A21" s="1"/>
      <c r="B21" s="4" t="s">
        <v>202</v>
      </c>
      <c r="C21" s="36" t="s">
        <v>30</v>
      </c>
      <c r="D21" s="36" t="s">
        <v>30</v>
      </c>
      <c r="E21" s="44">
        <f t="shared" si="10" ref="E21:I54">(1+E17)/(1+E19)-1</f>
        <v>-0.0009487707516275812</v>
      </c>
      <c r="F21" s="44">
        <f t="shared" si="10"/>
        <v>0.005299002028917865</v>
      </c>
      <c r="G21" s="44">
        <f t="shared" si="10"/>
        <v>-0.012289275234621977</v>
      </c>
      <c r="H21" s="44">
        <f t="shared" si="10"/>
        <v>0.030324645505383607</v>
      </c>
      <c r="I21" s="44">
        <f t="shared" si="10"/>
        <v>0.006262980792452355</v>
      </c>
      <c r="J21" s="42">
        <f>'Revenue summary'!J12</f>
        <v>-0.017189966178128523</v>
      </c>
      <c r="K21" s="11" t="s">
        <v>203</v>
      </c>
    </row>
    <row r="22" ht="15" customHeight="1">
      <c r="A22" s="1"/>
      <c r="B22" s="4" t="s">
        <v>199</v>
      </c>
      <c r="C22" s="36" t="s">
        <v>30</v>
      </c>
      <c r="D22" s="47" t="str">
        <f t="shared" si="5"/>
        <v>n/a</v>
      </c>
      <c r="E22" s="47" t="str">
        <f t="shared" si="5"/>
        <v>n/a</v>
      </c>
      <c r="F22" s="47">
        <f t="shared" si="5"/>
        <v>62.477727805454464</v>
      </c>
      <c r="G22" s="36" t="s">
        <v>30</v>
      </c>
      <c r="H22" s="47">
        <f t="shared" si="9"/>
        <v>250.25643476465743</v>
      </c>
      <c r="I22" s="47">
        <f t="shared" si="5"/>
        <v>-240.61664712931253</v>
      </c>
      <c r="J22" s="48">
        <f t="shared" si="5"/>
        <v>-234.5294697058088</v>
      </c>
      <c r="K22" s="11"/>
    </row>
    <row r="23" ht="15" customHeight="1">
      <c r="A23" s="1"/>
      <c r="B23" s="1" t="s">
        <v>204</v>
      </c>
      <c r="C23" s="13" t="s">
        <v>30</v>
      </c>
      <c r="D23" s="13" t="s">
        <v>30</v>
      </c>
      <c r="E23" s="33">
        <f t="shared" si="11" ref="E23:J56">E16/(1+E21)</f>
        <v>457.434</v>
      </c>
      <c r="F23" s="33">
        <f t="shared" si="11"/>
        <v>436.686</v>
      </c>
      <c r="G23" s="33">
        <f t="shared" si="11"/>
        <v>1838.5949999999998</v>
      </c>
      <c r="H23" s="33">
        <f t="shared" si="11"/>
        <v>428.991</v>
      </c>
      <c r="I23" s="33">
        <f t="shared" si="11"/>
        <v>496.8879999999999</v>
      </c>
      <c r="J23" s="43">
        <f t="shared" si="11"/>
        <v>484.42</v>
      </c>
      <c r="K23" s="11"/>
    </row>
    <row r="24" ht="15" customHeight="1">
      <c r="A24" s="1"/>
      <c r="B24" s="3" t="s">
        <v>205</v>
      </c>
      <c r="C24" s="50">
        <f t="shared" si="12" ref="C24:J57">C11+C16</f>
        <v>1041</v>
      </c>
      <c r="D24" s="50">
        <f t="shared" si="12"/>
        <v>1054</v>
      </c>
      <c r="E24" s="50">
        <f t="shared" si="12"/>
        <v>977</v>
      </c>
      <c r="F24" s="50">
        <f t="shared" si="12"/>
        <v>902</v>
      </c>
      <c r="G24" s="50">
        <f t="shared" si="12"/>
        <v>3974</v>
      </c>
      <c r="H24" s="50">
        <f t="shared" si="12"/>
        <v>953</v>
      </c>
      <c r="I24" s="50">
        <f t="shared" si="12"/>
        <v>1025</v>
      </c>
      <c r="J24" s="51">
        <f t="shared" si="12"/>
        <v>1016.8928365839911</v>
      </c>
      <c r="K24" s="11"/>
    </row>
    <row r="25" ht="15" customHeight="1">
      <c r="A25" s="1"/>
      <c r="B25" s="4" t="s">
        <v>166</v>
      </c>
      <c r="C25" s="44">
        <f t="shared" si="13" ref="C25:J25">C24/C131-1</f>
        <v>0.031714568880079286</v>
      </c>
      <c r="D25" s="44">
        <f t="shared" si="13"/>
        <v>-0.0047214353163361755</v>
      </c>
      <c r="E25" s="44">
        <f t="shared" si="13"/>
        <v>0.023036649214659644</v>
      </c>
      <c r="F25" s="44">
        <f t="shared" si="13"/>
        <v>-0.09799999999999998</v>
      </c>
      <c r="G25" s="44">
        <f t="shared" si="13"/>
        <v>-0.012179965200099452</v>
      </c>
      <c r="H25" s="44">
        <f t="shared" si="13"/>
        <v>-0.08453410182516807</v>
      </c>
      <c r="I25" s="44">
        <f t="shared" si="13"/>
        <v>-0.02751423149905119</v>
      </c>
      <c r="J25" s="38">
        <f t="shared" si="13"/>
        <v>0.04083197193857835</v>
      </c>
      <c r="K25" s="11"/>
    </row>
    <row r="26" ht="15" customHeight="1">
      <c r="A26" s="1"/>
      <c r="B26" s="1" t="s">
        <v>146</v>
      </c>
      <c r="C26" s="33">
        <f>C24-F131</f>
        <v>41</v>
      </c>
      <c r="D26" s="33">
        <f t="shared" si="4"/>
        <v>13</v>
      </c>
      <c r="E26" s="33">
        <f t="shared" si="4"/>
        <v>-77</v>
      </c>
      <c r="F26" s="33">
        <f t="shared" si="4"/>
        <v>-75</v>
      </c>
      <c r="G26" s="13" t="s">
        <v>30</v>
      </c>
      <c r="H26" s="33">
        <f t="shared" si="8"/>
        <v>51</v>
      </c>
      <c r="I26" s="33">
        <f t="shared" si="4"/>
        <v>72</v>
      </c>
      <c r="J26" s="43">
        <f t="shared" si="4"/>
        <v>-8.107163416008916</v>
      </c>
      <c r="K26" s="11"/>
    </row>
    <row r="27" ht="15" customHeight="1">
      <c r="A27" s="1"/>
      <c r="B27" s="4" t="s">
        <v>147</v>
      </c>
      <c r="C27" s="44">
        <f>C24/F131-1</f>
        <v>0.040999999999999925</v>
      </c>
      <c r="D27" s="44">
        <f t="shared" si="14" ref="D27:J88">D24/C24-1</f>
        <v>0.012487992315081575</v>
      </c>
      <c r="E27" s="44">
        <f t="shared" si="14"/>
        <v>-0.07305502846299805</v>
      </c>
      <c r="F27" s="44">
        <f t="shared" si="14"/>
        <v>-0.07676560900716478</v>
      </c>
      <c r="G27" s="36" t="s">
        <v>30</v>
      </c>
      <c r="H27" s="44">
        <f t="shared" si="28" ref="H27:H88">H24/F24-1</f>
        <v>0.05654101995565419</v>
      </c>
      <c r="I27" s="44">
        <f t="shared" si="14"/>
        <v>0.07555089192025188</v>
      </c>
      <c r="J27" s="38">
        <f t="shared" si="14"/>
        <v>-0.00790942772293557</v>
      </c>
      <c r="K27" s="11"/>
    </row>
    <row r="28" ht="15" customHeight="1">
      <c r="A28" s="1"/>
      <c r="B28" s="4" t="s">
        <v>206</v>
      </c>
      <c r="C28" s="44">
        <f t="shared" si="15" ref="C28:J28">C24/C85</f>
        <v>0.4850885368126747</v>
      </c>
      <c r="D28" s="44">
        <f t="shared" si="15"/>
        <v>0.47649186256781195</v>
      </c>
      <c r="E28" s="44">
        <f t="shared" si="15"/>
        <v>0.45378541569902464</v>
      </c>
      <c r="F28" s="44">
        <f t="shared" si="15"/>
        <v>0.46494845360824744</v>
      </c>
      <c r="G28" s="44">
        <f t="shared" si="15"/>
        <v>0.47024020825937757</v>
      </c>
      <c r="H28" s="44">
        <f t="shared" si="15"/>
        <v>0.47248388696083293</v>
      </c>
      <c r="I28" s="44">
        <f t="shared" si="15"/>
        <v>0.4780783582089552</v>
      </c>
      <c r="J28" s="38">
        <f t="shared" si="15"/>
        <v>0.4617527026947156</v>
      </c>
      <c r="K28" s="11"/>
    </row>
    <row r="29" ht="15" customHeight="1">
      <c r="A29" s="1"/>
      <c r="B29" s="4" t="s">
        <v>149</v>
      </c>
      <c r="C29" s="47">
        <f t="shared" si="16" ref="C29:J29">(C28-C131/C105)*10000</f>
        <v>-28.224883323929582</v>
      </c>
      <c r="D29" s="47">
        <f t="shared" si="16"/>
        <v>-160.66276967071747</v>
      </c>
      <c r="E29" s="47">
        <f t="shared" si="16"/>
        <v>-84.6047007057843</v>
      </c>
      <c r="F29" s="47">
        <f t="shared" si="16"/>
        <v>-47.55632817304456</v>
      </c>
      <c r="G29" s="47">
        <f t="shared" si="16"/>
        <v>-79.48309510740104</v>
      </c>
      <c r="H29" s="47">
        <f t="shared" si="16"/>
        <v>-126.04649851841788</v>
      </c>
      <c r="I29" s="47">
        <f t="shared" si="16"/>
        <v>15.864956411432708</v>
      </c>
      <c r="J29" s="48">
        <f t="shared" si="16"/>
        <v>79.67286995690937</v>
      </c>
      <c r="K29" s="11"/>
    </row>
    <row r="30" ht="15" customHeight="1">
      <c r="A30" s="1"/>
      <c r="B30" s="1" t="s">
        <v>167</v>
      </c>
      <c r="C30" s="13" t="s">
        <v>30</v>
      </c>
      <c r="D30" s="13" t="s">
        <v>30</v>
      </c>
      <c r="E30" s="33">
        <f t="shared" si="17" ref="E30:J63">E11+E23</f>
        <v>977.434</v>
      </c>
      <c r="F30" s="33">
        <f t="shared" si="17"/>
        <v>899.6859999999999</v>
      </c>
      <c r="G30" s="33">
        <f t="shared" si="17"/>
        <v>3996.595</v>
      </c>
      <c r="H30" s="33">
        <f t="shared" si="17"/>
        <v>939.991</v>
      </c>
      <c r="I30" s="33">
        <f t="shared" si="17"/>
        <v>1021.8879999999999</v>
      </c>
      <c r="J30" s="43">
        <f t="shared" si="17"/>
        <v>1025.22</v>
      </c>
      <c r="K30" s="11" t="s">
        <v>207</v>
      </c>
    </row>
    <row r="31" ht="15" customHeight="1">
      <c r="A31" s="1"/>
      <c r="B31" s="1" t="s">
        <v>208</v>
      </c>
      <c r="C31" s="33">
        <f t="shared" si="18" ref="C31:J32">C129</f>
        <v>514</v>
      </c>
      <c r="D31" s="33">
        <f t="shared" si="18"/>
        <v>564</v>
      </c>
      <c r="E31" s="33">
        <f t="shared" si="18"/>
        <v>568</v>
      </c>
      <c r="F31" s="33">
        <f t="shared" si="18"/>
        <v>562</v>
      </c>
      <c r="G31" s="33">
        <f t="shared" si="18"/>
        <v>2208</v>
      </c>
      <c r="H31" s="33">
        <f t="shared" si="18"/>
        <v>588</v>
      </c>
      <c r="I31" s="33">
        <f t="shared" si="18"/>
        <v>587</v>
      </c>
      <c r="J31" s="43">
        <f t="shared" si="18"/>
        <v>520</v>
      </c>
      <c r="K31" s="11"/>
    </row>
    <row r="32" ht="15" customHeight="1">
      <c r="A32" s="1"/>
      <c r="B32" s="1" t="s">
        <v>168</v>
      </c>
      <c r="C32" s="33">
        <f t="shared" si="18"/>
        <v>495</v>
      </c>
      <c r="D32" s="33">
        <f t="shared" si="18"/>
        <v>495</v>
      </c>
      <c r="E32" s="33">
        <f t="shared" si="18"/>
        <v>387</v>
      </c>
      <c r="F32" s="33">
        <f t="shared" si="18"/>
        <v>438</v>
      </c>
      <c r="G32" s="33">
        <f t="shared" si="18"/>
        <v>1815</v>
      </c>
      <c r="H32" s="33">
        <f t="shared" si="18"/>
        <v>453</v>
      </c>
      <c r="I32" s="33">
        <f t="shared" si="18"/>
        <v>467</v>
      </c>
      <c r="J32" s="43">
        <f t="shared" si="18"/>
        <v>457</v>
      </c>
      <c r="K32" s="11"/>
    </row>
    <row r="33" ht="15" customHeight="1">
      <c r="A33" s="1"/>
      <c r="B33" s="1" t="s">
        <v>169</v>
      </c>
      <c r="C33" s="33">
        <f t="shared" si="19" ref="C33:J134">C31+C32</f>
        <v>1009</v>
      </c>
      <c r="D33" s="33">
        <f t="shared" si="19"/>
        <v>1059</v>
      </c>
      <c r="E33" s="33">
        <f t="shared" si="19"/>
        <v>955</v>
      </c>
      <c r="F33" s="33">
        <f t="shared" si="19"/>
        <v>1000</v>
      </c>
      <c r="G33" s="33">
        <f t="shared" si="19"/>
        <v>4023</v>
      </c>
      <c r="H33" s="33">
        <f t="shared" si="19"/>
        <v>1041</v>
      </c>
      <c r="I33" s="33">
        <f t="shared" si="19"/>
        <v>1054</v>
      </c>
      <c r="J33" s="43">
        <f t="shared" si="19"/>
        <v>977</v>
      </c>
      <c r="K33" s="11" t="s">
        <v>209</v>
      </c>
    </row>
    <row r="34" ht="15" customHeight="1">
      <c r="A34" s="1"/>
      <c r="B34" s="4" t="s">
        <v>152</v>
      </c>
      <c r="C34" s="36" t="s">
        <v>30</v>
      </c>
      <c r="D34" s="36" t="s">
        <v>30</v>
      </c>
      <c r="E34" s="44">
        <f t="shared" si="20" ref="E34:J34">(E33/E131)*(E30/(E30))-1</f>
        <v>0</v>
      </c>
      <c r="F34" s="44">
        <f t="shared" si="20"/>
        <v>0</v>
      </c>
      <c r="G34" s="44">
        <f t="shared" si="20"/>
        <v>0</v>
      </c>
      <c r="H34" s="44">
        <f t="shared" si="20"/>
        <v>0</v>
      </c>
      <c r="I34" s="44">
        <f t="shared" si="20"/>
        <v>0</v>
      </c>
      <c r="J34" s="38">
        <f t="shared" si="20"/>
        <v>0</v>
      </c>
      <c r="K34" s="11" t="s">
        <v>210</v>
      </c>
    </row>
    <row r="35" ht="15" customHeight="1">
      <c r="A35" s="1"/>
      <c r="B35" s="4" t="s">
        <v>151</v>
      </c>
      <c r="C35" s="36" t="s">
        <v>30</v>
      </c>
      <c r="D35" s="47" t="str">
        <f t="shared" si="5"/>
        <v>n/a</v>
      </c>
      <c r="E35" s="47" t="str">
        <f t="shared" si="5"/>
        <v>n/a</v>
      </c>
      <c r="F35" s="47">
        <f t="shared" si="5"/>
        <v>0</v>
      </c>
      <c r="G35" s="36" t="s">
        <v>30</v>
      </c>
      <c r="H35" s="47">
        <f t="shared" si="9"/>
        <v>0</v>
      </c>
      <c r="I35" s="47">
        <f t="shared" si="5"/>
        <v>0</v>
      </c>
      <c r="J35" s="48">
        <f t="shared" si="5"/>
        <v>0</v>
      </c>
      <c r="K35" s="11"/>
    </row>
    <row r="36" ht="15" customHeight="1">
      <c r="A36" s="1"/>
      <c r="B36" s="4" t="s">
        <v>153</v>
      </c>
      <c r="C36" s="36" t="s">
        <v>30</v>
      </c>
      <c r="D36" s="36" t="s">
        <v>30</v>
      </c>
      <c r="E36" s="44">
        <f t="shared" si="21" ref="E36:J97">E24/E30-1</f>
        <v>-0.00044401974967100966</v>
      </c>
      <c r="F36" s="44">
        <f t="shared" si="21"/>
        <v>0.002572008456283692</v>
      </c>
      <c r="G36" s="44">
        <f t="shared" si="21"/>
        <v>-0.005653562595159034</v>
      </c>
      <c r="H36" s="44">
        <f t="shared" si="21"/>
        <v>0.013839494207923186</v>
      </c>
      <c r="I36" s="44">
        <f t="shared" si="21"/>
        <v>0.003045343521012267</v>
      </c>
      <c r="J36" s="38">
        <f t="shared" si="21"/>
        <v>-0.008122318542370333</v>
      </c>
      <c r="K36" s="11"/>
    </row>
    <row r="37" ht="15" customHeight="1">
      <c r="A37" s="1"/>
      <c r="B37" s="4" t="s">
        <v>151</v>
      </c>
      <c r="C37" s="36" t="s">
        <v>30</v>
      </c>
      <c r="D37" s="47" t="str">
        <f t="shared" si="5"/>
        <v>n/a</v>
      </c>
      <c r="E37" s="47" t="str">
        <f t="shared" si="5"/>
        <v>n/a</v>
      </c>
      <c r="F37" s="47">
        <f t="shared" si="5"/>
        <v>30.160282059547015</v>
      </c>
      <c r="G37" s="36" t="s">
        <v>30</v>
      </c>
      <c r="H37" s="47">
        <f t="shared" si="9"/>
        <v>112.67485751639495</v>
      </c>
      <c r="I37" s="47">
        <f t="shared" si="5"/>
        <v>-107.94150686910919</v>
      </c>
      <c r="J37" s="48">
        <f t="shared" si="5"/>
        <v>-111.67662063382599</v>
      </c>
      <c r="K37" s="11"/>
    </row>
    <row r="38" ht="15" customHeight="1">
      <c r="A38" s="1"/>
      <c r="B38" s="4" t="s">
        <v>211</v>
      </c>
      <c r="C38" s="36" t="s">
        <v>30</v>
      </c>
      <c r="D38" s="36" t="s">
        <v>30</v>
      </c>
      <c r="E38" s="44">
        <f t="shared" si="22" ref="E38:J99">(1+E25)/((1+E34)*(1+E36))-1</f>
        <v>0.02349109947643968</v>
      </c>
      <c r="F38" s="44">
        <f t="shared" si="22"/>
        <v>-0.10031400000000001</v>
      </c>
      <c r="G38" s="44">
        <f t="shared" si="22"/>
        <v>-0.006563509818543478</v>
      </c>
      <c r="H38" s="44">
        <f t="shared" si="22"/>
        <v>-0.09703073967339082</v>
      </c>
      <c r="I38" s="44">
        <f t="shared" si="22"/>
        <v>-0.030466793168880568</v>
      </c>
      <c r="J38" s="38">
        <f t="shared" si="22"/>
        <v>0.049355168884339884</v>
      </c>
      <c r="K38" s="11" t="s">
        <v>212</v>
      </c>
    </row>
    <row r="39" ht="15" customHeight="1">
      <c r="A39" s="1"/>
      <c r="B39" s="4" t="s">
        <v>151</v>
      </c>
      <c r="C39" s="36" t="s">
        <v>30</v>
      </c>
      <c r="D39" s="47" t="str">
        <f t="shared" si="5"/>
        <v>n/a</v>
      </c>
      <c r="E39" s="47" t="str">
        <f t="shared" si="5"/>
        <v>n/a</v>
      </c>
      <c r="F39" s="47">
        <f t="shared" si="5"/>
        <v>-1238.050994764397</v>
      </c>
      <c r="G39" s="36" t="s">
        <v>30</v>
      </c>
      <c r="H39" s="47">
        <f t="shared" si="9"/>
        <v>32.832603266091944</v>
      </c>
      <c r="I39" s="47">
        <f t="shared" si="5"/>
        <v>665.6394650451025</v>
      </c>
      <c r="J39" s="48">
        <f t="shared" si="5"/>
        <v>798.2196205322045</v>
      </c>
      <c r="K39" s="11"/>
    </row>
    <row r="40" ht="15" customHeight="1">
      <c r="A40" s="1"/>
      <c r="B40" s="4" t="s">
        <v>213</v>
      </c>
      <c r="C40" s="44">
        <f t="shared" si="23" ref="C40:J73">C11/C24</f>
        <v>0.5648414985590778</v>
      </c>
      <c r="D40" s="44">
        <f t="shared" si="23"/>
        <v>0.5569259962049335</v>
      </c>
      <c r="E40" s="44">
        <f t="shared" si="23"/>
        <v>0.5322415557830092</v>
      </c>
      <c r="F40" s="44">
        <f t="shared" si="23"/>
        <v>0.5133037694013304</v>
      </c>
      <c r="G40" s="44">
        <f t="shared" si="23"/>
        <v>0.5430296930045294</v>
      </c>
      <c r="H40" s="44">
        <f t="shared" si="23"/>
        <v>0.5362014690451207</v>
      </c>
      <c r="I40" s="44">
        <f t="shared" si="23"/>
        <v>0.5121951219512195</v>
      </c>
      <c r="J40" s="38">
        <f t="shared" si="23"/>
        <v>0.5318161172387532</v>
      </c>
      <c r="K40" s="11"/>
    </row>
    <row r="41" ht="15" customHeight="1">
      <c r="A41" s="1"/>
      <c r="B41" s="4" t="s">
        <v>214</v>
      </c>
      <c r="C41" s="47">
        <f t="shared" si="24" ref="C41:J41">(C40-C129/C131)*10000</f>
        <v>554.2623592280427</v>
      </c>
      <c r="D41" s="47">
        <f t="shared" si="24"/>
        <v>243.48092522214037</v>
      </c>
      <c r="E41" s="47">
        <f t="shared" si="24"/>
        <v>-625.2284212274994</v>
      </c>
      <c r="F41" s="47">
        <f t="shared" si="24"/>
        <v>-486.9623059866968</v>
      </c>
      <c r="G41" s="47">
        <f t="shared" si="24"/>
        <v>-58.14453155053023</v>
      </c>
      <c r="H41" s="47">
        <f t="shared" si="24"/>
        <v>-286.40029513957165</v>
      </c>
      <c r="I41" s="47">
        <f t="shared" si="24"/>
        <v>-447.30874253714023</v>
      </c>
      <c r="J41" s="48">
        <f t="shared" si="24"/>
        <v>-4.254385442560293</v>
      </c>
      <c r="K41" s="11"/>
    </row>
    <row r="42" ht="15" customHeight="1">
      <c r="A42" s="1"/>
      <c r="B42" s="1"/>
      <c r="C42" s="1"/>
      <c r="D42" s="1"/>
      <c r="E42" s="1"/>
      <c r="F42" s="1"/>
      <c r="G42" s="1"/>
      <c r="H42" s="1"/>
      <c r="I42" s="1"/>
      <c r="J42" s="35"/>
      <c r="K42" s="11"/>
    </row>
    <row r="43" ht="15" customHeight="1">
      <c r="A43" s="1"/>
      <c r="B43" s="3" t="s">
        <v>215</v>
      </c>
      <c r="C43" s="1"/>
      <c r="D43" s="1"/>
      <c r="E43" s="1"/>
      <c r="F43" s="1"/>
      <c r="G43" s="1"/>
      <c r="H43" s="1"/>
      <c r="I43" s="1"/>
      <c r="J43" s="35"/>
      <c r="K43" s="11"/>
    </row>
    <row r="44" ht="15" customHeight="1">
      <c r="A44" s="1"/>
      <c r="B44" s="1" t="s">
        <v>193</v>
      </c>
      <c r="C44" s="29">
        <v>367</v>
      </c>
      <c r="D44" s="29">
        <v>370</v>
      </c>
      <c r="E44" s="29">
        <v>368</v>
      </c>
      <c r="F44" s="29">
        <v>343</v>
      </c>
      <c r="G44" s="33">
        <f t="shared" si="6"/>
        <v>1448</v>
      </c>
      <c r="H44" s="29">
        <v>333</v>
      </c>
      <c r="I44" s="29">
        <v>346</v>
      </c>
      <c r="J44" s="43">
        <f>(J132)*(1+J47)</f>
        <v>375.36</v>
      </c>
      <c r="K44" s="11" t="s">
        <v>194</v>
      </c>
    </row>
    <row r="45" ht="15" customHeight="1">
      <c r="A45" s="1"/>
      <c r="B45" s="4" t="s">
        <v>195</v>
      </c>
      <c r="C45" s="44">
        <f t="shared" si="25" ref="C45:J45">C44/C132-1</f>
        <v>0.008241758241758212</v>
      </c>
      <c r="D45" s="44">
        <f t="shared" si="25"/>
        <v>0.0027100271002709064</v>
      </c>
      <c r="E45" s="44">
        <f t="shared" si="25"/>
        <v>-0.03664921465968585</v>
      </c>
      <c r="F45" s="44">
        <f t="shared" si="25"/>
        <v>-0.06284153005464477</v>
      </c>
      <c r="G45" s="44">
        <f t="shared" si="25"/>
        <v>-0.022282241728561747</v>
      </c>
      <c r="H45" s="44">
        <f t="shared" si="25"/>
        <v>-0.0926430517711172</v>
      </c>
      <c r="I45" s="44">
        <f t="shared" si="25"/>
        <v>-0.06486486486486487</v>
      </c>
      <c r="J45" s="38">
        <f t="shared" si="25"/>
        <v>0.020000000000000018</v>
      </c>
      <c r="K45" s="11"/>
    </row>
    <row r="46" ht="15" customHeight="1">
      <c r="A46" s="1"/>
      <c r="B46" s="1" t="s">
        <v>196</v>
      </c>
      <c r="C46" s="33">
        <f>C44-F132</f>
        <v>1</v>
      </c>
      <c r="D46" s="33">
        <f t="shared" si="4"/>
        <v>3</v>
      </c>
      <c r="E46" s="33">
        <f t="shared" si="4"/>
        <v>-2</v>
      </c>
      <c r="F46" s="33">
        <f t="shared" si="4"/>
        <v>-25</v>
      </c>
      <c r="G46" s="13" t="s">
        <v>30</v>
      </c>
      <c r="H46" s="33">
        <f t="shared" si="8"/>
        <v>-10</v>
      </c>
      <c r="I46" s="33">
        <f t="shared" si="4"/>
        <v>13</v>
      </c>
      <c r="J46" s="43">
        <f t="shared" si="4"/>
        <v>29.360000000000014</v>
      </c>
      <c r="K46" s="11"/>
    </row>
    <row r="47" ht="15" customHeight="1">
      <c r="A47" s="1"/>
      <c r="B47" s="4" t="s">
        <v>197</v>
      </c>
      <c r="C47" s="36" t="s">
        <v>30</v>
      </c>
      <c r="D47" s="36" t="s">
        <v>30</v>
      </c>
      <c r="E47" s="54">
        <v>-0.038</v>
      </c>
      <c r="F47" s="54">
        <v>-0.063</v>
      </c>
      <c r="G47" s="54">
        <v>-0.014</v>
      </c>
      <c r="H47" s="54">
        <v>-0.092</v>
      </c>
      <c r="I47" s="54">
        <v>-0.064</v>
      </c>
      <c r="J47" s="37">
        <v>0.02</v>
      </c>
      <c r="K47" s="11" t="s">
        <v>201</v>
      </c>
    </row>
    <row r="48" ht="15" customHeight="1">
      <c r="A48" s="1"/>
      <c r="B48" s="4" t="s">
        <v>199</v>
      </c>
      <c r="C48" s="36" t="s">
        <v>30</v>
      </c>
      <c r="D48" s="47" t="str">
        <f t="shared" si="5"/>
        <v>n/a</v>
      </c>
      <c r="E48" s="47" t="str">
        <f t="shared" si="5"/>
        <v>n/a</v>
      </c>
      <c r="F48" s="47">
        <f t="shared" si="5"/>
        <v>-250</v>
      </c>
      <c r="G48" s="36" t="s">
        <v>30</v>
      </c>
      <c r="H48" s="47">
        <f t="shared" si="9"/>
        <v>-290</v>
      </c>
      <c r="I48" s="47">
        <f t="shared" si="5"/>
        <v>279.99999999999994</v>
      </c>
      <c r="J48" s="48">
        <f t="shared" si="5"/>
        <v>840</v>
      </c>
      <c r="K48" s="11"/>
    </row>
    <row r="49" ht="15" customHeight="1">
      <c r="A49" s="1"/>
      <c r="B49" s="1" t="s">
        <v>200</v>
      </c>
      <c r="C49" s="29">
        <v>738</v>
      </c>
      <c r="D49" s="29">
        <v>788</v>
      </c>
      <c r="E49" s="29">
        <v>808</v>
      </c>
      <c r="F49" s="29">
        <v>695</v>
      </c>
      <c r="G49" s="33">
        <f t="shared" si="6"/>
        <v>3029</v>
      </c>
      <c r="H49" s="29">
        <v>731</v>
      </c>
      <c r="I49" s="29">
        <v>773</v>
      </c>
      <c r="J49" s="43">
        <f>(J133)*(1+J52)*(1+J54)</f>
        <v>809.9927174746335</v>
      </c>
      <c r="K49" s="11" t="s">
        <v>194</v>
      </c>
    </row>
    <row r="50" ht="15" customHeight="1">
      <c r="A50" s="1"/>
      <c r="B50" s="4" t="s">
        <v>195</v>
      </c>
      <c r="C50" s="44">
        <f t="shared" si="26" ref="C50:J50">C49/C133-1</f>
        <v>0.06187050359712232</v>
      </c>
      <c r="D50" s="44">
        <f t="shared" si="26"/>
        <v>0.09141274238227148</v>
      </c>
      <c r="E50" s="44">
        <f t="shared" si="26"/>
        <v>0.10836762688614532</v>
      </c>
      <c r="F50" s="44">
        <f t="shared" si="26"/>
        <v>-0.08912188728702486</v>
      </c>
      <c r="G50" s="44">
        <f t="shared" si="26"/>
        <v>0.04125128910278453</v>
      </c>
      <c r="H50" s="44">
        <f t="shared" si="26"/>
        <v>-0.009485094850948506</v>
      </c>
      <c r="I50" s="44">
        <f t="shared" si="26"/>
        <v>-0.019035532994923887</v>
      </c>
      <c r="J50" s="38">
        <f t="shared" si="26"/>
        <v>0.0024662344983088502</v>
      </c>
      <c r="K50" s="11"/>
    </row>
    <row r="51" ht="15" customHeight="1">
      <c r="A51" s="1"/>
      <c r="B51" s="1" t="s">
        <v>196</v>
      </c>
      <c r="C51" s="33">
        <f>C49-F133</f>
        <v>-25</v>
      </c>
      <c r="D51" s="33">
        <f t="shared" si="4"/>
        <v>50</v>
      </c>
      <c r="E51" s="33">
        <f t="shared" si="4"/>
        <v>20</v>
      </c>
      <c r="F51" s="33">
        <f t="shared" si="4"/>
        <v>-113</v>
      </c>
      <c r="G51" s="13" t="s">
        <v>30</v>
      </c>
      <c r="H51" s="33">
        <f t="shared" si="8"/>
        <v>36</v>
      </c>
      <c r="I51" s="33">
        <f t="shared" si="4"/>
        <v>42</v>
      </c>
      <c r="J51" s="43">
        <f t="shared" si="4"/>
        <v>36.99271747463354</v>
      </c>
      <c r="K51" s="11"/>
    </row>
    <row r="52" ht="15" customHeight="1">
      <c r="A52" s="1"/>
      <c r="B52" s="4" t="s">
        <v>197</v>
      </c>
      <c r="C52" s="36" t="s">
        <v>30</v>
      </c>
      <c r="D52" s="36" t="s">
        <v>30</v>
      </c>
      <c r="E52" s="54">
        <v>0.102</v>
      </c>
      <c r="F52" s="54">
        <v>-0.091</v>
      </c>
      <c r="G52" s="54">
        <v>0.051</v>
      </c>
      <c r="H52" s="54">
        <v>-0.043</v>
      </c>
      <c r="I52" s="54">
        <v>-0.027999999999999997</v>
      </c>
      <c r="J52" s="37">
        <v>0.02</v>
      </c>
      <c r="K52" s="11" t="s">
        <v>201</v>
      </c>
    </row>
    <row r="53" ht="15" customHeight="1">
      <c r="A53" s="1"/>
      <c r="B53" s="4" t="s">
        <v>199</v>
      </c>
      <c r="C53" s="36" t="s">
        <v>30</v>
      </c>
      <c r="D53" s="47" t="str">
        <f t="shared" si="5"/>
        <v>n/a</v>
      </c>
      <c r="E53" s="47" t="str">
        <f t="shared" si="5"/>
        <v>n/a</v>
      </c>
      <c r="F53" s="47">
        <f t="shared" si="5"/>
        <v>-1930</v>
      </c>
      <c r="G53" s="36" t="s">
        <v>30</v>
      </c>
      <c r="H53" s="47">
        <f t="shared" si="9"/>
        <v>480</v>
      </c>
      <c r="I53" s="47">
        <f t="shared" si="5"/>
        <v>150</v>
      </c>
      <c r="J53" s="48">
        <f t="shared" si="5"/>
        <v>480</v>
      </c>
      <c r="K53" s="11"/>
    </row>
    <row r="54" ht="15" customHeight="1">
      <c r="A54" s="1"/>
      <c r="B54" s="4" t="s">
        <v>202</v>
      </c>
      <c r="C54" s="36" t="s">
        <v>30</v>
      </c>
      <c r="D54" s="36" t="s">
        <v>30</v>
      </c>
      <c r="E54" s="44">
        <f t="shared" si="10"/>
        <v>0.005778245813198968</v>
      </c>
      <c r="F54" s="44">
        <f t="shared" si="10"/>
        <v>0.002066130597332405</v>
      </c>
      <c r="G54" s="44">
        <f t="shared" si="10"/>
        <v>-0.009275652613906171</v>
      </c>
      <c r="H54" s="44">
        <f t="shared" si="10"/>
        <v>0.03502079952878945</v>
      </c>
      <c r="I54" s="44">
        <f t="shared" si="10"/>
        <v>0.009222702680119488</v>
      </c>
      <c r="J54" s="42">
        <f>'Revenue summary'!J12</f>
        <v>-0.017189966178128523</v>
      </c>
      <c r="K54" s="11" t="s">
        <v>203</v>
      </c>
    </row>
    <row r="55" ht="15" customHeight="1">
      <c r="A55" s="1"/>
      <c r="B55" s="4" t="s">
        <v>199</v>
      </c>
      <c r="C55" s="36" t="s">
        <v>30</v>
      </c>
      <c r="D55" s="47" t="str">
        <f t="shared" si="5"/>
        <v>n/a</v>
      </c>
      <c r="E55" s="47" t="str">
        <f t="shared" si="5"/>
        <v>n/a</v>
      </c>
      <c r="F55" s="47">
        <f t="shared" si="5"/>
        <v>-37.12115215866562</v>
      </c>
      <c r="G55" s="36" t="s">
        <v>30</v>
      </c>
      <c r="H55" s="47">
        <f t="shared" si="9"/>
        <v>329.5466893145704</v>
      </c>
      <c r="I55" s="47">
        <f t="shared" si="5"/>
        <v>-257.9809684866996</v>
      </c>
      <c r="J55" s="48">
        <f t="shared" si="5"/>
        <v>-264.1266885824801</v>
      </c>
      <c r="K55" s="11"/>
    </row>
    <row r="56" ht="15" customHeight="1">
      <c r="A56" s="1"/>
      <c r="B56" s="1" t="s">
        <v>204</v>
      </c>
      <c r="C56" s="13" t="s">
        <v>30</v>
      </c>
      <c r="D56" s="13" t="s">
        <v>30</v>
      </c>
      <c r="E56" s="33">
        <f t="shared" si="11"/>
        <v>803.3580000000001</v>
      </c>
      <c r="F56" s="33">
        <f t="shared" si="11"/>
        <v>693.567</v>
      </c>
      <c r="G56" s="33">
        <f t="shared" si="11"/>
        <v>3057.3589999999995</v>
      </c>
      <c r="H56" s="33">
        <f t="shared" si="11"/>
        <v>706.266</v>
      </c>
      <c r="I56" s="33">
        <f t="shared" si="11"/>
        <v>765.936</v>
      </c>
      <c r="J56" s="43">
        <f t="shared" si="11"/>
        <v>824.16</v>
      </c>
      <c r="K56" s="11"/>
    </row>
    <row r="57" ht="15" customHeight="1">
      <c r="A57" s="1"/>
      <c r="B57" s="3" t="s">
        <v>216</v>
      </c>
      <c r="C57" s="50">
        <f t="shared" si="12"/>
        <v>1105</v>
      </c>
      <c r="D57" s="50">
        <f t="shared" si="12"/>
        <v>1158</v>
      </c>
      <c r="E57" s="50">
        <f t="shared" si="12"/>
        <v>1176</v>
      </c>
      <c r="F57" s="50">
        <f t="shared" si="12"/>
        <v>1038</v>
      </c>
      <c r="G57" s="50">
        <f t="shared" si="12"/>
        <v>4477</v>
      </c>
      <c r="H57" s="50">
        <f t="shared" si="12"/>
        <v>1064</v>
      </c>
      <c r="I57" s="50">
        <f t="shared" si="12"/>
        <v>1119</v>
      </c>
      <c r="J57" s="51">
        <f t="shared" si="12"/>
        <v>1185.3527174746337</v>
      </c>
      <c r="K57" s="11"/>
    </row>
    <row r="58" ht="15" customHeight="1">
      <c r="A58" s="1"/>
      <c r="B58" s="4" t="s">
        <v>166</v>
      </c>
      <c r="C58" s="44">
        <f t="shared" si="27" ref="C58:J58">C57/C134-1</f>
        <v>0.04343720491029268</v>
      </c>
      <c r="D58" s="44">
        <f t="shared" si="27"/>
        <v>0.06141154903758017</v>
      </c>
      <c r="E58" s="44">
        <f t="shared" si="27"/>
        <v>0.058505850585058417</v>
      </c>
      <c r="F58" s="44">
        <f t="shared" si="27"/>
        <v>-0.08060230292294068</v>
      </c>
      <c r="G58" s="44">
        <f t="shared" si="27"/>
        <v>0.019817767653758533</v>
      </c>
      <c r="H58" s="44">
        <f t="shared" si="27"/>
        <v>-0.037104072398190024</v>
      </c>
      <c r="I58" s="44">
        <f t="shared" si="27"/>
        <v>-0.033678756476683946</v>
      </c>
      <c r="J58" s="38">
        <f t="shared" si="27"/>
        <v>0.007952991049858582</v>
      </c>
      <c r="K58" s="11"/>
    </row>
    <row r="59" ht="15" customHeight="1">
      <c r="A59" s="1"/>
      <c r="B59" s="1" t="s">
        <v>146</v>
      </c>
      <c r="C59" s="33">
        <f>C57-F134</f>
        <v>-24</v>
      </c>
      <c r="D59" s="33">
        <f t="shared" si="4"/>
        <v>53</v>
      </c>
      <c r="E59" s="33">
        <f t="shared" si="4"/>
        <v>18</v>
      </c>
      <c r="F59" s="33">
        <f t="shared" si="4"/>
        <v>-138</v>
      </c>
      <c r="G59" s="13" t="s">
        <v>30</v>
      </c>
      <c r="H59" s="33">
        <f t="shared" si="8"/>
        <v>26</v>
      </c>
      <c r="I59" s="33">
        <f t="shared" si="4"/>
        <v>55</v>
      </c>
      <c r="J59" s="43">
        <f t="shared" si="4"/>
        <v>66.35271747463366</v>
      </c>
      <c r="K59" s="11"/>
    </row>
    <row r="60" ht="15" customHeight="1">
      <c r="A60" s="1"/>
      <c r="B60" s="4" t="s">
        <v>147</v>
      </c>
      <c r="C60" s="44">
        <f>C57/F134-1</f>
        <v>-0.021257750221434946</v>
      </c>
      <c r="D60" s="44">
        <f t="shared" si="14"/>
        <v>0.04796380090497743</v>
      </c>
      <c r="E60" s="44">
        <f t="shared" si="14"/>
        <v>0.015544041450777257</v>
      </c>
      <c r="F60" s="44">
        <f t="shared" si="14"/>
        <v>-0.11734693877551017</v>
      </c>
      <c r="G60" s="36" t="s">
        <v>30</v>
      </c>
      <c r="H60" s="44">
        <f t="shared" si="28"/>
        <v>0.025048169556840083</v>
      </c>
      <c r="I60" s="44">
        <f t="shared" si="14"/>
        <v>0.051691729323308344</v>
      </c>
      <c r="J60" s="38">
        <f t="shared" si="14"/>
        <v>0.0592964409960981</v>
      </c>
      <c r="K60" s="11"/>
    </row>
    <row r="61" ht="15" customHeight="1">
      <c r="A61" s="1"/>
      <c r="B61" s="4" t="s">
        <v>206</v>
      </c>
      <c r="C61" s="44">
        <f t="shared" si="29" ref="C61:J61">C57/C85</f>
        <v>0.5149114631873253</v>
      </c>
      <c r="D61" s="44">
        <f t="shared" si="29"/>
        <v>0.523508137432188</v>
      </c>
      <c r="E61" s="44">
        <f t="shared" si="29"/>
        <v>0.5462145843009754</v>
      </c>
      <c r="F61" s="44">
        <f t="shared" si="29"/>
        <v>0.5350515463917526</v>
      </c>
      <c r="G61" s="44">
        <f t="shared" si="29"/>
        <v>0.5297597917406224</v>
      </c>
      <c r="H61" s="44">
        <f t="shared" si="29"/>
        <v>0.5275161130391671</v>
      </c>
      <c r="I61" s="44">
        <f t="shared" si="29"/>
        <v>0.5219216417910447</v>
      </c>
      <c r="J61" s="38">
        <f t="shared" si="29"/>
        <v>0.5382472973052846</v>
      </c>
      <c r="K61" s="11"/>
    </row>
    <row r="62" ht="15" customHeight="1">
      <c r="A62" s="1"/>
      <c r="B62" s="4" t="s">
        <v>149</v>
      </c>
      <c r="C62" s="47">
        <f t="shared" si="30" ref="C62:J62">(C61-C134/C105)*10000</f>
        <v>28.224883323929582</v>
      </c>
      <c r="D62" s="47">
        <f t="shared" si="30"/>
        <v>160.66276967071747</v>
      </c>
      <c r="E62" s="47">
        <f t="shared" si="30"/>
        <v>84.60470070578485</v>
      </c>
      <c r="F62" s="47">
        <f t="shared" si="30"/>
        <v>47.55632817304512</v>
      </c>
      <c r="G62" s="47">
        <f t="shared" si="30"/>
        <v>79.48309510740104</v>
      </c>
      <c r="H62" s="47">
        <f t="shared" si="30"/>
        <v>126.04649851841843</v>
      </c>
      <c r="I62" s="47">
        <f t="shared" si="30"/>
        <v>-15.864956411433262</v>
      </c>
      <c r="J62" s="48">
        <f t="shared" si="30"/>
        <v>-79.67286995690715</v>
      </c>
      <c r="K62" s="11"/>
    </row>
    <row r="63" ht="15" customHeight="1">
      <c r="A63" s="1"/>
      <c r="B63" s="1" t="s">
        <v>167</v>
      </c>
      <c r="C63" s="13" t="s">
        <v>30</v>
      </c>
      <c r="D63" s="13" t="s">
        <v>30</v>
      </c>
      <c r="E63" s="33">
        <f t="shared" si="17"/>
        <v>1171.3580000000002</v>
      </c>
      <c r="F63" s="33">
        <f t="shared" si="17"/>
        <v>1036.567</v>
      </c>
      <c r="G63" s="33">
        <f t="shared" si="17"/>
        <v>4505.3589999999995</v>
      </c>
      <c r="H63" s="33">
        <f t="shared" si="17"/>
        <v>1039.266</v>
      </c>
      <c r="I63" s="33">
        <f t="shared" si="17"/>
        <v>1111.9360000000001</v>
      </c>
      <c r="J63" s="43">
        <f t="shared" si="17"/>
        <v>1199.52</v>
      </c>
      <c r="K63" s="11" t="s">
        <v>207</v>
      </c>
    </row>
    <row r="64" ht="15" customHeight="1">
      <c r="A64" s="1"/>
      <c r="B64" s="1" t="s">
        <v>208</v>
      </c>
      <c r="C64" s="33">
        <f t="shared" si="31" ref="C64:J65">C132</f>
        <v>364</v>
      </c>
      <c r="D64" s="33">
        <f t="shared" si="31"/>
        <v>369</v>
      </c>
      <c r="E64" s="33">
        <f t="shared" si="31"/>
        <v>382</v>
      </c>
      <c r="F64" s="33">
        <f t="shared" si="31"/>
        <v>366</v>
      </c>
      <c r="G64" s="33">
        <f>G132+G75</f>
        <v>1468</v>
      </c>
      <c r="H64" s="33">
        <f t="shared" si="31"/>
        <v>367</v>
      </c>
      <c r="I64" s="33">
        <f t="shared" si="31"/>
        <v>370</v>
      </c>
      <c r="J64" s="43">
        <f t="shared" si="31"/>
        <v>368</v>
      </c>
      <c r="K64" s="11"/>
    </row>
    <row r="65" ht="15" customHeight="1">
      <c r="A65" s="1"/>
      <c r="B65" s="1" t="s">
        <v>168</v>
      </c>
      <c r="C65" s="33">
        <f t="shared" si="31"/>
        <v>695</v>
      </c>
      <c r="D65" s="33">
        <f t="shared" si="31"/>
        <v>722</v>
      </c>
      <c r="E65" s="33">
        <f t="shared" si="31"/>
        <v>729</v>
      </c>
      <c r="F65" s="33">
        <f t="shared" si="31"/>
        <v>763</v>
      </c>
      <c r="G65" s="33">
        <f t="shared" si="31"/>
        <v>2909</v>
      </c>
      <c r="H65" s="33">
        <f t="shared" si="31"/>
        <v>738</v>
      </c>
      <c r="I65" s="33">
        <f t="shared" si="31"/>
        <v>788</v>
      </c>
      <c r="J65" s="43">
        <f t="shared" si="31"/>
        <v>808</v>
      </c>
      <c r="K65" s="11"/>
    </row>
    <row r="66" ht="15" customHeight="1">
      <c r="A66" s="1"/>
      <c r="B66" s="1" t="s">
        <v>169</v>
      </c>
      <c r="C66" s="33">
        <f t="shared" si="19"/>
        <v>1059</v>
      </c>
      <c r="D66" s="33">
        <f t="shared" si="19"/>
        <v>1091</v>
      </c>
      <c r="E66" s="33">
        <f t="shared" si="19"/>
        <v>1111</v>
      </c>
      <c r="F66" s="33">
        <f t="shared" si="19"/>
        <v>1129</v>
      </c>
      <c r="G66" s="33">
        <f t="shared" si="19"/>
        <v>4377</v>
      </c>
      <c r="H66" s="33">
        <f t="shared" si="19"/>
        <v>1105</v>
      </c>
      <c r="I66" s="33">
        <f t="shared" si="19"/>
        <v>1158</v>
      </c>
      <c r="J66" s="43">
        <f t="shared" si="19"/>
        <v>1176</v>
      </c>
      <c r="K66" s="11" t="s">
        <v>217</v>
      </c>
    </row>
    <row r="67" ht="15" customHeight="1">
      <c r="A67" s="1"/>
      <c r="B67" s="4" t="s">
        <v>152</v>
      </c>
      <c r="C67" s="36" t="s">
        <v>30</v>
      </c>
      <c r="D67" s="36" t="s">
        <v>30</v>
      </c>
      <c r="E67" s="44">
        <f t="shared" si="32" ref="E67:J67">(E66/E134)*(E63/(E63))-1</f>
        <v>0</v>
      </c>
      <c r="F67" s="44">
        <f t="shared" si="32"/>
        <v>0</v>
      </c>
      <c r="G67" s="44">
        <f t="shared" si="32"/>
        <v>-0.002961275626423676</v>
      </c>
      <c r="H67" s="44">
        <f t="shared" si="32"/>
        <v>0</v>
      </c>
      <c r="I67" s="44">
        <f t="shared" si="32"/>
        <v>0</v>
      </c>
      <c r="J67" s="38">
        <f t="shared" si="32"/>
        <v>0</v>
      </c>
      <c r="K67" s="11" t="s">
        <v>218</v>
      </c>
    </row>
    <row r="68" ht="15" customHeight="1">
      <c r="A68" s="1"/>
      <c r="B68" s="4" t="s">
        <v>151</v>
      </c>
      <c r="C68" s="36" t="s">
        <v>30</v>
      </c>
      <c r="D68" s="47" t="str">
        <f t="shared" si="5"/>
        <v>n/a</v>
      </c>
      <c r="E68" s="47" t="str">
        <f t="shared" si="5"/>
        <v>n/a</v>
      </c>
      <c r="F68" s="47">
        <f t="shared" si="5"/>
        <v>0</v>
      </c>
      <c r="G68" s="36" t="s">
        <v>30</v>
      </c>
      <c r="H68" s="47">
        <f t="shared" si="9"/>
        <v>0</v>
      </c>
      <c r="I68" s="47">
        <f t="shared" si="5"/>
        <v>0</v>
      </c>
      <c r="J68" s="48">
        <f t="shared" si="5"/>
        <v>0</v>
      </c>
      <c r="K68" s="11"/>
    </row>
    <row r="69" ht="15" customHeight="1">
      <c r="A69" s="1"/>
      <c r="B69" s="4" t="s">
        <v>153</v>
      </c>
      <c r="C69" s="36" t="s">
        <v>30</v>
      </c>
      <c r="D69" s="36" t="s">
        <v>30</v>
      </c>
      <c r="E69" s="44">
        <f t="shared" si="21"/>
        <v>0.003962921668695607</v>
      </c>
      <c r="F69" s="44">
        <f t="shared" si="21"/>
        <v>0.0013824480231379166</v>
      </c>
      <c r="G69" s="44">
        <f t="shared" si="21"/>
        <v>-0.006294503945190488</v>
      </c>
      <c r="H69" s="44">
        <f t="shared" si="21"/>
        <v>0.023799489254916484</v>
      </c>
      <c r="I69" s="44">
        <f t="shared" si="21"/>
        <v>0.006352883619201055</v>
      </c>
      <c r="J69" s="38">
        <f t="shared" si="21"/>
        <v>-0.011810793088373961</v>
      </c>
      <c r="K69" s="11"/>
    </row>
    <row r="70" ht="15" customHeight="1">
      <c r="A70" s="1"/>
      <c r="B70" s="4" t="s">
        <v>151</v>
      </c>
      <c r="C70" s="36" t="s">
        <v>30</v>
      </c>
      <c r="D70" s="47" t="str">
        <f t="shared" si="5"/>
        <v>n/a</v>
      </c>
      <c r="E70" s="47" t="str">
        <f t="shared" si="5"/>
        <v>n/a</v>
      </c>
      <c r="F70" s="47">
        <f t="shared" si="5"/>
        <v>-25.804736455576904</v>
      </c>
      <c r="G70" s="36" t="s">
        <v>30</v>
      </c>
      <c r="H70" s="47">
        <f t="shared" si="9"/>
        <v>224.17041231778566</v>
      </c>
      <c r="I70" s="47">
        <f t="shared" si="5"/>
        <v>-174.4660563571543</v>
      </c>
      <c r="J70" s="48">
        <f t="shared" si="5"/>
        <v>-181.63676707575016</v>
      </c>
      <c r="K70" s="11"/>
    </row>
    <row r="71" ht="15" customHeight="1">
      <c r="A71" s="1"/>
      <c r="B71" s="4" t="s">
        <v>211</v>
      </c>
      <c r="C71" s="36" t="s">
        <v>30</v>
      </c>
      <c r="D71" s="36" t="s">
        <v>30</v>
      </c>
      <c r="E71" s="44">
        <f t="shared" si="22"/>
        <v>0.054327632763276235</v>
      </c>
      <c r="F71" s="44">
        <f t="shared" si="22"/>
        <v>-0.08187156775907889</v>
      </c>
      <c r="G71" s="44">
        <f t="shared" si="22"/>
        <v>0.02932579392277801</v>
      </c>
      <c r="H71" s="44">
        <f t="shared" si="22"/>
        <v>-0.05948778280542988</v>
      </c>
      <c r="I71" s="44">
        <f t="shared" si="22"/>
        <v>-0.03977892918825554</v>
      </c>
      <c r="J71" s="38">
        <f t="shared" si="22"/>
        <v>0.020000000000000018</v>
      </c>
      <c r="K71" s="11" t="s">
        <v>212</v>
      </c>
    </row>
    <row r="72" ht="15" customHeight="1">
      <c r="A72" s="1"/>
      <c r="B72" s="4" t="s">
        <v>151</v>
      </c>
      <c r="C72" s="36" t="s">
        <v>30</v>
      </c>
      <c r="D72" s="47" t="str">
        <f t="shared" si="5"/>
        <v>n/a</v>
      </c>
      <c r="E72" s="47" t="str">
        <f t="shared" si="5"/>
        <v>n/a</v>
      </c>
      <c r="F72" s="47">
        <f t="shared" si="5"/>
        <v>-1361.9920052235511</v>
      </c>
      <c r="G72" s="36" t="s">
        <v>30</v>
      </c>
      <c r="H72" s="47">
        <f t="shared" si="9"/>
        <v>223.8378495364901</v>
      </c>
      <c r="I72" s="47">
        <f t="shared" si="5"/>
        <v>197.08853617174339</v>
      </c>
      <c r="J72" s="48">
        <f t="shared" si="5"/>
        <v>597.7892918825556</v>
      </c>
      <c r="K72" s="11"/>
    </row>
    <row r="73" ht="15" customHeight="1">
      <c r="A73" s="1"/>
      <c r="B73" s="4" t="s">
        <v>213</v>
      </c>
      <c r="C73" s="44">
        <f t="shared" si="23"/>
        <v>0.33212669683257917</v>
      </c>
      <c r="D73" s="44">
        <f t="shared" si="23"/>
        <v>0.31951640759930916</v>
      </c>
      <c r="E73" s="44">
        <f t="shared" si="23"/>
        <v>0.3129251700680272</v>
      </c>
      <c r="F73" s="44">
        <f t="shared" si="23"/>
        <v>0.3304431599229287</v>
      </c>
      <c r="G73" s="44">
        <f t="shared" si="23"/>
        <v>0.32343086888541434</v>
      </c>
      <c r="H73" s="44">
        <f t="shared" si="23"/>
        <v>0.31296992481203006</v>
      </c>
      <c r="I73" s="44">
        <f t="shared" si="23"/>
        <v>0.3092046470062556</v>
      </c>
      <c r="J73" s="38">
        <f t="shared" si="23"/>
        <v>0.3166652376684096</v>
      </c>
      <c r="K73" s="11"/>
    </row>
    <row r="74" ht="15" customHeight="1">
      <c r="A74" s="1"/>
      <c r="B74" s="4" t="s">
        <v>214</v>
      </c>
      <c r="C74" s="47">
        <f t="shared" si="33" ref="C74:J74">(C73-C132/C134)*10000</f>
        <v>-115.93794196693707</v>
      </c>
      <c r="D74" s="47">
        <f t="shared" si="33"/>
        <v>-187.05407249453464</v>
      </c>
      <c r="E74" s="47">
        <f t="shared" si="33"/>
        <v>-309.09213370316604</v>
      </c>
      <c r="F74" s="47">
        <f t="shared" si="33"/>
        <v>62.62469046046548</v>
      </c>
      <c r="G74" s="47">
        <f t="shared" si="33"/>
        <v>-139.267620940845</v>
      </c>
      <c r="H74" s="47">
        <f t="shared" si="33"/>
        <v>-191.56772020549107</v>
      </c>
      <c r="I74" s="47">
        <f t="shared" si="33"/>
        <v>-103.11760593053553</v>
      </c>
      <c r="J74" s="48">
        <f t="shared" si="33"/>
        <v>37.40067600382368</v>
      </c>
      <c r="K74" s="11"/>
    </row>
    <row r="75" ht="15" customHeight="1">
      <c r="A75" s="1"/>
      <c r="B75" s="1" t="s">
        <v>219</v>
      </c>
      <c r="C75" s="13"/>
      <c r="D75" s="13"/>
      <c r="E75" s="13"/>
      <c r="F75" s="13"/>
      <c r="G75" s="29">
        <v>-13</v>
      </c>
      <c r="H75" s="13"/>
      <c r="I75" s="13"/>
      <c r="J75" s="52"/>
      <c r="K75" s="11" t="s">
        <v>220</v>
      </c>
    </row>
    <row r="76" ht="15" customHeight="1">
      <c r="A76" s="1"/>
      <c r="B76" s="1"/>
      <c r="C76" s="1"/>
      <c r="D76" s="1"/>
      <c r="E76" s="1"/>
      <c r="F76" s="1"/>
      <c r="G76" s="1"/>
      <c r="H76" s="1"/>
      <c r="I76" s="1"/>
      <c r="J76" s="35"/>
      <c r="K76" s="11"/>
    </row>
    <row r="77" ht="15" customHeight="1">
      <c r="A77" s="1"/>
      <c r="B77" s="3" t="s">
        <v>221</v>
      </c>
      <c r="C77" s="1"/>
      <c r="D77" s="1"/>
      <c r="E77" s="1"/>
      <c r="F77" s="1"/>
      <c r="G77" s="1"/>
      <c r="H77" s="1"/>
      <c r="I77" s="1"/>
      <c r="J77" s="35"/>
      <c r="K77" s="11"/>
    </row>
    <row r="78" ht="15" customHeight="1">
      <c r="A78" s="1"/>
      <c r="B78" s="3" t="s">
        <v>222</v>
      </c>
      <c r="C78" s="50">
        <f t="shared" si="34" ref="C78:J78">C11+C44</f>
        <v>955</v>
      </c>
      <c r="D78" s="50">
        <f t="shared" si="34"/>
        <v>957</v>
      </c>
      <c r="E78" s="50">
        <f t="shared" si="34"/>
        <v>888</v>
      </c>
      <c r="F78" s="50">
        <f t="shared" si="34"/>
        <v>806</v>
      </c>
      <c r="G78" s="50">
        <f t="shared" si="34"/>
        <v>3606</v>
      </c>
      <c r="H78" s="50">
        <f t="shared" si="34"/>
        <v>844</v>
      </c>
      <c r="I78" s="50">
        <f t="shared" si="34"/>
        <v>871</v>
      </c>
      <c r="J78" s="51">
        <f t="shared" si="34"/>
        <v>916.1600000000001</v>
      </c>
      <c r="K78" s="11"/>
    </row>
    <row r="79" ht="15" customHeight="1">
      <c r="A79" s="1"/>
      <c r="B79" s="4" t="s">
        <v>195</v>
      </c>
      <c r="C79" s="44">
        <f t="shared" si="35" ref="C79:J79">C78/C103-1</f>
        <v>0.08769931662870167</v>
      </c>
      <c r="D79" s="44">
        <f t="shared" si="35"/>
        <v>0.025723472668810254</v>
      </c>
      <c r="E79" s="44">
        <f t="shared" si="35"/>
        <v>-0.0652631578947368</v>
      </c>
      <c r="F79" s="44">
        <f t="shared" si="35"/>
        <v>-0.13146551724137934</v>
      </c>
      <c r="G79" s="44">
        <f t="shared" si="35"/>
        <v>-0.02249932230956897</v>
      </c>
      <c r="H79" s="44">
        <f t="shared" si="35"/>
        <v>-0.11623036649214658</v>
      </c>
      <c r="I79" s="44">
        <f t="shared" si="35"/>
        <v>-0.08986415882967602</v>
      </c>
      <c r="J79" s="38">
        <f t="shared" si="35"/>
        <v>0.03171171171171183</v>
      </c>
      <c r="K79" s="11"/>
    </row>
    <row r="80" ht="15" customHeight="1">
      <c r="A80" s="1"/>
      <c r="B80" s="1" t="s">
        <v>196</v>
      </c>
      <c r="C80" s="33">
        <f>C78-F103</f>
        <v>27</v>
      </c>
      <c r="D80" s="33">
        <f t="shared" si="4"/>
        <v>2</v>
      </c>
      <c r="E80" s="33">
        <f t="shared" si="4"/>
        <v>-69</v>
      </c>
      <c r="F80" s="33">
        <f t="shared" si="4"/>
        <v>-82</v>
      </c>
      <c r="G80" s="13" t="s">
        <v>30</v>
      </c>
      <c r="H80" s="33">
        <f t="shared" si="8"/>
        <v>38</v>
      </c>
      <c r="I80" s="33">
        <f t="shared" si="4"/>
        <v>27</v>
      </c>
      <c r="J80" s="43">
        <f t="shared" si="4"/>
        <v>45.16000000000008</v>
      </c>
      <c r="K80" s="11"/>
    </row>
    <row r="81" ht="15" customHeight="1">
      <c r="A81" s="1"/>
      <c r="B81" s="3" t="s">
        <v>223</v>
      </c>
      <c r="C81" s="50">
        <f t="shared" si="36" ref="C81:J81">C16+C49</f>
        <v>1191</v>
      </c>
      <c r="D81" s="50">
        <f t="shared" si="36"/>
        <v>1255</v>
      </c>
      <c r="E81" s="50">
        <f t="shared" si="36"/>
        <v>1265</v>
      </c>
      <c r="F81" s="50">
        <f t="shared" si="36"/>
        <v>1134</v>
      </c>
      <c r="G81" s="50">
        <f t="shared" si="36"/>
        <v>4845</v>
      </c>
      <c r="H81" s="50">
        <f t="shared" si="36"/>
        <v>1173</v>
      </c>
      <c r="I81" s="50">
        <f t="shared" si="36"/>
        <v>1273</v>
      </c>
      <c r="J81" s="51">
        <f t="shared" si="36"/>
        <v>1286.0855540586244</v>
      </c>
      <c r="K81" s="11"/>
    </row>
    <row r="82" ht="15" customHeight="1">
      <c r="A82" s="1"/>
      <c r="B82" s="4" t="s">
        <v>195</v>
      </c>
      <c r="C82" s="44">
        <f t="shared" si="37" ref="C82:J82">C81/C104-1</f>
        <v>0.0008403361344537785</v>
      </c>
      <c r="D82" s="44">
        <f t="shared" si="37"/>
        <v>0.03122432210353332</v>
      </c>
      <c r="E82" s="44">
        <f t="shared" si="37"/>
        <v>0.13351254480286734</v>
      </c>
      <c r="F82" s="44">
        <f t="shared" si="37"/>
        <v>-0.05578684429641967</v>
      </c>
      <c r="G82" s="44">
        <f t="shared" si="37"/>
        <v>0.025613886536833164</v>
      </c>
      <c r="H82" s="44">
        <f t="shared" si="37"/>
        <v>-0.015113350125944613</v>
      </c>
      <c r="I82" s="44">
        <f t="shared" si="37"/>
        <v>0.014342629482071656</v>
      </c>
      <c r="J82" s="38">
        <f t="shared" si="37"/>
        <v>0.016668422180730724</v>
      </c>
      <c r="K82" s="11"/>
    </row>
    <row r="83" ht="15" customHeight="1">
      <c r="A83" s="1"/>
      <c r="B83" s="1" t="s">
        <v>196</v>
      </c>
      <c r="C83" s="33">
        <f>C81-F104</f>
        <v>-10</v>
      </c>
      <c r="D83" s="33">
        <f t="shared" si="4"/>
        <v>64</v>
      </c>
      <c r="E83" s="33">
        <f t="shared" si="4"/>
        <v>10</v>
      </c>
      <c r="F83" s="33">
        <f t="shared" si="4"/>
        <v>-131</v>
      </c>
      <c r="G83" s="13" t="s">
        <v>30</v>
      </c>
      <c r="H83" s="33">
        <f t="shared" si="8"/>
        <v>39</v>
      </c>
      <c r="I83" s="33">
        <f t="shared" si="4"/>
        <v>100</v>
      </c>
      <c r="J83" s="43">
        <f t="shared" si="4"/>
        <v>13.085554058624439</v>
      </c>
      <c r="K83" s="11"/>
    </row>
    <row r="84" ht="15" customHeight="1">
      <c r="A84" s="1"/>
      <c r="B84" s="1" t="s">
        <v>204</v>
      </c>
      <c r="C84" s="13" t="s">
        <v>30</v>
      </c>
      <c r="D84" s="13" t="s">
        <v>30</v>
      </c>
      <c r="E84" s="33">
        <f t="shared" si="38" ref="E84:J91">E23+E56</f>
        <v>1260.7920000000001</v>
      </c>
      <c r="F84" s="33">
        <f t="shared" si="38"/>
        <v>1130.253</v>
      </c>
      <c r="G84" s="33">
        <f t="shared" si="38"/>
        <v>4895.954</v>
      </c>
      <c r="H84" s="33">
        <f t="shared" si="38"/>
        <v>1135.257</v>
      </c>
      <c r="I84" s="33">
        <f t="shared" si="38"/>
        <v>1262.824</v>
      </c>
      <c r="J84" s="43">
        <f t="shared" si="38"/>
        <v>1308.58</v>
      </c>
      <c r="K84" s="11"/>
    </row>
    <row r="85" ht="15" customHeight="1">
      <c r="A85" s="1"/>
      <c r="B85" s="3" t="s">
        <v>224</v>
      </c>
      <c r="C85" s="50">
        <f t="shared" si="39" ref="C85:J85">C78+C81</f>
        <v>2146</v>
      </c>
      <c r="D85" s="50">
        <f t="shared" si="39"/>
        <v>2212</v>
      </c>
      <c r="E85" s="50">
        <f t="shared" si="39"/>
        <v>2153</v>
      </c>
      <c r="F85" s="50">
        <f t="shared" si="39"/>
        <v>1940</v>
      </c>
      <c r="G85" s="50">
        <f t="shared" si="39"/>
        <v>8451</v>
      </c>
      <c r="H85" s="50">
        <f t="shared" si="39"/>
        <v>2017</v>
      </c>
      <c r="I85" s="50">
        <f t="shared" si="39"/>
        <v>2144</v>
      </c>
      <c r="J85" s="51">
        <f t="shared" si="39"/>
        <v>2202.2455540586243</v>
      </c>
      <c r="K85" s="11" t="s">
        <v>225</v>
      </c>
    </row>
    <row r="86" ht="15" customHeight="1">
      <c r="A86" s="1"/>
      <c r="B86" s="4" t="s">
        <v>166</v>
      </c>
      <c r="C86" s="44">
        <f t="shared" si="40" ref="C86:J86">C85/C105-1</f>
        <v>0.03771760154738879</v>
      </c>
      <c r="D86" s="44">
        <f t="shared" si="40"/>
        <v>0.028837209302325473</v>
      </c>
      <c r="E86" s="44">
        <f t="shared" si="40"/>
        <v>0.04211035818005815</v>
      </c>
      <c r="F86" s="44">
        <f t="shared" si="40"/>
        <v>-0.08877407233442935</v>
      </c>
      <c r="G86" s="44">
        <f t="shared" si="40"/>
        <v>0.004516819208367995</v>
      </c>
      <c r="H86" s="44">
        <f t="shared" si="40"/>
        <v>-0.060111835973904904</v>
      </c>
      <c r="I86" s="44">
        <f t="shared" si="40"/>
        <v>-0.030741410488245968</v>
      </c>
      <c r="J86" s="38">
        <f t="shared" si="40"/>
        <v>0.022872993060206293</v>
      </c>
      <c r="K86" s="11"/>
    </row>
    <row r="87" ht="15" customHeight="1">
      <c r="A87" s="1"/>
      <c r="B87" s="1" t="s">
        <v>146</v>
      </c>
      <c r="C87" s="33">
        <f>C85-F105</f>
        <v>17</v>
      </c>
      <c r="D87" s="33">
        <f t="shared" si="4"/>
        <v>66</v>
      </c>
      <c r="E87" s="33">
        <f t="shared" si="4"/>
        <v>-59</v>
      </c>
      <c r="F87" s="33">
        <f t="shared" si="4"/>
        <v>-213</v>
      </c>
      <c r="G87" s="13" t="s">
        <v>30</v>
      </c>
      <c r="H87" s="33">
        <f t="shared" si="8"/>
        <v>77</v>
      </c>
      <c r="I87" s="33">
        <f t="shared" si="4"/>
        <v>127</v>
      </c>
      <c r="J87" s="43">
        <f t="shared" si="4"/>
        <v>58.24555405862429</v>
      </c>
      <c r="K87" s="11"/>
    </row>
    <row r="88" ht="15" customHeight="1">
      <c r="A88" s="1"/>
      <c r="B88" s="4" t="s">
        <v>147</v>
      </c>
      <c r="C88" s="44">
        <f>C85/F105-1</f>
        <v>0.007984969469234438</v>
      </c>
      <c r="D88" s="44">
        <f t="shared" si="14"/>
        <v>0.03075489282385835</v>
      </c>
      <c r="E88" s="44">
        <f t="shared" si="14"/>
        <v>-0.02667269439421338</v>
      </c>
      <c r="F88" s="44">
        <f t="shared" si="14"/>
        <v>-0.09893172317696242</v>
      </c>
      <c r="G88" s="36" t="s">
        <v>30</v>
      </c>
      <c r="H88" s="44">
        <f t="shared" si="28"/>
        <v>0.03969072164948462</v>
      </c>
      <c r="I88" s="44">
        <f t="shared" si="14"/>
        <v>0.06296479920674258</v>
      </c>
      <c r="J88" s="38">
        <f t="shared" si="14"/>
        <v>0.02716676961689557</v>
      </c>
      <c r="K88" s="11"/>
    </row>
    <row r="89" ht="15" customHeight="1">
      <c r="A89" s="1"/>
      <c r="B89" s="4" t="s">
        <v>226</v>
      </c>
      <c r="C89" s="41">
        <f>C85/'Revenue summary'!C74</f>
        <v>0.20718285383278626</v>
      </c>
      <c r="D89" s="41">
        <f>D85/'Revenue summary'!D74</f>
        <v>0.1985280919045055</v>
      </c>
      <c r="E89" s="41">
        <f>E85/'Revenue summary'!E74</f>
        <v>0.18937461518163426</v>
      </c>
      <c r="F89" s="41">
        <f>F85/'Revenue summary'!F74</f>
        <v>0.16929924077144604</v>
      </c>
      <c r="G89" s="41">
        <f>G85/'Revenue summary'!G74</f>
        <v>0.19064699512723335</v>
      </c>
      <c r="H89" s="41">
        <f>H85/'Revenue summary'!H74</f>
        <v>0.18067001074883554</v>
      </c>
      <c r="I89" s="41">
        <f>I85/'Revenue summary'!I74</f>
        <v>0.17025331533391566</v>
      </c>
      <c r="J89" s="42">
        <f>J85/'Revenue summary'!J74</f>
        <v>0.17043458167808226</v>
      </c>
      <c r="K89" s="11"/>
    </row>
    <row r="90" ht="15" customHeight="1">
      <c r="A90" s="1"/>
      <c r="B90" s="4" t="s">
        <v>149</v>
      </c>
      <c r="C90" s="45">
        <f>(C89-C105/'Revenue summary'!C92)*10000</f>
        <v>-3.6431597853450737</v>
      </c>
      <c r="D90" s="45">
        <f>(D89-D105/'Revenue summary'!D92)*10000</f>
        <v>-86.60883714652262</v>
      </c>
      <c r="E90" s="45">
        <f>(E89-E105/'Revenue summary'!E92)*10000</f>
        <v>-48.89606727157464</v>
      </c>
      <c r="F90" s="45">
        <f>(F89-F105/'Revenue summary'!F92)*10000</f>
        <v>-247.0476870549948</v>
      </c>
      <c r="G90" s="45">
        <f>(G89-G105/'Revenue summary'!G92)*10000</f>
        <v>-99.01276624852461</v>
      </c>
      <c r="H90" s="45">
        <f>(H89-H105/'Revenue summary'!H92)*10000</f>
        <v>-265.12843083950713</v>
      </c>
      <c r="I90" s="45">
        <f>(I89-I105/'Revenue summary'!I92)*10000</f>
        <v>-282.74776570589825</v>
      </c>
      <c r="J90" s="46">
        <f>(J89-J105/'Revenue summary'!J92)*10000</f>
        <v>-189.40033503552002</v>
      </c>
      <c r="K90" s="11"/>
    </row>
    <row r="91" ht="15" customHeight="1">
      <c r="A91" s="1"/>
      <c r="B91" s="1" t="s">
        <v>167</v>
      </c>
      <c r="C91" s="13" t="s">
        <v>30</v>
      </c>
      <c r="D91" s="13" t="s">
        <v>30</v>
      </c>
      <c r="E91" s="33">
        <f t="shared" si="38"/>
        <v>2148.7920000000004</v>
      </c>
      <c r="F91" s="33">
        <f t="shared" si="38"/>
        <v>1936.253</v>
      </c>
      <c r="G91" s="33">
        <f t="shared" si="38"/>
        <v>8501.954</v>
      </c>
      <c r="H91" s="33">
        <f t="shared" si="38"/>
        <v>1979.257</v>
      </c>
      <c r="I91" s="33">
        <f t="shared" si="38"/>
        <v>2133.824</v>
      </c>
      <c r="J91" s="43">
        <f t="shared" si="38"/>
        <v>2224.74</v>
      </c>
      <c r="K91" s="11"/>
    </row>
    <row r="92" ht="15" customHeight="1">
      <c r="A92" s="1"/>
      <c r="B92" s="1" t="s">
        <v>208</v>
      </c>
      <c r="C92" s="33">
        <f t="shared" si="41" ref="C92:J94">C31+C64</f>
        <v>878</v>
      </c>
      <c r="D92" s="33">
        <f t="shared" si="41"/>
        <v>933</v>
      </c>
      <c r="E92" s="33">
        <f t="shared" si="41"/>
        <v>950</v>
      </c>
      <c r="F92" s="33">
        <f t="shared" si="41"/>
        <v>928</v>
      </c>
      <c r="G92" s="33">
        <f t="shared" si="41"/>
        <v>3676</v>
      </c>
      <c r="H92" s="33">
        <f t="shared" si="41"/>
        <v>955</v>
      </c>
      <c r="I92" s="33">
        <f t="shared" si="41"/>
        <v>957</v>
      </c>
      <c r="J92" s="43">
        <f t="shared" si="41"/>
        <v>888</v>
      </c>
      <c r="K92" s="11"/>
    </row>
    <row r="93" ht="15" customHeight="1">
      <c r="A93" s="1"/>
      <c r="B93" s="1" t="s">
        <v>168</v>
      </c>
      <c r="C93" s="33">
        <f t="shared" si="41"/>
        <v>1190</v>
      </c>
      <c r="D93" s="33">
        <f t="shared" si="41"/>
        <v>1217</v>
      </c>
      <c r="E93" s="33">
        <f t="shared" si="41"/>
        <v>1116</v>
      </c>
      <c r="F93" s="33">
        <f t="shared" si="41"/>
        <v>1201</v>
      </c>
      <c r="G93" s="33">
        <f t="shared" si="41"/>
        <v>4724</v>
      </c>
      <c r="H93" s="33">
        <f t="shared" si="41"/>
        <v>1191</v>
      </c>
      <c r="I93" s="33">
        <f t="shared" si="41"/>
        <v>1255</v>
      </c>
      <c r="J93" s="43">
        <f t="shared" si="41"/>
        <v>1265</v>
      </c>
      <c r="K93" s="11"/>
    </row>
    <row r="94" ht="15" customHeight="1">
      <c r="A94" s="1"/>
      <c r="B94" s="1" t="s">
        <v>169</v>
      </c>
      <c r="C94" s="33">
        <f t="shared" si="41"/>
        <v>2068</v>
      </c>
      <c r="D94" s="33">
        <f t="shared" si="41"/>
        <v>2150</v>
      </c>
      <c r="E94" s="33">
        <f t="shared" si="41"/>
        <v>2066</v>
      </c>
      <c r="F94" s="33">
        <f t="shared" si="41"/>
        <v>2129</v>
      </c>
      <c r="G94" s="33">
        <f t="shared" si="41"/>
        <v>8400</v>
      </c>
      <c r="H94" s="33">
        <f t="shared" si="41"/>
        <v>2146</v>
      </c>
      <c r="I94" s="33">
        <f t="shared" si="41"/>
        <v>2212</v>
      </c>
      <c r="J94" s="43">
        <f t="shared" si="41"/>
        <v>2153</v>
      </c>
      <c r="K94" s="11"/>
    </row>
    <row r="95" ht="15" customHeight="1">
      <c r="A95" s="1"/>
      <c r="B95" s="4" t="s">
        <v>152</v>
      </c>
      <c r="C95" s="36" t="s">
        <v>30</v>
      </c>
      <c r="D95" s="36" t="s">
        <v>30</v>
      </c>
      <c r="E95" s="44">
        <f t="shared" si="42" ref="E95:J95">(E94/E105)*(E91/(E91))-1</f>
        <v>0</v>
      </c>
      <c r="F95" s="44">
        <f t="shared" si="42"/>
        <v>0</v>
      </c>
      <c r="G95" s="44">
        <f t="shared" si="42"/>
        <v>-0.0015452276239154017</v>
      </c>
      <c r="H95" s="44">
        <f t="shared" si="42"/>
        <v>0</v>
      </c>
      <c r="I95" s="44">
        <f t="shared" si="42"/>
        <v>0</v>
      </c>
      <c r="J95" s="38">
        <f t="shared" si="42"/>
        <v>0</v>
      </c>
      <c r="K95" s="11"/>
    </row>
    <row r="96" ht="15" customHeight="1">
      <c r="A96" s="1"/>
      <c r="B96" s="4" t="s">
        <v>151</v>
      </c>
      <c r="C96" s="36" t="s">
        <v>30</v>
      </c>
      <c r="D96" s="36" t="s">
        <v>30</v>
      </c>
      <c r="E96" s="36" t="s">
        <v>30</v>
      </c>
      <c r="F96" s="47">
        <f t="shared" si="5"/>
        <v>0</v>
      </c>
      <c r="G96" s="36" t="s">
        <v>30</v>
      </c>
      <c r="H96" s="47">
        <f t="shared" si="9"/>
        <v>0</v>
      </c>
      <c r="I96" s="47">
        <f t="shared" si="5"/>
        <v>0</v>
      </c>
      <c r="J96" s="48">
        <f t="shared" si="5"/>
        <v>0</v>
      </c>
      <c r="K96" s="11"/>
    </row>
    <row r="97" ht="15" customHeight="1">
      <c r="A97" s="1"/>
      <c r="B97" s="4" t="s">
        <v>153</v>
      </c>
      <c r="C97" s="36" t="s">
        <v>30</v>
      </c>
      <c r="D97" s="36" t="s">
        <v>30</v>
      </c>
      <c r="E97" s="44">
        <f t="shared" si="21"/>
        <v>0.0019583095990676203</v>
      </c>
      <c r="F97" s="44">
        <f t="shared" si="21"/>
        <v>0.0019351809913270568</v>
      </c>
      <c r="G97" s="44">
        <f t="shared" si="21"/>
        <v>-0.005993210501962221</v>
      </c>
      <c r="H97" s="44">
        <f t="shared" si="21"/>
        <v>0.01906927700647265</v>
      </c>
      <c r="I97" s="44">
        <f t="shared" si="21"/>
        <v>0.00476890315227485</v>
      </c>
      <c r="J97" s="38">
        <f t="shared" si="21"/>
        <v>-0.010111044859792861</v>
      </c>
      <c r="K97" s="11"/>
    </row>
    <row r="98" ht="15" customHeight="1">
      <c r="A98" s="1"/>
      <c r="B98" s="4" t="s">
        <v>151</v>
      </c>
      <c r="C98" s="36" t="s">
        <v>30</v>
      </c>
      <c r="D98" s="36" t="s">
        <v>30</v>
      </c>
      <c r="E98" s="36" t="s">
        <v>30</v>
      </c>
      <c r="F98" s="47">
        <f t="shared" si="5"/>
        <v>-0.23128607740563467</v>
      </c>
      <c r="G98" s="36" t="s">
        <v>30</v>
      </c>
      <c r="H98" s="47">
        <f t="shared" si="9"/>
        <v>171.34096015145593</v>
      </c>
      <c r="I98" s="47">
        <f t="shared" si="5"/>
        <v>-143.003738541978</v>
      </c>
      <c r="J98" s="48">
        <f t="shared" si="5"/>
        <v>-148.79948012067712</v>
      </c>
      <c r="K98" s="11"/>
    </row>
    <row r="99" ht="15" customHeight="1">
      <c r="A99" s="1"/>
      <c r="B99" s="4" t="s">
        <v>150</v>
      </c>
      <c r="C99" s="36" t="s">
        <v>30</v>
      </c>
      <c r="D99" s="36" t="s">
        <v>30</v>
      </c>
      <c r="E99" s="44">
        <f t="shared" si="22"/>
        <v>0.040073572120038925</v>
      </c>
      <c r="F99" s="44">
        <f t="shared" si="22"/>
        <v>-0.09053405354626587</v>
      </c>
      <c r="G99" s="44">
        <f t="shared" si="22"/>
        <v>0.012137380952381038</v>
      </c>
      <c r="H99" s="44">
        <f t="shared" si="22"/>
        <v>-0.07769944082013047</v>
      </c>
      <c r="I99" s="44">
        <f t="shared" si="22"/>
        <v>-0.0353417721518986</v>
      </c>
      <c r="J99" s="38">
        <f t="shared" si="22"/>
        <v>0.03332094751509507</v>
      </c>
      <c r="K99" s="11" t="s">
        <v>227</v>
      </c>
    </row>
    <row r="100" ht="15" customHeight="1">
      <c r="A100" s="1"/>
      <c r="B100" s="4" t="s">
        <v>151</v>
      </c>
      <c r="C100" s="36" t="s">
        <v>30</v>
      </c>
      <c r="D100" s="36" t="s">
        <v>30</v>
      </c>
      <c r="E100" s="36" t="s">
        <v>30</v>
      </c>
      <c r="F100" s="47">
        <f t="shared" si="5"/>
        <v>-1306.0762566630478</v>
      </c>
      <c r="G100" s="36" t="s">
        <v>30</v>
      </c>
      <c r="H100" s="47">
        <f t="shared" si="9"/>
        <v>128.34612726135396</v>
      </c>
      <c r="I100" s="47">
        <f t="shared" si="5"/>
        <v>423.5766866823187</v>
      </c>
      <c r="J100" s="48">
        <f t="shared" si="5"/>
        <v>686.6271966699367</v>
      </c>
      <c r="K100" s="11"/>
    </row>
    <row r="101" ht="15" customHeight="1">
      <c r="A101" s="1"/>
      <c r="B101" s="4" t="s">
        <v>174</v>
      </c>
      <c r="C101" s="36" t="s">
        <v>30</v>
      </c>
      <c r="D101" s="36" t="s">
        <v>30</v>
      </c>
      <c r="E101" s="54">
        <v>0.04</v>
      </c>
      <c r="F101" s="54">
        <v>-0.091</v>
      </c>
      <c r="G101" s="54">
        <v>0.012</v>
      </c>
      <c r="H101" s="54">
        <v>-0.077</v>
      </c>
      <c r="I101" s="54">
        <v>-0.036000000000000004</v>
      </c>
      <c r="J101" s="55" t="s">
        <v>30</v>
      </c>
      <c r="K101" s="11" t="s">
        <v>228</v>
      </c>
    </row>
    <row r="102" ht="15" customHeight="1">
      <c r="A102" s="1"/>
      <c r="B102" s="4" t="s">
        <v>229</v>
      </c>
      <c r="C102" s="36" t="s">
        <v>30</v>
      </c>
      <c r="D102" s="36" t="s">
        <v>30</v>
      </c>
      <c r="E102" s="47">
        <f t="shared" si="43" ref="E102:I102">(E99-E101)*10000</f>
        <v>0.7357212003892416</v>
      </c>
      <c r="F102" s="47">
        <f t="shared" si="43"/>
        <v>4.659464537341284</v>
      </c>
      <c r="G102" s="47">
        <f t="shared" si="43"/>
        <v>1.3738095238103807</v>
      </c>
      <c r="H102" s="47">
        <f t="shared" si="43"/>
        <v>-6.99440820130473</v>
      </c>
      <c r="I102" s="47">
        <f t="shared" si="43"/>
        <v>6.582278481014059</v>
      </c>
      <c r="J102" s="55" t="s">
        <v>30</v>
      </c>
      <c r="K102" s="11" t="s">
        <v>230</v>
      </c>
    </row>
    <row r="103" ht="15" customHeight="1">
      <c r="A103" s="1"/>
      <c r="B103" s="3" t="s">
        <v>231</v>
      </c>
      <c r="C103" s="50">
        <f t="shared" si="44" ref="C103:J105">C129+C132</f>
        <v>878</v>
      </c>
      <c r="D103" s="50">
        <f t="shared" si="44"/>
        <v>933</v>
      </c>
      <c r="E103" s="50">
        <f t="shared" si="44"/>
        <v>950</v>
      </c>
      <c r="F103" s="50">
        <f t="shared" si="44"/>
        <v>928</v>
      </c>
      <c r="G103" s="50">
        <f t="shared" si="44"/>
        <v>3689</v>
      </c>
      <c r="H103" s="50">
        <f t="shared" si="44"/>
        <v>955</v>
      </c>
      <c r="I103" s="50">
        <f t="shared" si="44"/>
        <v>957</v>
      </c>
      <c r="J103" s="51">
        <f t="shared" si="44"/>
        <v>888</v>
      </c>
      <c r="K103" s="11"/>
    </row>
    <row r="104" ht="15" customHeight="1">
      <c r="A104" s="1"/>
      <c r="B104" s="3" t="s">
        <v>232</v>
      </c>
      <c r="C104" s="50">
        <f t="shared" si="44"/>
        <v>1190</v>
      </c>
      <c r="D104" s="50">
        <f t="shared" si="44"/>
        <v>1217</v>
      </c>
      <c r="E104" s="50">
        <f t="shared" si="44"/>
        <v>1116</v>
      </c>
      <c r="F104" s="50">
        <f t="shared" si="44"/>
        <v>1201</v>
      </c>
      <c r="G104" s="50">
        <f t="shared" si="44"/>
        <v>4724</v>
      </c>
      <c r="H104" s="50">
        <f t="shared" si="44"/>
        <v>1191</v>
      </c>
      <c r="I104" s="50">
        <f t="shared" si="44"/>
        <v>1255</v>
      </c>
      <c r="J104" s="51">
        <f t="shared" si="44"/>
        <v>1265</v>
      </c>
      <c r="K104" s="11"/>
    </row>
    <row r="105" ht="15" customHeight="1">
      <c r="A105" s="1"/>
      <c r="B105" s="3" t="s">
        <v>233</v>
      </c>
      <c r="C105" s="50">
        <f t="shared" si="44"/>
        <v>2068</v>
      </c>
      <c r="D105" s="50">
        <f t="shared" si="44"/>
        <v>2150</v>
      </c>
      <c r="E105" s="50">
        <f t="shared" si="44"/>
        <v>2066</v>
      </c>
      <c r="F105" s="50">
        <f t="shared" si="44"/>
        <v>2129</v>
      </c>
      <c r="G105" s="50">
        <f t="shared" si="44"/>
        <v>8413</v>
      </c>
      <c r="H105" s="50">
        <f t="shared" si="44"/>
        <v>2146</v>
      </c>
      <c r="I105" s="50">
        <f t="shared" si="44"/>
        <v>2212</v>
      </c>
      <c r="J105" s="51">
        <f t="shared" si="44"/>
        <v>2153</v>
      </c>
      <c r="K105" s="11"/>
    </row>
    <row r="106" ht="15" customHeight="1">
      <c r="A106" s="1"/>
      <c r="B106" s="1"/>
      <c r="C106" s="1"/>
      <c r="D106" s="1"/>
      <c r="E106" s="1"/>
      <c r="F106" s="1"/>
      <c r="G106" s="1"/>
      <c r="H106" s="1"/>
      <c r="I106" s="1"/>
      <c r="J106" s="35"/>
      <c r="K106" s="11"/>
    </row>
    <row r="107" ht="15" customHeight="1">
      <c r="A107" s="1"/>
      <c r="B107" s="3" t="s">
        <v>234</v>
      </c>
      <c r="C107" s="1"/>
      <c r="D107" s="1"/>
      <c r="E107" s="1"/>
      <c r="F107" s="1"/>
      <c r="G107" s="1"/>
      <c r="H107" s="1"/>
      <c r="I107" s="1"/>
      <c r="J107" s="35"/>
      <c r="K107" s="11"/>
    </row>
    <row r="108" ht="15" customHeight="1">
      <c r="A108" s="1"/>
      <c r="B108" s="1" t="s">
        <v>235</v>
      </c>
      <c r="C108" s="33">
        <f t="shared" si="45" ref="C108:J108">C85</f>
        <v>2146</v>
      </c>
      <c r="D108" s="33">
        <f t="shared" si="45"/>
        <v>2212</v>
      </c>
      <c r="E108" s="33">
        <f t="shared" si="45"/>
        <v>2153</v>
      </c>
      <c r="F108" s="33">
        <f t="shared" si="45"/>
        <v>1940</v>
      </c>
      <c r="G108" s="33">
        <f t="shared" si="45"/>
        <v>8451</v>
      </c>
      <c r="H108" s="33">
        <f t="shared" si="45"/>
        <v>2017</v>
      </c>
      <c r="I108" s="33">
        <f t="shared" si="45"/>
        <v>2144</v>
      </c>
      <c r="J108" s="43">
        <f t="shared" si="45"/>
        <v>2202.2455540586243</v>
      </c>
      <c r="K108" s="11"/>
    </row>
    <row r="109" ht="15" customHeight="1">
      <c r="A109" s="1"/>
      <c r="B109" s="1" t="s">
        <v>236</v>
      </c>
      <c r="C109" s="29">
        <v>1124</v>
      </c>
      <c r="D109" s="29">
        <v>1155</v>
      </c>
      <c r="E109" s="29">
        <v>1223</v>
      </c>
      <c r="F109" s="33">
        <f t="shared" si="46" ref="F109:F133">G109-C109-D109-E109</f>
        <v>1067</v>
      </c>
      <c r="G109" s="29">
        <v>4569</v>
      </c>
      <c r="H109" s="29">
        <v>1089</v>
      </c>
      <c r="I109" s="29">
        <v>1148</v>
      </c>
      <c r="J109" s="43">
        <f>J108*(I109/I108+E109/E108-D109/D108)</f>
        <v>1280.254424502218</v>
      </c>
      <c r="K109" s="11" t="s">
        <v>237</v>
      </c>
    </row>
    <row r="110" ht="15" customHeight="1">
      <c r="A110" s="1"/>
      <c r="B110" s="1" t="s">
        <v>238</v>
      </c>
      <c r="C110" s="29">
        <v>52</v>
      </c>
      <c r="D110" s="29">
        <v>54</v>
      </c>
      <c r="E110" s="29">
        <v>55</v>
      </c>
      <c r="F110" s="33">
        <f t="shared" si="46"/>
        <v>52</v>
      </c>
      <c r="G110" s="29">
        <v>213</v>
      </c>
      <c r="H110" s="29">
        <v>54</v>
      </c>
      <c r="I110" s="29">
        <v>54</v>
      </c>
      <c r="J110" s="43">
        <f>J108*(I110/I108+E110/E108-D110/D108)</f>
        <v>57.96314860476398</v>
      </c>
      <c r="K110" s="11" t="s">
        <v>237</v>
      </c>
    </row>
    <row r="111" ht="15" customHeight="1">
      <c r="A111" s="1"/>
      <c r="B111" s="1" t="s">
        <v>239</v>
      </c>
      <c r="C111" s="29">
        <v>576</v>
      </c>
      <c r="D111" s="29">
        <v>585</v>
      </c>
      <c r="E111" s="29">
        <v>515</v>
      </c>
      <c r="F111" s="33">
        <f t="shared" si="46"/>
        <v>435</v>
      </c>
      <c r="G111" s="29">
        <v>2111</v>
      </c>
      <c r="H111" s="29">
        <v>563</v>
      </c>
      <c r="I111" s="29">
        <v>574</v>
      </c>
      <c r="J111" s="43">
        <f>J108*(I111/I108+E111/E108-D111/D108)</f>
        <v>533.9530418134572</v>
      </c>
      <c r="K111" s="11" t="s">
        <v>237</v>
      </c>
    </row>
    <row r="112" ht="15" customHeight="1">
      <c r="A112" s="1"/>
      <c r="B112" s="3" t="s">
        <v>240</v>
      </c>
      <c r="C112" s="50">
        <f t="shared" si="47" ref="C112:J126">C108-C109-C110-C111</f>
        <v>394</v>
      </c>
      <c r="D112" s="50">
        <f t="shared" si="47"/>
        <v>418</v>
      </c>
      <c r="E112" s="50">
        <f t="shared" si="47"/>
        <v>360</v>
      </c>
      <c r="F112" s="50">
        <f t="shared" si="47"/>
        <v>386</v>
      </c>
      <c r="G112" s="50">
        <f t="shared" si="47"/>
        <v>1558</v>
      </c>
      <c r="H112" s="50">
        <f t="shared" si="47"/>
        <v>311</v>
      </c>
      <c r="I112" s="50">
        <f t="shared" si="47"/>
        <v>368</v>
      </c>
      <c r="J112" s="51">
        <f t="shared" si="47"/>
        <v>330.0749391381852</v>
      </c>
      <c r="K112" s="11" t="s">
        <v>241</v>
      </c>
    </row>
    <row r="113" ht="15" customHeight="1">
      <c r="A113" s="1"/>
      <c r="B113" s="4" t="s">
        <v>145</v>
      </c>
      <c r="C113" s="44">
        <f t="shared" si="48" ref="C113:J113">C112/C126-1</f>
        <v>0.04509283819628651</v>
      </c>
      <c r="D113" s="44">
        <f t="shared" si="48"/>
        <v>0.12064343163538882</v>
      </c>
      <c r="E113" s="44">
        <f t="shared" si="48"/>
        <v>0.15384615384615374</v>
      </c>
      <c r="F113" s="44">
        <f t="shared" si="48"/>
        <v>-0.12866817155756205</v>
      </c>
      <c r="G113" s="44">
        <f t="shared" si="48"/>
        <v>0.03521594684385376</v>
      </c>
      <c r="H113" s="44">
        <f t="shared" si="48"/>
        <v>-0.21065989847715738</v>
      </c>
      <c r="I113" s="44">
        <f t="shared" si="48"/>
        <v>-0.11961722488038273</v>
      </c>
      <c r="J113" s="38">
        <f t="shared" si="48"/>
        <v>-0.08312516906059675</v>
      </c>
      <c r="K113" s="11"/>
    </row>
    <row r="114" ht="15" customHeight="1">
      <c r="A114" s="1"/>
      <c r="B114" s="4" t="s">
        <v>242</v>
      </c>
      <c r="C114" s="44">
        <f t="shared" si="49" ref="C114:J114">1-C109/C108</f>
        <v>0.4762348555452004</v>
      </c>
      <c r="D114" s="44">
        <f t="shared" si="49"/>
        <v>0.4778481012658228</v>
      </c>
      <c r="E114" s="44">
        <f t="shared" si="49"/>
        <v>0.43195541105434276</v>
      </c>
      <c r="F114" s="44">
        <f t="shared" si="49"/>
        <v>0.44999999999999996</v>
      </c>
      <c r="G114" s="44">
        <f t="shared" si="49"/>
        <v>0.4593539226127086</v>
      </c>
      <c r="H114" s="44">
        <f t="shared" si="49"/>
        <v>0.4600892414476946</v>
      </c>
      <c r="I114" s="44">
        <f t="shared" si="49"/>
        <v>0.4645522388059702</v>
      </c>
      <c r="J114" s="38">
        <f t="shared" si="49"/>
        <v>0.41865954859449006</v>
      </c>
      <c r="K114" s="11"/>
    </row>
    <row r="115" ht="15" customHeight="1">
      <c r="A115" s="1"/>
      <c r="B115" s="4" t="s">
        <v>149</v>
      </c>
      <c r="C115" s="47">
        <f t="shared" si="50" ref="C115:J115">(C114-(1-C123/C122))*10000</f>
        <v>23.470412318541413</v>
      </c>
      <c r="D115" s="47">
        <f t="shared" si="50"/>
        <v>118.01589637915777</v>
      </c>
      <c r="E115" s="47">
        <f t="shared" si="50"/>
        <v>-109.29390494544</v>
      </c>
      <c r="F115" s="47">
        <f t="shared" si="50"/>
        <v>-121.88821042743103</v>
      </c>
      <c r="G115" s="47">
        <f t="shared" si="50"/>
        <v>-19.559549577181645</v>
      </c>
      <c r="H115" s="47">
        <f t="shared" si="50"/>
        <v>-161.4561409750581</v>
      </c>
      <c r="I115" s="47">
        <f t="shared" si="50"/>
        <v>-132.95862459852592</v>
      </c>
      <c r="J115" s="48">
        <f t="shared" si="50"/>
        <v>-132.95862459852702</v>
      </c>
      <c r="K115" s="11" t="s">
        <v>243</v>
      </c>
    </row>
    <row r="116" ht="15" customHeight="1">
      <c r="A116" s="1"/>
      <c r="B116" s="4" t="s">
        <v>244</v>
      </c>
      <c r="C116" s="44">
        <f t="shared" si="51" ref="C116:J116">C110/C108</f>
        <v>0.024231127679403542</v>
      </c>
      <c r="D116" s="44">
        <f t="shared" si="51"/>
        <v>0.024412296564195298</v>
      </c>
      <c r="E116" s="44">
        <f t="shared" si="51"/>
        <v>0.025545750116117046</v>
      </c>
      <c r="F116" s="44">
        <f t="shared" si="51"/>
        <v>0.026804123711340205</v>
      </c>
      <c r="G116" s="44">
        <f t="shared" si="51"/>
        <v>0.025204117855875046</v>
      </c>
      <c r="H116" s="44">
        <f t="shared" si="51"/>
        <v>0.026772434308378782</v>
      </c>
      <c r="I116" s="44">
        <f t="shared" si="51"/>
        <v>0.025186567164179104</v>
      </c>
      <c r="J116" s="38">
        <f t="shared" si="51"/>
        <v>0.02632002071610085</v>
      </c>
      <c r="K116" s="11"/>
    </row>
    <row r="117" ht="15" customHeight="1">
      <c r="A117" s="1"/>
      <c r="B117" s="4" t="s">
        <v>149</v>
      </c>
      <c r="C117" s="47">
        <f t="shared" si="52" ref="C117:J117">(C116-(C124/C122))*10000</f>
        <v>-9.139400188556447</v>
      </c>
      <c r="D117" s="47">
        <f t="shared" si="52"/>
        <v>-2.3886622650237666</v>
      </c>
      <c r="E117" s="47">
        <f t="shared" si="52"/>
        <v>-1.0768647633213266</v>
      </c>
      <c r="F117" s="47">
        <f t="shared" si="52"/>
        <v>28.492153036370585</v>
      </c>
      <c r="G117" s="47">
        <f t="shared" si="52"/>
        <v>3.616122098510366</v>
      </c>
      <c r="H117" s="47">
        <f t="shared" si="52"/>
        <v>25.4130662897524</v>
      </c>
      <c r="I117" s="47">
        <f t="shared" si="52"/>
        <v>7.742705999838062</v>
      </c>
      <c r="J117" s="48">
        <f t="shared" si="52"/>
        <v>7.742705999838027</v>
      </c>
      <c r="K117" s="11" t="s">
        <v>245</v>
      </c>
    </row>
    <row r="118" ht="15" customHeight="1">
      <c r="A118" s="1"/>
      <c r="B118" s="4" t="s">
        <v>246</v>
      </c>
      <c r="C118" s="44">
        <f t="shared" si="53" ref="C118:J118">C111/C108</f>
        <v>0.2684063373718546</v>
      </c>
      <c r="D118" s="44">
        <f t="shared" si="53"/>
        <v>0.26446654611211573</v>
      </c>
      <c r="E118" s="44">
        <f t="shared" si="53"/>
        <v>0.23920111472364142</v>
      </c>
      <c r="F118" s="44">
        <f t="shared" si="53"/>
        <v>0.22422680412371135</v>
      </c>
      <c r="G118" s="44">
        <f t="shared" si="53"/>
        <v>0.24979292391432967</v>
      </c>
      <c r="H118" s="44">
        <f t="shared" si="53"/>
        <v>0.27912741695587506</v>
      </c>
      <c r="I118" s="44">
        <f t="shared" si="53"/>
        <v>0.2677238805970149</v>
      </c>
      <c r="J118" s="38">
        <f t="shared" si="53"/>
        <v>0.24245844920854054</v>
      </c>
      <c r="K118" s="11"/>
    </row>
    <row r="119" ht="15" customHeight="1">
      <c r="A119" s="1"/>
      <c r="B119" s="4" t="s">
        <v>149</v>
      </c>
      <c r="C119" s="47">
        <f t="shared" si="54" ref="C119:J119">(C118-(C125/C122))*10000</f>
        <v>19.653315691466887</v>
      </c>
      <c r="D119" s="47">
        <f t="shared" si="54"/>
        <v>-34.40430632070335</v>
      </c>
      <c r="E119" s="47">
        <f t="shared" si="54"/>
        <v>-270.13793311208514</v>
      </c>
      <c r="F119" s="47">
        <f t="shared" si="54"/>
        <v>-59.281982248090834</v>
      </c>
      <c r="G119" s="47">
        <f t="shared" si="54"/>
        <v>-77.84634626024523</v>
      </c>
      <c r="H119" s="47">
        <f t="shared" si="54"/>
        <v>107.21079584020465</v>
      </c>
      <c r="I119" s="47">
        <f t="shared" si="54"/>
        <v>32.573344848991766</v>
      </c>
      <c r="J119" s="48">
        <f t="shared" si="54"/>
        <v>32.57334484899121</v>
      </c>
      <c r="K119" s="11" t="s">
        <v>245</v>
      </c>
    </row>
    <row r="120" ht="15" customHeight="1">
      <c r="A120" s="1"/>
      <c r="B120" s="4" t="s">
        <v>247</v>
      </c>
      <c r="C120" s="44">
        <f t="shared" si="55" ref="C120:J120">C112/C108</f>
        <v>0.18359739049394222</v>
      </c>
      <c r="D120" s="44">
        <f t="shared" si="55"/>
        <v>0.18896925858951175</v>
      </c>
      <c r="E120" s="44">
        <f t="shared" si="55"/>
        <v>0.1672085462145843</v>
      </c>
      <c r="F120" s="44">
        <f t="shared" si="55"/>
        <v>0.19896907216494844</v>
      </c>
      <c r="G120" s="44">
        <f t="shared" si="55"/>
        <v>0.18435688084250385</v>
      </c>
      <c r="H120" s="44">
        <f t="shared" si="55"/>
        <v>0.15418939018344074</v>
      </c>
      <c r="I120" s="44">
        <f t="shared" si="55"/>
        <v>0.17164179104477612</v>
      </c>
      <c r="J120" s="38">
        <f t="shared" si="55"/>
        <v>0.14988107866984868</v>
      </c>
      <c r="K120" s="11"/>
    </row>
    <row r="121" ht="15" customHeight="1">
      <c r="A121" s="1"/>
      <c r="B121" s="4" t="s">
        <v>149</v>
      </c>
      <c r="C121" s="47">
        <f t="shared" si="56" ref="C121:J121">(C120-(C126/C122))*10000</f>
        <v>12.956496815631214</v>
      </c>
      <c r="D121" s="47">
        <f t="shared" si="56"/>
        <v>154.8088649648849</v>
      </c>
      <c r="E121" s="47">
        <f t="shared" si="56"/>
        <v>161.92089292996704</v>
      </c>
      <c r="F121" s="47">
        <f t="shared" si="56"/>
        <v>-91.0983812157104</v>
      </c>
      <c r="G121" s="47">
        <f t="shared" si="56"/>
        <v>54.67067458455349</v>
      </c>
      <c r="H121" s="47">
        <f t="shared" si="56"/>
        <v>-294.0800031050147</v>
      </c>
      <c r="I121" s="47">
        <f t="shared" si="56"/>
        <v>-173.27467544735632</v>
      </c>
      <c r="J121" s="48">
        <f t="shared" si="56"/>
        <v>-173.27467544735632</v>
      </c>
      <c r="K121" s="11" t="s">
        <v>245</v>
      </c>
    </row>
    <row r="122" ht="15" customHeight="1">
      <c r="A122" s="1"/>
      <c r="B122" s="1" t="s">
        <v>248</v>
      </c>
      <c r="C122" s="33">
        <f t="shared" si="57" ref="C122:J122">C105</f>
        <v>2068</v>
      </c>
      <c r="D122" s="33">
        <f t="shared" si="57"/>
        <v>2150</v>
      </c>
      <c r="E122" s="33">
        <f t="shared" si="57"/>
        <v>2066</v>
      </c>
      <c r="F122" s="33">
        <f t="shared" si="57"/>
        <v>2129</v>
      </c>
      <c r="G122" s="33">
        <f t="shared" si="57"/>
        <v>8413</v>
      </c>
      <c r="H122" s="33">
        <f t="shared" si="57"/>
        <v>2146</v>
      </c>
      <c r="I122" s="33">
        <f t="shared" si="57"/>
        <v>2212</v>
      </c>
      <c r="J122" s="43">
        <f t="shared" si="57"/>
        <v>2153</v>
      </c>
      <c r="K122" s="11"/>
    </row>
    <row r="123" ht="15" customHeight="1">
      <c r="A123" s="1"/>
      <c r="B123" s="1" t="s">
        <v>249</v>
      </c>
      <c r="C123" s="29">
        <v>1088</v>
      </c>
      <c r="D123" s="29">
        <v>1148</v>
      </c>
      <c r="E123" s="29">
        <v>1151</v>
      </c>
      <c r="F123" s="33">
        <f t="shared" si="46"/>
        <v>1145</v>
      </c>
      <c r="G123" s="29">
        <v>4532</v>
      </c>
      <c r="H123" s="33">
        <f t="shared" si="58" ref="H123:J125">C109</f>
        <v>1124</v>
      </c>
      <c r="I123" s="33">
        <f t="shared" si="58"/>
        <v>1155</v>
      </c>
      <c r="J123" s="43">
        <f t="shared" si="58"/>
        <v>1223</v>
      </c>
      <c r="K123" s="11" t="s">
        <v>250</v>
      </c>
    </row>
    <row r="124" ht="15" customHeight="1">
      <c r="A124" s="1"/>
      <c r="B124" s="1" t="s">
        <v>251</v>
      </c>
      <c r="C124" s="29">
        <v>52</v>
      </c>
      <c r="D124" s="29">
        <v>53</v>
      </c>
      <c r="E124" s="29">
        <v>53</v>
      </c>
      <c r="F124" s="33">
        <f t="shared" si="46"/>
        <v>51</v>
      </c>
      <c r="G124" s="29">
        <v>209</v>
      </c>
      <c r="H124" s="33">
        <f t="shared" si="58"/>
        <v>52</v>
      </c>
      <c r="I124" s="33">
        <f t="shared" si="58"/>
        <v>54</v>
      </c>
      <c r="J124" s="43">
        <f t="shared" si="58"/>
        <v>55</v>
      </c>
      <c r="K124" s="11" t="s">
        <v>250</v>
      </c>
    </row>
    <row r="125" ht="15" customHeight="1">
      <c r="A125" s="1"/>
      <c r="B125" s="1" t="s">
        <v>252</v>
      </c>
      <c r="C125" s="29">
        <v>551</v>
      </c>
      <c r="D125" s="29">
        <v>576</v>
      </c>
      <c r="E125" s="29">
        <v>550</v>
      </c>
      <c r="F125" s="33">
        <f t="shared" si="46"/>
        <v>490</v>
      </c>
      <c r="G125" s="29">
        <v>2167</v>
      </c>
      <c r="H125" s="33">
        <f t="shared" si="58"/>
        <v>576</v>
      </c>
      <c r="I125" s="33">
        <f t="shared" si="58"/>
        <v>585</v>
      </c>
      <c r="J125" s="43">
        <f t="shared" si="58"/>
        <v>515</v>
      </c>
      <c r="K125" s="11" t="s">
        <v>250</v>
      </c>
    </row>
    <row r="126" ht="15" customHeight="1">
      <c r="A126" s="1"/>
      <c r="B126" s="3" t="s">
        <v>253</v>
      </c>
      <c r="C126" s="50">
        <f t="shared" si="47"/>
        <v>377</v>
      </c>
      <c r="D126" s="50">
        <f t="shared" si="47"/>
        <v>373</v>
      </c>
      <c r="E126" s="50">
        <f t="shared" si="47"/>
        <v>312</v>
      </c>
      <c r="F126" s="50">
        <f t="shared" si="47"/>
        <v>443</v>
      </c>
      <c r="G126" s="50">
        <f t="shared" si="47"/>
        <v>1505</v>
      </c>
      <c r="H126" s="50">
        <f t="shared" si="47"/>
        <v>394</v>
      </c>
      <c r="I126" s="50">
        <f t="shared" si="47"/>
        <v>418</v>
      </c>
      <c r="J126" s="51">
        <f t="shared" si="47"/>
        <v>360</v>
      </c>
      <c r="K126" s="11"/>
    </row>
    <row r="127" ht="15" customHeight="1">
      <c r="A127" s="1"/>
      <c r="B127" s="1"/>
      <c r="C127" s="1"/>
      <c r="D127" s="1"/>
      <c r="E127" s="1"/>
      <c r="F127" s="1"/>
      <c r="G127" s="1"/>
      <c r="H127" s="1"/>
      <c r="I127" s="1"/>
      <c r="J127" s="35"/>
      <c r="K127" s="11"/>
    </row>
    <row r="128" ht="15" customHeight="1">
      <c r="A128" s="1"/>
      <c r="B128" s="3" t="s">
        <v>254</v>
      </c>
      <c r="C128" s="1"/>
      <c r="D128" s="1"/>
      <c r="E128" s="1"/>
      <c r="F128" s="1"/>
      <c r="G128" s="1"/>
      <c r="H128" s="1"/>
      <c r="I128" s="1"/>
      <c r="J128" s="35"/>
      <c r="K128" s="11"/>
    </row>
    <row r="129" ht="15" customHeight="1">
      <c r="A129" s="1"/>
      <c r="B129" s="1" t="s">
        <v>255</v>
      </c>
      <c r="C129" s="29">
        <v>514</v>
      </c>
      <c r="D129" s="29">
        <v>564</v>
      </c>
      <c r="E129" s="29">
        <v>568</v>
      </c>
      <c r="F129" s="33">
        <f t="shared" si="46"/>
        <v>562</v>
      </c>
      <c r="G129" s="29">
        <v>2208</v>
      </c>
      <c r="H129" s="33">
        <f t="shared" si="59" ref="H129:J129">C11</f>
        <v>588</v>
      </c>
      <c r="I129" s="33">
        <f t="shared" si="59"/>
        <v>587</v>
      </c>
      <c r="J129" s="43">
        <f t="shared" si="59"/>
        <v>520</v>
      </c>
      <c r="K129" s="11" t="s">
        <v>256</v>
      </c>
    </row>
    <row r="130" ht="15" customHeight="1">
      <c r="A130" s="1"/>
      <c r="B130" s="1" t="s">
        <v>257</v>
      </c>
      <c r="C130" s="29">
        <v>495</v>
      </c>
      <c r="D130" s="29">
        <v>495</v>
      </c>
      <c r="E130" s="29">
        <v>387</v>
      </c>
      <c r="F130" s="33">
        <f t="shared" si="46"/>
        <v>438</v>
      </c>
      <c r="G130" s="29">
        <v>1815</v>
      </c>
      <c r="H130" s="33">
        <f t="shared" si="60" ref="H130:J130">C16</f>
        <v>453</v>
      </c>
      <c r="I130" s="33">
        <f t="shared" si="60"/>
        <v>467</v>
      </c>
      <c r="J130" s="43">
        <f t="shared" si="60"/>
        <v>457</v>
      </c>
      <c r="K130" s="11" t="s">
        <v>256</v>
      </c>
    </row>
    <row r="131" ht="15" customHeight="1">
      <c r="A131" s="1"/>
      <c r="B131" s="3" t="s">
        <v>258</v>
      </c>
      <c r="C131" s="50">
        <f t="shared" si="19"/>
        <v>1009</v>
      </c>
      <c r="D131" s="50">
        <f t="shared" si="19"/>
        <v>1059</v>
      </c>
      <c r="E131" s="50">
        <f t="shared" si="19"/>
        <v>955</v>
      </c>
      <c r="F131" s="50">
        <f t="shared" si="19"/>
        <v>1000</v>
      </c>
      <c r="G131" s="50">
        <f t="shared" si="19"/>
        <v>4023</v>
      </c>
      <c r="H131" s="50">
        <f t="shared" si="19"/>
        <v>1041</v>
      </c>
      <c r="I131" s="50">
        <f t="shared" si="19"/>
        <v>1054</v>
      </c>
      <c r="J131" s="51">
        <f t="shared" si="19"/>
        <v>977</v>
      </c>
      <c r="K131" s="11"/>
    </row>
    <row r="132" ht="15" customHeight="1">
      <c r="A132" s="1"/>
      <c r="B132" s="1" t="s">
        <v>259</v>
      </c>
      <c r="C132" s="29">
        <v>364</v>
      </c>
      <c r="D132" s="29">
        <v>369</v>
      </c>
      <c r="E132" s="29">
        <v>382</v>
      </c>
      <c r="F132" s="33">
        <f t="shared" si="46"/>
        <v>366</v>
      </c>
      <c r="G132" s="29">
        <v>1481</v>
      </c>
      <c r="H132" s="33">
        <f t="shared" si="61" ref="H132:J132">C44</f>
        <v>367</v>
      </c>
      <c r="I132" s="33">
        <f t="shared" si="61"/>
        <v>370</v>
      </c>
      <c r="J132" s="43">
        <f t="shared" si="61"/>
        <v>368</v>
      </c>
      <c r="K132" s="11" t="s">
        <v>256</v>
      </c>
    </row>
    <row r="133" ht="15" customHeight="1">
      <c r="A133" s="1"/>
      <c r="B133" s="1" t="s">
        <v>260</v>
      </c>
      <c r="C133" s="29">
        <v>695</v>
      </c>
      <c r="D133" s="29">
        <v>722</v>
      </c>
      <c r="E133" s="29">
        <v>729</v>
      </c>
      <c r="F133" s="33">
        <f t="shared" si="46"/>
        <v>763</v>
      </c>
      <c r="G133" s="29">
        <v>2909</v>
      </c>
      <c r="H133" s="33">
        <f t="shared" si="62" ref="H133:J133">C49</f>
        <v>738</v>
      </c>
      <c r="I133" s="33">
        <f t="shared" si="62"/>
        <v>788</v>
      </c>
      <c r="J133" s="43">
        <f t="shared" si="62"/>
        <v>808</v>
      </c>
      <c r="K133" s="11" t="s">
        <v>256</v>
      </c>
    </row>
    <row r="134" ht="15" customHeight="1">
      <c r="A134" s="1"/>
      <c r="B134" s="3" t="s">
        <v>261</v>
      </c>
      <c r="C134" s="50">
        <f t="shared" si="19"/>
        <v>1059</v>
      </c>
      <c r="D134" s="50">
        <f t="shared" si="19"/>
        <v>1091</v>
      </c>
      <c r="E134" s="50">
        <f t="shared" si="19"/>
        <v>1111</v>
      </c>
      <c r="F134" s="50">
        <f t="shared" si="19"/>
        <v>1129</v>
      </c>
      <c r="G134" s="50">
        <f t="shared" si="19"/>
        <v>4390</v>
      </c>
      <c r="H134" s="50">
        <f t="shared" si="19"/>
        <v>1105</v>
      </c>
      <c r="I134" s="50">
        <f t="shared" si="19"/>
        <v>1158</v>
      </c>
      <c r="J134" s="51">
        <f t="shared" si="19"/>
        <v>1176</v>
      </c>
      <c r="K134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66D1D28-92DE-C3F8-D911-DD3B88538A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262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4" t="s">
        <v>191</v>
      </c>
      <c r="C9" s="13"/>
      <c r="D9" s="13"/>
      <c r="E9" s="13"/>
      <c r="F9" s="13"/>
      <c r="G9" s="13"/>
      <c r="H9" s="13"/>
      <c r="I9" s="13"/>
      <c r="J9" s="52"/>
      <c r="K9" s="11"/>
    </row>
    <row r="10" ht="15" customHeight="1">
      <c r="A10" s="1"/>
      <c r="B10" s="3" t="s">
        <v>263</v>
      </c>
      <c r="C10" s="1"/>
      <c r="D10" s="1"/>
      <c r="E10" s="1"/>
      <c r="F10" s="1"/>
      <c r="G10" s="1"/>
      <c r="H10" s="1"/>
      <c r="I10" s="1"/>
      <c r="J10" s="35"/>
      <c r="K10" s="11"/>
    </row>
    <row r="11" ht="15" customHeight="1">
      <c r="A11" s="1"/>
      <c r="B11" s="1" t="s">
        <v>193</v>
      </c>
      <c r="C11" s="29">
        <v>332</v>
      </c>
      <c r="D11" s="29">
        <v>351</v>
      </c>
      <c r="E11" s="29">
        <v>366</v>
      </c>
      <c r="F11" s="29">
        <v>376</v>
      </c>
      <c r="G11" s="33">
        <f t="shared" si="6" ref="G11:G285">SUM(C11:F11)</f>
        <v>1425</v>
      </c>
      <c r="H11" s="29">
        <v>347</v>
      </c>
      <c r="I11" s="29">
        <v>377</v>
      </c>
      <c r="J11" s="43">
        <f>(J266)*(1+J14)</f>
        <v>395.28000000000003</v>
      </c>
      <c r="K11" s="11" t="s">
        <v>194</v>
      </c>
    </row>
    <row r="12" ht="15" customHeight="1">
      <c r="A12" s="1"/>
      <c r="B12" s="4" t="s">
        <v>195</v>
      </c>
      <c r="C12" s="44">
        <f t="shared" si="3" ref="C12:J12">C11/C266-1</f>
        <v>0.07096774193548394</v>
      </c>
      <c r="D12" s="44">
        <f t="shared" si="3"/>
        <v>0.07339449541284404</v>
      </c>
      <c r="E12" s="44">
        <f t="shared" si="3"/>
        <v>0.10240963855421681</v>
      </c>
      <c r="F12" s="44">
        <f t="shared" si="3"/>
        <v>0.03581267217630857</v>
      </c>
      <c r="G12" s="44">
        <f t="shared" si="3"/>
        <v>0.06981981981981988</v>
      </c>
      <c r="H12" s="44">
        <f t="shared" si="3"/>
        <v>0.04518072289156616</v>
      </c>
      <c r="I12" s="44">
        <f t="shared" si="3"/>
        <v>0.07407407407407418</v>
      </c>
      <c r="J12" s="38">
        <f t="shared" si="3"/>
        <v>0.08000000000000007</v>
      </c>
      <c r="K12" s="11"/>
    </row>
    <row r="13" ht="15" customHeight="1">
      <c r="A13" s="1"/>
      <c r="B13" s="1" t="s">
        <v>196</v>
      </c>
      <c r="C13" s="33">
        <f>C11-F266</f>
        <v>-31</v>
      </c>
      <c r="D13" s="33">
        <f t="shared" si="4" ref="D13:J222">D11-C11</f>
        <v>19</v>
      </c>
      <c r="E13" s="33">
        <f t="shared" si="4"/>
        <v>15</v>
      </c>
      <c r="F13" s="33">
        <f t="shared" si="4"/>
        <v>10</v>
      </c>
      <c r="G13" s="13" t="s">
        <v>30</v>
      </c>
      <c r="H13" s="33">
        <f t="shared" si="8" ref="H13:H222">H11-F11</f>
        <v>-29</v>
      </c>
      <c r="I13" s="33">
        <f t="shared" si="4"/>
        <v>30</v>
      </c>
      <c r="J13" s="43">
        <f t="shared" si="4"/>
        <v>18.28000000000003</v>
      </c>
      <c r="K13" s="11"/>
    </row>
    <row r="14" ht="15" customHeight="1">
      <c r="A14" s="1"/>
      <c r="B14" s="4" t="s">
        <v>197</v>
      </c>
      <c r="C14" s="36" t="s">
        <v>30</v>
      </c>
      <c r="D14" s="36" t="s">
        <v>30</v>
      </c>
      <c r="E14" s="54">
        <v>0.104</v>
      </c>
      <c r="F14" s="54">
        <v>0.036000000000000004</v>
      </c>
      <c r="G14" s="54">
        <v>0.07</v>
      </c>
      <c r="H14" s="54">
        <v>0.045</v>
      </c>
      <c r="I14" s="54">
        <v>0.075</v>
      </c>
      <c r="J14" s="37">
        <v>0.08</v>
      </c>
      <c r="K14" s="11" t="s">
        <v>201</v>
      </c>
    </row>
    <row r="15" ht="15" customHeight="1">
      <c r="A15" s="1"/>
      <c r="B15" s="4" t="s">
        <v>199</v>
      </c>
      <c r="C15" s="36" t="s">
        <v>30</v>
      </c>
      <c r="D15" s="47" t="str">
        <f t="shared" si="5" ref="D15:J237">IF(AND(ISNUMBER(D14),ISNUMBER(C14)),(D14-C14)*10000,"n/a")</f>
        <v>n/a</v>
      </c>
      <c r="E15" s="47" t="str">
        <f t="shared" si="5"/>
        <v>n/a</v>
      </c>
      <c r="F15" s="47">
        <f t="shared" si="5"/>
        <v>-679.9999999999999</v>
      </c>
      <c r="G15" s="36" t="s">
        <v>30</v>
      </c>
      <c r="H15" s="47">
        <f t="shared" si="9" ref="H15:H237">IF(AND(ISNUMBER(H14),ISNUMBER(F14)),(H14-F14)*10000,"n/a")</f>
        <v>89.99999999999994</v>
      </c>
      <c r="I15" s="47">
        <f t="shared" si="5"/>
        <v>300</v>
      </c>
      <c r="J15" s="48">
        <f t="shared" si="5"/>
        <v>50.00000000000004</v>
      </c>
      <c r="K15" s="11"/>
    </row>
    <row r="16" ht="15" customHeight="1">
      <c r="A16" s="1"/>
      <c r="B16" s="1" t="s">
        <v>200</v>
      </c>
      <c r="C16" s="29">
        <v>845</v>
      </c>
      <c r="D16" s="29">
        <v>1007</v>
      </c>
      <c r="E16" s="29">
        <v>998</v>
      </c>
      <c r="F16" s="29">
        <v>1085</v>
      </c>
      <c r="G16" s="33">
        <f t="shared" si="6"/>
        <v>3935</v>
      </c>
      <c r="H16" s="29">
        <v>925</v>
      </c>
      <c r="I16" s="29">
        <v>1041</v>
      </c>
      <c r="J16" s="43">
        <f>(J267)*(1+J19)*(1+J21)</f>
        <v>1024.9824123731678</v>
      </c>
      <c r="K16" s="11" t="s">
        <v>194</v>
      </c>
    </row>
    <row r="17" ht="15" customHeight="1">
      <c r="A17" s="1"/>
      <c r="B17" s="4" t="s">
        <v>195</v>
      </c>
      <c r="C17" s="44">
        <f t="shared" si="7" ref="C17:J17">C16/C267-1</f>
        <v>-0.05586592178770955</v>
      </c>
      <c r="D17" s="44">
        <f t="shared" si="7"/>
        <v>0.004990019960079861</v>
      </c>
      <c r="E17" s="44">
        <f t="shared" si="7"/>
        <v>0.016293279022403295</v>
      </c>
      <c r="F17" s="44">
        <f t="shared" si="7"/>
        <v>0.0595703125</v>
      </c>
      <c r="G17" s="44">
        <f t="shared" si="7"/>
        <v>0.008198821419420854</v>
      </c>
      <c r="H17" s="44">
        <f t="shared" si="7"/>
        <v>0.09467455621301779</v>
      </c>
      <c r="I17" s="44">
        <f t="shared" si="7"/>
        <v>0.03376365441906648</v>
      </c>
      <c r="J17" s="38">
        <f t="shared" si="7"/>
        <v>0.02703648534385561</v>
      </c>
      <c r="K17" s="11"/>
    </row>
    <row r="18" ht="15" customHeight="1">
      <c r="A18" s="1"/>
      <c r="B18" s="1" t="s">
        <v>196</v>
      </c>
      <c r="C18" s="33">
        <f>C16-F267</f>
        <v>-179</v>
      </c>
      <c r="D18" s="33">
        <f t="shared" si="4"/>
        <v>162</v>
      </c>
      <c r="E18" s="33">
        <f t="shared" si="4"/>
        <v>-9</v>
      </c>
      <c r="F18" s="33">
        <f t="shared" si="4"/>
        <v>87</v>
      </c>
      <c r="G18" s="13" t="s">
        <v>30</v>
      </c>
      <c r="H18" s="33">
        <f t="shared" si="8"/>
        <v>-160</v>
      </c>
      <c r="I18" s="33">
        <f t="shared" si="4"/>
        <v>116</v>
      </c>
      <c r="J18" s="43">
        <f t="shared" si="4"/>
        <v>-16.01758762683221</v>
      </c>
      <c r="K18" s="11"/>
    </row>
    <row r="19" ht="15" customHeight="1">
      <c r="A19" s="1"/>
      <c r="B19" s="4" t="s">
        <v>197</v>
      </c>
      <c r="C19" s="36" t="s">
        <v>30</v>
      </c>
      <c r="D19" s="36" t="s">
        <v>30</v>
      </c>
      <c r="E19" s="54">
        <v>-0.006</v>
      </c>
      <c r="F19" s="54">
        <v>0.036000000000000004</v>
      </c>
      <c r="G19" s="54">
        <v>0.004</v>
      </c>
      <c r="H19" s="54">
        <v>0.027999999999999997</v>
      </c>
      <c r="I19" s="54">
        <v>0.017</v>
      </c>
      <c r="J19" s="37">
        <v>0.045</v>
      </c>
      <c r="K19" s="11" t="s">
        <v>201</v>
      </c>
    </row>
    <row r="20" ht="15" customHeight="1">
      <c r="A20" s="1"/>
      <c r="B20" s="4" t="s">
        <v>199</v>
      </c>
      <c r="C20" s="36" t="s">
        <v>30</v>
      </c>
      <c r="D20" s="47" t="str">
        <f t="shared" si="5"/>
        <v>n/a</v>
      </c>
      <c r="E20" s="47" t="str">
        <f t="shared" si="5"/>
        <v>n/a</v>
      </c>
      <c r="F20" s="47">
        <f t="shared" si="5"/>
        <v>420</v>
      </c>
      <c r="G20" s="36" t="s">
        <v>30</v>
      </c>
      <c r="H20" s="47">
        <f t="shared" si="9"/>
        <v>-80.00000000000007</v>
      </c>
      <c r="I20" s="47">
        <f t="shared" si="5"/>
        <v>-109.99999999999996</v>
      </c>
      <c r="J20" s="48">
        <f t="shared" si="5"/>
        <v>279.99999999999994</v>
      </c>
      <c r="K20" s="11"/>
    </row>
    <row r="21" ht="15" customHeight="1">
      <c r="A21" s="1"/>
      <c r="B21" s="4" t="s">
        <v>202</v>
      </c>
      <c r="C21" s="36" t="s">
        <v>30</v>
      </c>
      <c r="D21" s="36" t="s">
        <v>30</v>
      </c>
      <c r="E21" s="44">
        <f t="shared" si="10" ref="E21:I153">(1+E17)/(1+E19)-1</f>
        <v>0.022427846098997284</v>
      </c>
      <c r="F21" s="44">
        <f t="shared" si="10"/>
        <v>0.022751266891891886</v>
      </c>
      <c r="G21" s="44">
        <f t="shared" si="10"/>
        <v>0.004182093047231827</v>
      </c>
      <c r="H21" s="44">
        <f t="shared" si="10"/>
        <v>0.0648585177169434</v>
      </c>
      <c r="I21" s="44">
        <f t="shared" si="10"/>
        <v>0.01648343600694835</v>
      </c>
      <c r="J21" s="42">
        <f>'Revenue summary'!J12</f>
        <v>-0.017189966178128523</v>
      </c>
      <c r="K21" s="11" t="s">
        <v>203</v>
      </c>
    </row>
    <row r="22" ht="15" customHeight="1">
      <c r="A22" s="1"/>
      <c r="B22" s="4" t="s">
        <v>199</v>
      </c>
      <c r="C22" s="36" t="s">
        <v>30</v>
      </c>
      <c r="D22" s="47" t="str">
        <f t="shared" si="5"/>
        <v>n/a</v>
      </c>
      <c r="E22" s="47" t="str">
        <f t="shared" si="5"/>
        <v>n/a</v>
      </c>
      <c r="F22" s="47">
        <f t="shared" si="5"/>
        <v>3.23420792894602</v>
      </c>
      <c r="G22" s="36" t="s">
        <v>30</v>
      </c>
      <c r="H22" s="47">
        <f t="shared" si="9"/>
        <v>421.0725082505151</v>
      </c>
      <c r="I22" s="47">
        <f t="shared" si="5"/>
        <v>-483.7508170999505</v>
      </c>
      <c r="J22" s="48">
        <f t="shared" si="5"/>
        <v>-336.7340218507688</v>
      </c>
      <c r="K22" s="11"/>
    </row>
    <row r="23" ht="15" customHeight="1">
      <c r="A23" s="1"/>
      <c r="B23" s="1" t="s">
        <v>204</v>
      </c>
      <c r="C23" s="13" t="s">
        <v>30</v>
      </c>
      <c r="D23" s="13" t="s">
        <v>30</v>
      </c>
      <c r="E23" s="33">
        <f t="shared" si="11" ref="E23:J188">E16/(1+E21)</f>
        <v>976.108</v>
      </c>
      <c r="F23" s="33">
        <f t="shared" si="11"/>
        <v>1060.864</v>
      </c>
      <c r="G23" s="33">
        <f t="shared" si="11"/>
        <v>3918.612000000001</v>
      </c>
      <c r="H23" s="33">
        <f t="shared" si="11"/>
        <v>868.66</v>
      </c>
      <c r="I23" s="33">
        <f t="shared" si="11"/>
        <v>1024.1190000000001</v>
      </c>
      <c r="J23" s="43">
        <f t="shared" si="11"/>
        <v>1042.9099999999999</v>
      </c>
      <c r="K23" s="11"/>
    </row>
    <row r="24" ht="15" customHeight="1">
      <c r="A24" s="1"/>
      <c r="B24" s="3" t="s">
        <v>264</v>
      </c>
      <c r="C24" s="50">
        <f t="shared" si="12" ref="C24:J189">C11+C16</f>
        <v>1177</v>
      </c>
      <c r="D24" s="50">
        <f t="shared" si="12"/>
        <v>1358</v>
      </c>
      <c r="E24" s="50">
        <f t="shared" si="12"/>
        <v>1364</v>
      </c>
      <c r="F24" s="50">
        <f t="shared" si="12"/>
        <v>1461</v>
      </c>
      <c r="G24" s="50">
        <f t="shared" si="12"/>
        <v>5360</v>
      </c>
      <c r="H24" s="50">
        <f t="shared" si="12"/>
        <v>1272</v>
      </c>
      <c r="I24" s="50">
        <f t="shared" si="12"/>
        <v>1418</v>
      </c>
      <c r="J24" s="51">
        <f t="shared" si="12"/>
        <v>1420.2624123731678</v>
      </c>
      <c r="K24" s="11"/>
    </row>
    <row r="25" ht="15" customHeight="1">
      <c r="A25" s="1"/>
      <c r="B25" s="4" t="s">
        <v>166</v>
      </c>
      <c r="C25" s="44">
        <f t="shared" si="13" ref="C25:J25">C24/C268-1</f>
        <v>-0.023236514522821605</v>
      </c>
      <c r="D25" s="44">
        <f t="shared" si="13"/>
        <v>0.021820917983446098</v>
      </c>
      <c r="E25" s="44">
        <f t="shared" si="13"/>
        <v>0.03805175038051756</v>
      </c>
      <c r="F25" s="44">
        <f t="shared" si="13"/>
        <v>0.053352559480894124</v>
      </c>
      <c r="G25" s="44">
        <f t="shared" si="13"/>
        <v>0.02387774594078329</v>
      </c>
      <c r="H25" s="44">
        <f t="shared" si="13"/>
        <v>0.08071367884451996</v>
      </c>
      <c r="I25" s="44">
        <f t="shared" si="13"/>
        <v>0.044182621502209196</v>
      </c>
      <c r="J25" s="38">
        <f t="shared" si="13"/>
        <v>0.0412481029128795</v>
      </c>
      <c r="K25" s="11"/>
    </row>
    <row r="26" ht="15" customHeight="1">
      <c r="A26" s="1"/>
      <c r="B26" s="1" t="s">
        <v>146</v>
      </c>
      <c r="C26" s="33">
        <f>C24-F268</f>
        <v>-210</v>
      </c>
      <c r="D26" s="33">
        <f t="shared" si="4"/>
        <v>181</v>
      </c>
      <c r="E26" s="33">
        <f t="shared" si="4"/>
        <v>6</v>
      </c>
      <c r="F26" s="33">
        <f t="shared" si="4"/>
        <v>97</v>
      </c>
      <c r="G26" s="13" t="s">
        <v>30</v>
      </c>
      <c r="H26" s="33">
        <f t="shared" si="8"/>
        <v>-189</v>
      </c>
      <c r="I26" s="33">
        <f t="shared" si="4"/>
        <v>146</v>
      </c>
      <c r="J26" s="43">
        <f t="shared" si="4"/>
        <v>2.262412373167763</v>
      </c>
      <c r="K26" s="11"/>
    </row>
    <row r="27" ht="15" customHeight="1">
      <c r="A27" s="1"/>
      <c r="B27" s="4" t="s">
        <v>147</v>
      </c>
      <c r="C27" s="44">
        <f>C24/F268-1</f>
        <v>-0.1514059120403749</v>
      </c>
      <c r="D27" s="44">
        <f t="shared" si="14" ref="D27:J223">D24/C24-1</f>
        <v>0.15378079864061167</v>
      </c>
      <c r="E27" s="44">
        <f t="shared" si="14"/>
        <v>0.004418262150220897</v>
      </c>
      <c r="F27" s="44">
        <f t="shared" si="14"/>
        <v>0.07111436950146621</v>
      </c>
      <c r="G27" s="36" t="s">
        <v>30</v>
      </c>
      <c r="H27" s="44">
        <f t="shared" si="55" ref="H27:H223">H24/F24-1</f>
        <v>-0.12936344969199176</v>
      </c>
      <c r="I27" s="44">
        <f t="shared" si="14"/>
        <v>0.1147798742138364</v>
      </c>
      <c r="J27" s="38">
        <f t="shared" si="14"/>
        <v>0.0015954953266346106</v>
      </c>
      <c r="K27" s="11"/>
    </row>
    <row r="28" ht="15" customHeight="1">
      <c r="A28" s="1"/>
      <c r="B28" s="4" t="s">
        <v>206</v>
      </c>
      <c r="C28" s="44">
        <f t="shared" si="15" ref="C28:J28">C24/C220</f>
        <v>0.5730282375851996</v>
      </c>
      <c r="D28" s="44">
        <f t="shared" si="15"/>
        <v>0.6249424758398527</v>
      </c>
      <c r="E28" s="44">
        <f t="shared" si="15"/>
        <v>0.6054150022192633</v>
      </c>
      <c r="F28" s="44">
        <f t="shared" si="15"/>
        <v>0.5946275946275946</v>
      </c>
      <c r="G28" s="44">
        <f t="shared" si="15"/>
        <v>0.5997538323822311</v>
      </c>
      <c r="H28" s="44">
        <f t="shared" si="15"/>
        <v>0.5834862385321101</v>
      </c>
      <c r="I28" s="44">
        <f t="shared" si="15"/>
        <v>0.45860284605433377</v>
      </c>
      <c r="J28" s="38">
        <f t="shared" si="15"/>
        <v>0.4371138503119838</v>
      </c>
      <c r="K28" s="11"/>
    </row>
    <row r="29" ht="15" customHeight="1">
      <c r="A29" s="1"/>
      <c r="B29" s="4" t="s">
        <v>149</v>
      </c>
      <c r="C29" s="47">
        <f t="shared" si="16" ref="C29:J29">(C28-C268/C242)*10000</f>
        <v>287.6446161410662</v>
      </c>
      <c r="D29" s="47">
        <f t="shared" si="16"/>
        <v>194.7550545260901</v>
      </c>
      <c r="E29" s="47">
        <f t="shared" si="16"/>
        <v>606.3888281627816</v>
      </c>
      <c r="F29" s="47">
        <f t="shared" si="16"/>
        <v>442.30769230769187</v>
      </c>
      <c r="G29" s="47">
        <f t="shared" si="16"/>
        <v>393.2133050877007</v>
      </c>
      <c r="H29" s="47">
        <f t="shared" si="16"/>
        <v>104.58000946910518</v>
      </c>
      <c r="I29" s="47">
        <f t="shared" si="16"/>
        <v>-1663.3962978551897</v>
      </c>
      <c r="J29" s="48">
        <f t="shared" si="16"/>
        <v>-1683.0115190727945</v>
      </c>
      <c r="K29" s="11"/>
    </row>
    <row r="30" ht="15" customHeight="1">
      <c r="A30" s="1"/>
      <c r="B30" s="1" t="s">
        <v>167</v>
      </c>
      <c r="C30" s="13" t="s">
        <v>30</v>
      </c>
      <c r="D30" s="13" t="s">
        <v>30</v>
      </c>
      <c r="E30" s="33">
        <f t="shared" si="17" ref="E30:J195">E11+E23</f>
        <v>1342.108</v>
      </c>
      <c r="F30" s="33">
        <f t="shared" si="17"/>
        <v>1436.864</v>
      </c>
      <c r="G30" s="33">
        <f t="shared" si="17"/>
        <v>5343.612000000001</v>
      </c>
      <c r="H30" s="33">
        <f t="shared" si="17"/>
        <v>1215.6599999999999</v>
      </c>
      <c r="I30" s="33">
        <f t="shared" si="17"/>
        <v>1401.1190000000001</v>
      </c>
      <c r="J30" s="43">
        <f t="shared" si="17"/>
        <v>1438.1899999999998</v>
      </c>
      <c r="K30" s="11" t="s">
        <v>207</v>
      </c>
    </row>
    <row r="31" ht="15" customHeight="1">
      <c r="A31" s="1"/>
      <c r="B31" s="1" t="s">
        <v>208</v>
      </c>
      <c r="C31" s="33">
        <f t="shared" si="18" ref="C31:J32">C266</f>
        <v>310</v>
      </c>
      <c r="D31" s="33">
        <f t="shared" si="18"/>
        <v>327</v>
      </c>
      <c r="E31" s="33">
        <f t="shared" si="18"/>
        <v>332</v>
      </c>
      <c r="F31" s="33">
        <f t="shared" si="18"/>
        <v>363</v>
      </c>
      <c r="G31" s="33">
        <f t="shared" si="18"/>
        <v>1332</v>
      </c>
      <c r="H31" s="33">
        <f t="shared" si="18"/>
        <v>332</v>
      </c>
      <c r="I31" s="33">
        <f t="shared" si="18"/>
        <v>351</v>
      </c>
      <c r="J31" s="43">
        <f t="shared" si="18"/>
        <v>366</v>
      </c>
      <c r="K31" s="11"/>
    </row>
    <row r="32" ht="15" customHeight="1">
      <c r="A32" s="1"/>
      <c r="B32" s="1" t="s">
        <v>168</v>
      </c>
      <c r="C32" s="33">
        <f t="shared" si="18"/>
        <v>895</v>
      </c>
      <c r="D32" s="33">
        <f t="shared" si="18"/>
        <v>1002</v>
      </c>
      <c r="E32" s="33">
        <f t="shared" si="18"/>
        <v>982</v>
      </c>
      <c r="F32" s="33">
        <f t="shared" si="18"/>
        <v>1024</v>
      </c>
      <c r="G32" s="33">
        <f t="shared" si="18"/>
        <v>3903</v>
      </c>
      <c r="H32" s="33">
        <f t="shared" si="18"/>
        <v>845</v>
      </c>
      <c r="I32" s="33">
        <f t="shared" si="18"/>
        <v>1007</v>
      </c>
      <c r="J32" s="43">
        <f t="shared" si="18"/>
        <v>998</v>
      </c>
      <c r="K32" s="11"/>
    </row>
    <row r="33" ht="15" customHeight="1">
      <c r="A33" s="1"/>
      <c r="B33" s="1" t="s">
        <v>169</v>
      </c>
      <c r="C33" s="33">
        <f t="shared" si="19" ref="C33:J283">C31+C32</f>
        <v>1205</v>
      </c>
      <c r="D33" s="33">
        <f t="shared" si="19"/>
        <v>1329</v>
      </c>
      <c r="E33" s="33">
        <f t="shared" si="19"/>
        <v>1314</v>
      </c>
      <c r="F33" s="33">
        <f t="shared" si="19"/>
        <v>1387</v>
      </c>
      <c r="G33" s="33">
        <f t="shared" si="19"/>
        <v>5235</v>
      </c>
      <c r="H33" s="33">
        <f t="shared" si="19"/>
        <v>1177</v>
      </c>
      <c r="I33" s="33">
        <f t="shared" si="19"/>
        <v>1358</v>
      </c>
      <c r="J33" s="43">
        <f t="shared" si="19"/>
        <v>1364</v>
      </c>
      <c r="K33" s="11" t="s">
        <v>209</v>
      </c>
    </row>
    <row r="34" ht="15" customHeight="1">
      <c r="A34" s="1"/>
      <c r="B34" s="4" t="s">
        <v>152</v>
      </c>
      <c r="C34" s="36" t="s">
        <v>30</v>
      </c>
      <c r="D34" s="36" t="s">
        <v>30</v>
      </c>
      <c r="E34" s="44">
        <f t="shared" si="20" ref="E34:J34">(E33/E268)*(E30/(E30))-1</f>
        <v>0</v>
      </c>
      <c r="F34" s="44">
        <f t="shared" si="20"/>
        <v>0</v>
      </c>
      <c r="G34" s="44">
        <f t="shared" si="20"/>
        <v>0</v>
      </c>
      <c r="H34" s="44">
        <f t="shared" si="20"/>
        <v>0</v>
      </c>
      <c r="I34" s="44">
        <f t="shared" si="20"/>
        <v>0</v>
      </c>
      <c r="J34" s="38">
        <f t="shared" si="20"/>
        <v>0</v>
      </c>
      <c r="K34" s="11" t="s">
        <v>210</v>
      </c>
    </row>
    <row r="35" ht="15" customHeight="1">
      <c r="A35" s="1"/>
      <c r="B35" s="4" t="s">
        <v>151</v>
      </c>
      <c r="C35" s="36" t="s">
        <v>30</v>
      </c>
      <c r="D35" s="47" t="str">
        <f t="shared" si="5"/>
        <v>n/a</v>
      </c>
      <c r="E35" s="47" t="str">
        <f t="shared" si="5"/>
        <v>n/a</v>
      </c>
      <c r="F35" s="47">
        <f t="shared" si="5"/>
        <v>0</v>
      </c>
      <c r="G35" s="36" t="s">
        <v>30</v>
      </c>
      <c r="H35" s="47">
        <f t="shared" si="9"/>
        <v>0</v>
      </c>
      <c r="I35" s="47">
        <f t="shared" si="5"/>
        <v>0</v>
      </c>
      <c r="J35" s="48">
        <f t="shared" si="5"/>
        <v>0</v>
      </c>
      <c r="K35" s="11"/>
    </row>
    <row r="36" ht="15" customHeight="1">
      <c r="A36" s="1"/>
      <c r="B36" s="4" t="s">
        <v>153</v>
      </c>
      <c r="C36" s="36" t="s">
        <v>30</v>
      </c>
      <c r="D36" s="36" t="s">
        <v>30</v>
      </c>
      <c r="E36" s="44">
        <f t="shared" si="21" ref="E36:J201">E24/E30-1</f>
        <v>0.016311653011531257</v>
      </c>
      <c r="F36" s="44">
        <f t="shared" si="21"/>
        <v>0.01679769275310683</v>
      </c>
      <c r="G36" s="44">
        <f t="shared" si="21"/>
        <v>0.0030668394337012295</v>
      </c>
      <c r="H36" s="44">
        <f t="shared" si="21"/>
        <v>0.04634519520260616</v>
      </c>
      <c r="I36" s="44">
        <f t="shared" si="21"/>
        <v>0.012048227166999936</v>
      </c>
      <c r="J36" s="38">
        <f t="shared" si="21"/>
        <v>-0.012465381922299623</v>
      </c>
      <c r="K36" s="11"/>
    </row>
    <row r="37" ht="15" customHeight="1">
      <c r="A37" s="1"/>
      <c r="B37" s="4" t="s">
        <v>151</v>
      </c>
      <c r="C37" s="36" t="s">
        <v>30</v>
      </c>
      <c r="D37" s="47" t="str">
        <f t="shared" si="5"/>
        <v>n/a</v>
      </c>
      <c r="E37" s="47" t="str">
        <f t="shared" si="5"/>
        <v>n/a</v>
      </c>
      <c r="F37" s="47">
        <f t="shared" si="5"/>
        <v>4.860397415755724</v>
      </c>
      <c r="G37" s="36" t="s">
        <v>30</v>
      </c>
      <c r="H37" s="47">
        <f t="shared" si="9"/>
        <v>295.4750244949933</v>
      </c>
      <c r="I37" s="47">
        <f t="shared" si="5"/>
        <v>-342.9696803560622</v>
      </c>
      <c r="J37" s="48">
        <f t="shared" si="5"/>
        <v>-245.13609089299558</v>
      </c>
      <c r="K37" s="11"/>
    </row>
    <row r="38" ht="15" customHeight="1">
      <c r="A38" s="1"/>
      <c r="B38" s="4" t="s">
        <v>211</v>
      </c>
      <c r="C38" s="36" t="s">
        <v>30</v>
      </c>
      <c r="D38" s="36" t="s">
        <v>30</v>
      </c>
      <c r="E38" s="44">
        <f t="shared" si="22" ref="E38:J170">(1+E25)/((1+E34)*(1+E36))-1</f>
        <v>0.021391171993911717</v>
      </c>
      <c r="F38" s="44">
        <f t="shared" si="22"/>
        <v>0.035950973323720214</v>
      </c>
      <c r="G38" s="44">
        <f t="shared" si="22"/>
        <v>0.02074727793696307</v>
      </c>
      <c r="H38" s="44">
        <f t="shared" si="22"/>
        <v>0.03284621920135922</v>
      </c>
      <c r="I38" s="44">
        <f t="shared" si="22"/>
        <v>0.03175184094256278</v>
      </c>
      <c r="J38" s="38">
        <f t="shared" si="22"/>
        <v>0.054391495601172846</v>
      </c>
      <c r="K38" s="11" t="s">
        <v>212</v>
      </c>
    </row>
    <row r="39" ht="15" customHeight="1">
      <c r="A39" s="1"/>
      <c r="B39" s="4" t="s">
        <v>151</v>
      </c>
      <c r="C39" s="36" t="s">
        <v>30</v>
      </c>
      <c r="D39" s="47" t="str">
        <f t="shared" si="5"/>
        <v>n/a</v>
      </c>
      <c r="E39" s="47" t="str">
        <f t="shared" si="5"/>
        <v>n/a</v>
      </c>
      <c r="F39" s="47">
        <f t="shared" si="5"/>
        <v>145.59801329808496</v>
      </c>
      <c r="G39" s="36" t="s">
        <v>30</v>
      </c>
      <c r="H39" s="47">
        <f t="shared" si="9"/>
        <v>-31.047541223609976</v>
      </c>
      <c r="I39" s="47">
        <f t="shared" si="5"/>
        <v>-10.943782587964357</v>
      </c>
      <c r="J39" s="48">
        <f t="shared" si="5"/>
        <v>226.39654658610064</v>
      </c>
      <c r="K39" s="11"/>
    </row>
    <row r="40" ht="15" customHeight="1">
      <c r="A40" s="1"/>
      <c r="B40" s="4" t="s">
        <v>213</v>
      </c>
      <c r="C40" s="44">
        <f t="shared" si="23" ref="C40:J205">C11/C24</f>
        <v>0.2820730671197961</v>
      </c>
      <c r="D40" s="44">
        <f t="shared" si="23"/>
        <v>0.25846833578792344</v>
      </c>
      <c r="E40" s="44">
        <f t="shared" si="23"/>
        <v>0.26832844574780057</v>
      </c>
      <c r="F40" s="44">
        <f t="shared" si="23"/>
        <v>0.25735797399041754</v>
      </c>
      <c r="G40" s="44">
        <f t="shared" si="23"/>
        <v>0.2658582089552239</v>
      </c>
      <c r="H40" s="44">
        <f t="shared" si="23"/>
        <v>0.2727987421383648</v>
      </c>
      <c r="I40" s="44">
        <f t="shared" si="23"/>
        <v>0.26586741889985893</v>
      </c>
      <c r="J40" s="38">
        <f t="shared" si="23"/>
        <v>0.27831476532531224</v>
      </c>
      <c r="K40" s="11"/>
    </row>
    <row r="41" ht="15" customHeight="1">
      <c r="A41" s="1"/>
      <c r="B41" s="4" t="s">
        <v>214</v>
      </c>
      <c r="C41" s="47">
        <f t="shared" si="24" ref="C41:J41">(C40-C266/C268)*10000</f>
        <v>248.11656331414355</v>
      </c>
      <c r="D41" s="47">
        <f t="shared" si="24"/>
        <v>124.18674388374906</v>
      </c>
      <c r="E41" s="47">
        <f t="shared" si="24"/>
        <v>156.6482322116436</v>
      </c>
      <c r="F41" s="47">
        <f t="shared" si="24"/>
        <v>-43.57959679373358</v>
      </c>
      <c r="G41" s="47">
        <f t="shared" si="24"/>
        <v>114.16948210238198</v>
      </c>
      <c r="H41" s="47">
        <f t="shared" si="24"/>
        <v>-92.7432498143127</v>
      </c>
      <c r="I41" s="47">
        <f t="shared" si="24"/>
        <v>73.9908311193549</v>
      </c>
      <c r="J41" s="48">
        <f t="shared" si="24"/>
        <v>99.86319577511671</v>
      </c>
      <c r="K41" s="11"/>
    </row>
    <row r="42" ht="15" customHeight="1">
      <c r="A42" s="1"/>
      <c r="B42" s="1"/>
      <c r="C42" s="1"/>
      <c r="D42" s="1"/>
      <c r="E42" s="1"/>
      <c r="F42" s="1"/>
      <c r="G42" s="1"/>
      <c r="H42" s="1"/>
      <c r="I42" s="1"/>
      <c r="J42" s="35"/>
      <c r="K42" s="11"/>
    </row>
    <row r="43" ht="15" customHeight="1">
      <c r="A43" s="1"/>
      <c r="B43" s="3" t="s">
        <v>265</v>
      </c>
      <c r="C43" s="1"/>
      <c r="D43" s="1"/>
      <c r="E43" s="1"/>
      <c r="F43" s="1"/>
      <c r="G43" s="1"/>
      <c r="H43" s="1"/>
      <c r="I43" s="1"/>
      <c r="J43" s="35"/>
      <c r="K43" s="11"/>
    </row>
    <row r="44" ht="15" customHeight="1">
      <c r="A44" s="1"/>
      <c r="B44" s="1" t="s">
        <v>193</v>
      </c>
      <c r="C44" s="29">
        <v>40</v>
      </c>
      <c r="D44" s="29">
        <v>35</v>
      </c>
      <c r="E44" s="29">
        <v>36</v>
      </c>
      <c r="F44" s="29">
        <v>39</v>
      </c>
      <c r="G44" s="33">
        <f t="shared" si="6"/>
        <v>150</v>
      </c>
      <c r="H44" s="13" t="s">
        <v>30</v>
      </c>
      <c r="I44" s="13" t="s">
        <v>30</v>
      </c>
      <c r="J44" s="52" t="s">
        <v>30</v>
      </c>
      <c r="K44" s="11" t="s">
        <v>266</v>
      </c>
    </row>
    <row r="45" ht="15" customHeight="1">
      <c r="A45" s="1"/>
      <c r="B45" s="4" t="s">
        <v>195</v>
      </c>
      <c r="C45" s="44">
        <f t="shared" si="25" ref="C45:G45">C44/C269-1</f>
        <v>-0.04761904761904767</v>
      </c>
      <c r="D45" s="44">
        <f t="shared" si="25"/>
        <v>0.06060606060606055</v>
      </c>
      <c r="E45" s="44">
        <f t="shared" si="25"/>
        <v>-0.027027027027026973</v>
      </c>
      <c r="F45" s="44">
        <f t="shared" si="25"/>
        <v>0.026315789473684292</v>
      </c>
      <c r="G45" s="44">
        <f t="shared" si="25"/>
        <v>0</v>
      </c>
      <c r="H45" s="36" t="s">
        <v>30</v>
      </c>
      <c r="I45" s="36" t="s">
        <v>30</v>
      </c>
      <c r="J45" s="55" t="s">
        <v>30</v>
      </c>
      <c r="K45" s="11"/>
    </row>
    <row r="46" ht="15" customHeight="1">
      <c r="A46" s="1"/>
      <c r="B46" s="1" t="s">
        <v>196</v>
      </c>
      <c r="C46" s="33">
        <f>C44-F269</f>
        <v>2</v>
      </c>
      <c r="D46" s="33">
        <f t="shared" si="4"/>
        <v>-5</v>
      </c>
      <c r="E46" s="33">
        <f t="shared" si="4"/>
        <v>1</v>
      </c>
      <c r="F46" s="33">
        <f t="shared" si="4"/>
        <v>3</v>
      </c>
      <c r="G46" s="13" t="s">
        <v>30</v>
      </c>
      <c r="H46" s="13" t="s">
        <v>30</v>
      </c>
      <c r="I46" s="13" t="s">
        <v>30</v>
      </c>
      <c r="J46" s="52" t="s">
        <v>30</v>
      </c>
      <c r="K46" s="11"/>
    </row>
    <row r="47" ht="15" customHeight="1">
      <c r="A47" s="1"/>
      <c r="B47" s="4" t="s">
        <v>197</v>
      </c>
      <c r="C47" s="36" t="s">
        <v>30</v>
      </c>
      <c r="D47" s="36" t="s">
        <v>30</v>
      </c>
      <c r="E47" s="54">
        <v>-0.015</v>
      </c>
      <c r="F47" s="54">
        <v>0.029</v>
      </c>
      <c r="G47" s="54">
        <v>0.004</v>
      </c>
      <c r="H47" s="36" t="s">
        <v>30</v>
      </c>
      <c r="I47" s="36" t="s">
        <v>30</v>
      </c>
      <c r="J47" s="55" t="s">
        <v>30</v>
      </c>
      <c r="K47" s="11" t="s">
        <v>201</v>
      </c>
    </row>
    <row r="48" ht="15" customHeight="1">
      <c r="A48" s="1"/>
      <c r="B48" s="4" t="s">
        <v>199</v>
      </c>
      <c r="C48" s="36" t="s">
        <v>30</v>
      </c>
      <c r="D48" s="47" t="str">
        <f t="shared" si="5"/>
        <v>n/a</v>
      </c>
      <c r="E48" s="47" t="str">
        <f t="shared" si="5"/>
        <v>n/a</v>
      </c>
      <c r="F48" s="47">
        <f t="shared" si="5"/>
        <v>440</v>
      </c>
      <c r="G48" s="36" t="s">
        <v>30</v>
      </c>
      <c r="H48" s="36" t="s">
        <v>30</v>
      </c>
      <c r="I48" s="36" t="s">
        <v>30</v>
      </c>
      <c r="J48" s="55" t="s">
        <v>30</v>
      </c>
      <c r="K48" s="11"/>
    </row>
    <row r="49" ht="15" customHeight="1">
      <c r="A49" s="1"/>
      <c r="B49" s="1" t="s">
        <v>200</v>
      </c>
      <c r="C49" s="29">
        <v>82</v>
      </c>
      <c r="D49" s="29">
        <v>88</v>
      </c>
      <c r="E49" s="29">
        <v>95</v>
      </c>
      <c r="F49" s="29">
        <v>102</v>
      </c>
      <c r="G49" s="33">
        <f t="shared" si="6"/>
        <v>367</v>
      </c>
      <c r="H49" s="13" t="s">
        <v>30</v>
      </c>
      <c r="I49" s="13" t="s">
        <v>30</v>
      </c>
      <c r="J49" s="52" t="s">
        <v>30</v>
      </c>
      <c r="K49" s="11" t="s">
        <v>266</v>
      </c>
    </row>
    <row r="50" ht="15" customHeight="1">
      <c r="A50" s="1"/>
      <c r="B50" s="4" t="s">
        <v>195</v>
      </c>
      <c r="C50" s="44">
        <f t="shared" si="26" ref="C50:G50">C49/C270-1</f>
        <v>-0.05747126436781613</v>
      </c>
      <c r="D50" s="44">
        <f t="shared" si="26"/>
        <v>-0.06382978723404253</v>
      </c>
      <c r="E50" s="44">
        <f t="shared" si="26"/>
        <v>0.04395604395604402</v>
      </c>
      <c r="F50" s="44">
        <f t="shared" si="26"/>
        <v>0.030303030303030276</v>
      </c>
      <c r="G50" s="44">
        <f t="shared" si="26"/>
        <v>-0.010781671159029615</v>
      </c>
      <c r="H50" s="36" t="s">
        <v>30</v>
      </c>
      <c r="I50" s="36" t="s">
        <v>30</v>
      </c>
      <c r="J50" s="55" t="s">
        <v>30</v>
      </c>
      <c r="K50" s="11"/>
    </row>
    <row r="51" ht="15" customHeight="1">
      <c r="A51" s="1"/>
      <c r="B51" s="1" t="s">
        <v>196</v>
      </c>
      <c r="C51" s="33">
        <f>C49-F270</f>
        <v>-17</v>
      </c>
      <c r="D51" s="33">
        <f t="shared" si="4"/>
        <v>6</v>
      </c>
      <c r="E51" s="33">
        <f t="shared" si="4"/>
        <v>7</v>
      </c>
      <c r="F51" s="33">
        <f t="shared" si="4"/>
        <v>7</v>
      </c>
      <c r="G51" s="13" t="s">
        <v>30</v>
      </c>
      <c r="H51" s="13" t="s">
        <v>30</v>
      </c>
      <c r="I51" s="13" t="s">
        <v>30</v>
      </c>
      <c r="J51" s="52" t="s">
        <v>30</v>
      </c>
      <c r="K51" s="11"/>
    </row>
    <row r="52" ht="15" customHeight="1">
      <c r="A52" s="1"/>
      <c r="B52" s="4" t="s">
        <v>197</v>
      </c>
      <c r="C52" s="36" t="s">
        <v>30</v>
      </c>
      <c r="D52" s="36" t="s">
        <v>30</v>
      </c>
      <c r="E52" s="54">
        <v>0.017</v>
      </c>
      <c r="F52" s="54">
        <v>0.004</v>
      </c>
      <c r="G52" s="54">
        <v>-0.018000000000000002</v>
      </c>
      <c r="H52" s="36" t="s">
        <v>30</v>
      </c>
      <c r="I52" s="36" t="s">
        <v>30</v>
      </c>
      <c r="J52" s="55" t="s">
        <v>30</v>
      </c>
      <c r="K52" s="11" t="s">
        <v>201</v>
      </c>
    </row>
    <row r="53" ht="15" customHeight="1">
      <c r="A53" s="1"/>
      <c r="B53" s="4" t="s">
        <v>199</v>
      </c>
      <c r="C53" s="36" t="s">
        <v>30</v>
      </c>
      <c r="D53" s="47" t="str">
        <f t="shared" si="5"/>
        <v>n/a</v>
      </c>
      <c r="E53" s="47" t="str">
        <f t="shared" si="5"/>
        <v>n/a</v>
      </c>
      <c r="F53" s="47">
        <f t="shared" si="5"/>
        <v>-130</v>
      </c>
      <c r="G53" s="36" t="s">
        <v>30</v>
      </c>
      <c r="H53" s="36" t="s">
        <v>30</v>
      </c>
      <c r="I53" s="36" t="s">
        <v>30</v>
      </c>
      <c r="J53" s="55" t="s">
        <v>30</v>
      </c>
      <c r="K53" s="11"/>
    </row>
    <row r="54" ht="15" customHeight="1">
      <c r="A54" s="1"/>
      <c r="B54" s="4" t="s">
        <v>202</v>
      </c>
      <c r="C54" s="36" t="s">
        <v>30</v>
      </c>
      <c r="D54" s="36" t="s">
        <v>30</v>
      </c>
      <c r="E54" s="44">
        <f t="shared" si="10"/>
        <v>0.026505451284212445</v>
      </c>
      <c r="F54" s="44">
        <f t="shared" si="10"/>
        <v>0.026198237353615816</v>
      </c>
      <c r="G54" s="44">
        <f t="shared" si="10"/>
        <v>0.007350640367586925</v>
      </c>
      <c r="H54" s="36" t="s">
        <v>30</v>
      </c>
      <c r="I54" s="36" t="s">
        <v>30</v>
      </c>
      <c r="J54" s="55" t="s">
        <v>30</v>
      </c>
      <c r="K54" s="11" t="s">
        <v>203</v>
      </c>
    </row>
    <row r="55" ht="15" customHeight="1">
      <c r="A55" s="1"/>
      <c r="B55" s="4" t="s">
        <v>199</v>
      </c>
      <c r="C55" s="36" t="s">
        <v>30</v>
      </c>
      <c r="D55" s="47" t="str">
        <f t="shared" si="5"/>
        <v>n/a</v>
      </c>
      <c r="E55" s="47" t="str">
        <f t="shared" si="5"/>
        <v>n/a</v>
      </c>
      <c r="F55" s="47">
        <f t="shared" si="5"/>
        <v>-3.0721393059662816</v>
      </c>
      <c r="G55" s="36" t="s">
        <v>30</v>
      </c>
      <c r="H55" s="36" t="s">
        <v>30</v>
      </c>
      <c r="I55" s="36" t="s">
        <v>30</v>
      </c>
      <c r="J55" s="55" t="s">
        <v>30</v>
      </c>
      <c r="K55" s="11"/>
    </row>
    <row r="56" ht="15" customHeight="1">
      <c r="A56" s="1"/>
      <c r="B56" s="1" t="s">
        <v>204</v>
      </c>
      <c r="C56" s="13" t="s">
        <v>30</v>
      </c>
      <c r="D56" s="13" t="s">
        <v>30</v>
      </c>
      <c r="E56" s="33">
        <f t="shared" si="11"/>
        <v>92.547</v>
      </c>
      <c r="F56" s="33">
        <f t="shared" si="11"/>
        <v>99.396</v>
      </c>
      <c r="G56" s="33">
        <f t="shared" si="11"/>
        <v>364.322</v>
      </c>
      <c r="H56" s="13" t="s">
        <v>30</v>
      </c>
      <c r="I56" s="13" t="s">
        <v>30</v>
      </c>
      <c r="J56" s="52" t="s">
        <v>30</v>
      </c>
      <c r="K56" s="11"/>
    </row>
    <row r="57" ht="15" customHeight="1">
      <c r="A57" s="1"/>
      <c r="B57" s="3" t="s">
        <v>267</v>
      </c>
      <c r="C57" s="50">
        <f t="shared" si="12"/>
        <v>122</v>
      </c>
      <c r="D57" s="50">
        <f t="shared" si="12"/>
        <v>123</v>
      </c>
      <c r="E57" s="50">
        <f t="shared" si="12"/>
        <v>131</v>
      </c>
      <c r="F57" s="50">
        <f t="shared" si="12"/>
        <v>141</v>
      </c>
      <c r="G57" s="50">
        <f t="shared" si="12"/>
        <v>517</v>
      </c>
      <c r="H57" s="56" t="s">
        <v>30</v>
      </c>
      <c r="I57" s="56" t="s">
        <v>30</v>
      </c>
      <c r="J57" s="57" t="s">
        <v>30</v>
      </c>
      <c r="K57" s="11"/>
    </row>
    <row r="58" ht="15" customHeight="1">
      <c r="A58" s="1"/>
      <c r="B58" s="4" t="s">
        <v>166</v>
      </c>
      <c r="C58" s="44">
        <f t="shared" si="27" ref="C58:G58">C57/C271-1</f>
        <v>-0.054263565891472854</v>
      </c>
      <c r="D58" s="44">
        <f t="shared" si="27"/>
        <v>-0.03149606299212604</v>
      </c>
      <c r="E58" s="44">
        <f t="shared" si="27"/>
        <v>0.0234375</v>
      </c>
      <c r="F58" s="44">
        <f t="shared" si="27"/>
        <v>0.029197080291970767</v>
      </c>
      <c r="G58" s="44">
        <f t="shared" si="27"/>
        <v>-0.007677543186180413</v>
      </c>
      <c r="H58" s="36" t="s">
        <v>30</v>
      </c>
      <c r="I58" s="36" t="s">
        <v>30</v>
      </c>
      <c r="J58" s="55" t="s">
        <v>30</v>
      </c>
      <c r="K58" s="11"/>
    </row>
    <row r="59" ht="15" customHeight="1">
      <c r="A59" s="1"/>
      <c r="B59" s="1" t="s">
        <v>146</v>
      </c>
      <c r="C59" s="33">
        <f>C57-F271</f>
        <v>-15</v>
      </c>
      <c r="D59" s="33">
        <f t="shared" si="4"/>
        <v>1</v>
      </c>
      <c r="E59" s="33">
        <f t="shared" si="4"/>
        <v>8</v>
      </c>
      <c r="F59" s="33">
        <f t="shared" si="4"/>
        <v>10</v>
      </c>
      <c r="G59" s="13" t="s">
        <v>30</v>
      </c>
      <c r="H59" s="13" t="s">
        <v>30</v>
      </c>
      <c r="I59" s="13" t="s">
        <v>30</v>
      </c>
      <c r="J59" s="52" t="s">
        <v>30</v>
      </c>
      <c r="K59" s="11"/>
    </row>
    <row r="60" ht="15" customHeight="1">
      <c r="A60" s="1"/>
      <c r="B60" s="4" t="s">
        <v>147</v>
      </c>
      <c r="C60" s="44">
        <f>C57/F271-1</f>
        <v>-0.10948905109489049</v>
      </c>
      <c r="D60" s="44">
        <f t="shared" si="14"/>
        <v>0.008196721311475308</v>
      </c>
      <c r="E60" s="44">
        <f t="shared" si="14"/>
        <v>0.06504065040650397</v>
      </c>
      <c r="F60" s="44">
        <f t="shared" si="14"/>
        <v>0.07633587786259532</v>
      </c>
      <c r="G60" s="36" t="s">
        <v>30</v>
      </c>
      <c r="H60" s="36" t="s">
        <v>30</v>
      </c>
      <c r="I60" s="36" t="s">
        <v>30</v>
      </c>
      <c r="J60" s="55" t="s">
        <v>30</v>
      </c>
      <c r="K60" s="11"/>
    </row>
    <row r="61" ht="15" customHeight="1">
      <c r="A61" s="1"/>
      <c r="B61" s="4" t="s">
        <v>206</v>
      </c>
      <c r="C61" s="44">
        <f t="shared" si="28" ref="C61:G61">C57/C220</f>
        <v>0.05939629990262902</v>
      </c>
      <c r="D61" s="44">
        <f t="shared" si="28"/>
        <v>0.05660377358490566</v>
      </c>
      <c r="E61" s="44">
        <f t="shared" si="28"/>
        <v>0.05814469596094097</v>
      </c>
      <c r="F61" s="44">
        <f t="shared" si="28"/>
        <v>0.057387057387057384</v>
      </c>
      <c r="G61" s="44">
        <f t="shared" si="28"/>
        <v>0.05784939017567416</v>
      </c>
      <c r="H61" s="36" t="s">
        <v>30</v>
      </c>
      <c r="I61" s="36" t="s">
        <v>30</v>
      </c>
      <c r="J61" s="55" t="s">
        <v>30</v>
      </c>
      <c r="K61" s="11"/>
    </row>
    <row r="62" ht="15" customHeight="1">
      <c r="A62" s="1"/>
      <c r="B62" s="4" t="s">
        <v>149</v>
      </c>
      <c r="C62" s="47">
        <f t="shared" si="29" ref="C62:G62">(C61-C271/C242)*10000</f>
        <v>11.307172468024637</v>
      </c>
      <c r="D62" s="47">
        <f t="shared" si="29"/>
        <v>-12.549963467572075</v>
      </c>
      <c r="E62" s="47">
        <f t="shared" si="29"/>
        <v>50.76702594440138</v>
      </c>
      <c r="F62" s="47">
        <f t="shared" si="29"/>
        <v>30.219780219780183</v>
      </c>
      <c r="G62" s="47">
        <f t="shared" si="29"/>
        <v>20.73777286261895</v>
      </c>
      <c r="H62" s="36" t="s">
        <v>30</v>
      </c>
      <c r="I62" s="36" t="s">
        <v>30</v>
      </c>
      <c r="J62" s="55" t="s">
        <v>30</v>
      </c>
      <c r="K62" s="11"/>
    </row>
    <row r="63" ht="15" customHeight="1">
      <c r="A63" s="1"/>
      <c r="B63" s="1" t="s">
        <v>167</v>
      </c>
      <c r="C63" s="13" t="s">
        <v>30</v>
      </c>
      <c r="D63" s="13" t="s">
        <v>30</v>
      </c>
      <c r="E63" s="33">
        <f t="shared" si="17"/>
        <v>128.547</v>
      </c>
      <c r="F63" s="33">
        <f t="shared" si="17"/>
        <v>138.39600000000002</v>
      </c>
      <c r="G63" s="33">
        <f t="shared" si="17"/>
        <v>514.322</v>
      </c>
      <c r="H63" s="13" t="s">
        <v>30</v>
      </c>
      <c r="I63" s="13" t="s">
        <v>30</v>
      </c>
      <c r="J63" s="52" t="s">
        <v>30</v>
      </c>
      <c r="K63" s="11" t="s">
        <v>207</v>
      </c>
    </row>
    <row r="64" ht="15" customHeight="1">
      <c r="A64" s="1"/>
      <c r="B64" s="1" t="s">
        <v>208</v>
      </c>
      <c r="C64" s="33">
        <f t="shared" si="30" ref="C64:G65">C269</f>
        <v>42</v>
      </c>
      <c r="D64" s="33">
        <f t="shared" si="30"/>
        <v>33</v>
      </c>
      <c r="E64" s="33">
        <f t="shared" si="30"/>
        <v>37</v>
      </c>
      <c r="F64" s="33">
        <f t="shared" si="30"/>
        <v>38</v>
      </c>
      <c r="G64" s="33">
        <f t="shared" si="30"/>
        <v>150</v>
      </c>
      <c r="H64" s="13" t="s">
        <v>30</v>
      </c>
      <c r="I64" s="13" t="s">
        <v>30</v>
      </c>
      <c r="J64" s="52" t="s">
        <v>30</v>
      </c>
      <c r="K64" s="11"/>
    </row>
    <row r="65" ht="15" customHeight="1">
      <c r="A65" s="1"/>
      <c r="B65" s="1" t="s">
        <v>168</v>
      </c>
      <c r="C65" s="33">
        <f t="shared" si="30"/>
        <v>87</v>
      </c>
      <c r="D65" s="33">
        <f t="shared" si="30"/>
        <v>94</v>
      </c>
      <c r="E65" s="33">
        <f t="shared" si="30"/>
        <v>91</v>
      </c>
      <c r="F65" s="33">
        <f t="shared" si="30"/>
        <v>99</v>
      </c>
      <c r="G65" s="33">
        <f t="shared" si="30"/>
        <v>371</v>
      </c>
      <c r="H65" s="13" t="s">
        <v>30</v>
      </c>
      <c r="I65" s="13" t="s">
        <v>30</v>
      </c>
      <c r="J65" s="52" t="s">
        <v>30</v>
      </c>
      <c r="K65" s="11"/>
    </row>
    <row r="66" ht="15" customHeight="1">
      <c r="A66" s="1"/>
      <c r="B66" s="1" t="s">
        <v>169</v>
      </c>
      <c r="C66" s="33">
        <f t="shared" si="19"/>
        <v>129</v>
      </c>
      <c r="D66" s="33">
        <f t="shared" si="19"/>
        <v>127</v>
      </c>
      <c r="E66" s="33">
        <f t="shared" si="19"/>
        <v>128</v>
      </c>
      <c r="F66" s="33">
        <f t="shared" si="19"/>
        <v>137</v>
      </c>
      <c r="G66" s="33">
        <f t="shared" si="19"/>
        <v>521</v>
      </c>
      <c r="H66" s="13" t="s">
        <v>30</v>
      </c>
      <c r="I66" s="13" t="s">
        <v>30</v>
      </c>
      <c r="J66" s="52" t="s">
        <v>30</v>
      </c>
      <c r="K66" s="11" t="s">
        <v>209</v>
      </c>
    </row>
    <row r="67" ht="15" customHeight="1">
      <c r="A67" s="1"/>
      <c r="B67" s="4" t="s">
        <v>152</v>
      </c>
      <c r="C67" s="36" t="s">
        <v>30</v>
      </c>
      <c r="D67" s="36" t="s">
        <v>30</v>
      </c>
      <c r="E67" s="44">
        <f t="shared" si="31" ref="E67:G67">(E66/E271)*(E63/(E63))-1</f>
        <v>0</v>
      </c>
      <c r="F67" s="44">
        <f t="shared" si="31"/>
        <v>0</v>
      </c>
      <c r="G67" s="44">
        <f t="shared" si="31"/>
        <v>0</v>
      </c>
      <c r="H67" s="36" t="s">
        <v>30</v>
      </c>
      <c r="I67" s="36" t="s">
        <v>30</v>
      </c>
      <c r="J67" s="55" t="s">
        <v>30</v>
      </c>
      <c r="K67" s="11" t="s">
        <v>210</v>
      </c>
    </row>
    <row r="68" ht="15" customHeight="1">
      <c r="A68" s="1"/>
      <c r="B68" s="4" t="s">
        <v>151</v>
      </c>
      <c r="C68" s="36" t="s">
        <v>30</v>
      </c>
      <c r="D68" s="47" t="str">
        <f t="shared" si="5"/>
        <v>n/a</v>
      </c>
      <c r="E68" s="47" t="str">
        <f t="shared" si="5"/>
        <v>n/a</v>
      </c>
      <c r="F68" s="47">
        <f t="shared" si="5"/>
        <v>0</v>
      </c>
      <c r="G68" s="36" t="s">
        <v>30</v>
      </c>
      <c r="H68" s="36" t="s">
        <v>30</v>
      </c>
      <c r="I68" s="36" t="s">
        <v>30</v>
      </c>
      <c r="J68" s="55" t="s">
        <v>30</v>
      </c>
      <c r="K68" s="11"/>
    </row>
    <row r="69" ht="15" customHeight="1">
      <c r="A69" s="1"/>
      <c r="B69" s="4" t="s">
        <v>153</v>
      </c>
      <c r="C69" s="36" t="s">
        <v>30</v>
      </c>
      <c r="D69" s="36" t="s">
        <v>30</v>
      </c>
      <c r="E69" s="44">
        <f t="shared" si="21"/>
        <v>0.01908251456665666</v>
      </c>
      <c r="F69" s="44">
        <f t="shared" si="21"/>
        <v>0.018815572704413253</v>
      </c>
      <c r="G69" s="44">
        <f t="shared" si="21"/>
        <v>0.005206854849685527</v>
      </c>
      <c r="H69" s="36" t="s">
        <v>30</v>
      </c>
      <c r="I69" s="36" t="s">
        <v>30</v>
      </c>
      <c r="J69" s="55" t="s">
        <v>30</v>
      </c>
      <c r="K69" s="11"/>
    </row>
    <row r="70" ht="15" customHeight="1">
      <c r="A70" s="1"/>
      <c r="B70" s="4" t="s">
        <v>151</v>
      </c>
      <c r="C70" s="36" t="s">
        <v>30</v>
      </c>
      <c r="D70" s="47" t="str">
        <f t="shared" si="5"/>
        <v>n/a</v>
      </c>
      <c r="E70" s="47" t="str">
        <f t="shared" si="5"/>
        <v>n/a</v>
      </c>
      <c r="F70" s="47">
        <f t="shared" si="5"/>
        <v>-2.6694186224340832</v>
      </c>
      <c r="G70" s="36" t="s">
        <v>30</v>
      </c>
      <c r="H70" s="36" t="s">
        <v>30</v>
      </c>
      <c r="I70" s="36" t="s">
        <v>30</v>
      </c>
      <c r="J70" s="55" t="s">
        <v>30</v>
      </c>
      <c r="K70" s="11"/>
    </row>
    <row r="71" ht="15" customHeight="1">
      <c r="A71" s="1"/>
      <c r="B71" s="4" t="s">
        <v>211</v>
      </c>
      <c r="C71" s="36" t="s">
        <v>30</v>
      </c>
      <c r="D71" s="36" t="s">
        <v>30</v>
      </c>
      <c r="E71" s="44">
        <f t="shared" si="22"/>
        <v>0.004273437499999977</v>
      </c>
      <c r="F71" s="44">
        <f t="shared" si="22"/>
        <v>0.010189781021898048</v>
      </c>
      <c r="G71" s="44">
        <f t="shared" si="22"/>
        <v>-0.012817658349328132</v>
      </c>
      <c r="H71" s="36" t="s">
        <v>30</v>
      </c>
      <c r="I71" s="36" t="s">
        <v>30</v>
      </c>
      <c r="J71" s="55" t="s">
        <v>30</v>
      </c>
      <c r="K71" s="11" t="s">
        <v>212</v>
      </c>
    </row>
    <row r="72" ht="15" customHeight="1">
      <c r="A72" s="1"/>
      <c r="B72" s="4" t="s">
        <v>151</v>
      </c>
      <c r="C72" s="36" t="s">
        <v>30</v>
      </c>
      <c r="D72" s="47" t="str">
        <f t="shared" si="5"/>
        <v>n/a</v>
      </c>
      <c r="E72" s="47" t="str">
        <f t="shared" si="5"/>
        <v>n/a</v>
      </c>
      <c r="F72" s="47">
        <f t="shared" si="5"/>
        <v>59.16343521898071</v>
      </c>
      <c r="G72" s="36" t="s">
        <v>30</v>
      </c>
      <c r="H72" s="36" t="s">
        <v>30</v>
      </c>
      <c r="I72" s="36" t="s">
        <v>30</v>
      </c>
      <c r="J72" s="55" t="s">
        <v>30</v>
      </c>
      <c r="K72" s="11"/>
    </row>
    <row r="73" ht="15" customHeight="1">
      <c r="A73" s="1"/>
      <c r="B73" s="4" t="s">
        <v>213</v>
      </c>
      <c r="C73" s="44">
        <f t="shared" si="23"/>
        <v>0.32786885245901637</v>
      </c>
      <c r="D73" s="44">
        <f t="shared" si="23"/>
        <v>0.2845528455284553</v>
      </c>
      <c r="E73" s="44">
        <f t="shared" si="23"/>
        <v>0.2748091603053435</v>
      </c>
      <c r="F73" s="44">
        <f t="shared" si="23"/>
        <v>0.2765957446808511</v>
      </c>
      <c r="G73" s="44">
        <f t="shared" si="23"/>
        <v>0.2901353965183752</v>
      </c>
      <c r="H73" s="36" t="s">
        <v>30</v>
      </c>
      <c r="I73" s="36" t="s">
        <v>30</v>
      </c>
      <c r="J73" s="55" t="s">
        <v>30</v>
      </c>
      <c r="K73" s="11"/>
    </row>
    <row r="74" ht="15" customHeight="1">
      <c r="A74" s="1"/>
      <c r="B74" s="4" t="s">
        <v>214</v>
      </c>
      <c r="C74" s="47">
        <f t="shared" si="32" ref="C74:G74">(C73-C269/C271)*10000</f>
        <v>22.874571101791364</v>
      </c>
      <c r="D74" s="47">
        <f t="shared" si="32"/>
        <v>247.10325843415924</v>
      </c>
      <c r="E74" s="47">
        <f t="shared" si="32"/>
        <v>-142.53339694656475</v>
      </c>
      <c r="F74" s="47">
        <f t="shared" si="32"/>
        <v>-7.765180928715476</v>
      </c>
      <c r="G74" s="47">
        <f t="shared" si="32"/>
        <v>22.275270366093892</v>
      </c>
      <c r="H74" s="36" t="s">
        <v>30</v>
      </c>
      <c r="I74" s="36" t="s">
        <v>30</v>
      </c>
      <c r="J74" s="55" t="s">
        <v>30</v>
      </c>
      <c r="K74" s="11"/>
    </row>
    <row r="75" ht="15" customHeight="1">
      <c r="A75" s="1"/>
      <c r="B75" s="1"/>
      <c r="C75" s="1"/>
      <c r="D75" s="1"/>
      <c r="E75" s="1"/>
      <c r="F75" s="1"/>
      <c r="G75" s="1"/>
      <c r="H75" s="1"/>
      <c r="I75" s="1"/>
      <c r="J75" s="35"/>
      <c r="K75" s="11"/>
    </row>
    <row r="76" ht="15" customHeight="1">
      <c r="A76" s="1"/>
      <c r="B76" s="3" t="s">
        <v>268</v>
      </c>
      <c r="C76" s="1"/>
      <c r="D76" s="1"/>
      <c r="E76" s="1"/>
      <c r="F76" s="1"/>
      <c r="G76" s="1"/>
      <c r="H76" s="1"/>
      <c r="I76" s="1"/>
      <c r="J76" s="35"/>
      <c r="K76" s="11"/>
    </row>
    <row r="77" ht="15" customHeight="1">
      <c r="A77" s="1"/>
      <c r="B77" s="1" t="s">
        <v>193</v>
      </c>
      <c r="C77" s="29">
        <v>100</v>
      </c>
      <c r="D77" s="29">
        <v>104</v>
      </c>
      <c r="E77" s="29">
        <v>111</v>
      </c>
      <c r="F77" s="29">
        <v>107</v>
      </c>
      <c r="G77" s="33">
        <f t="shared" si="6"/>
        <v>422</v>
      </c>
      <c r="H77" s="13" t="s">
        <v>30</v>
      </c>
      <c r="I77" s="13" t="s">
        <v>30</v>
      </c>
      <c r="J77" s="52" t="s">
        <v>30</v>
      </c>
      <c r="K77" s="11" t="s">
        <v>266</v>
      </c>
    </row>
    <row r="78" ht="15" customHeight="1">
      <c r="A78" s="1"/>
      <c r="B78" s="4" t="s">
        <v>195</v>
      </c>
      <c r="C78" s="44">
        <f t="shared" si="33" ref="C78:G78">C77/C272-1</f>
        <v>0.020408163265306145</v>
      </c>
      <c r="D78" s="44">
        <f t="shared" si="33"/>
        <v>-0.028037383177570097</v>
      </c>
      <c r="E78" s="44">
        <f t="shared" si="33"/>
        <v>0.07766990291262132</v>
      </c>
      <c r="F78" s="44">
        <f t="shared" si="33"/>
        <v>0.07000000000000006</v>
      </c>
      <c r="G78" s="44">
        <f t="shared" si="33"/>
        <v>0.03431372549019618</v>
      </c>
      <c r="H78" s="36" t="s">
        <v>30</v>
      </c>
      <c r="I78" s="36" t="s">
        <v>30</v>
      </c>
      <c r="J78" s="55" t="s">
        <v>30</v>
      </c>
      <c r="K78" s="11"/>
    </row>
    <row r="79" ht="15" customHeight="1">
      <c r="A79" s="1"/>
      <c r="B79" s="1" t="s">
        <v>196</v>
      </c>
      <c r="C79" s="33">
        <f>C77-F272</f>
        <v>0</v>
      </c>
      <c r="D79" s="33">
        <f t="shared" si="4"/>
        <v>4</v>
      </c>
      <c r="E79" s="33">
        <f t="shared" si="4"/>
        <v>7</v>
      </c>
      <c r="F79" s="33">
        <f t="shared" si="4"/>
        <v>-4</v>
      </c>
      <c r="G79" s="13" t="s">
        <v>30</v>
      </c>
      <c r="H79" s="13" t="s">
        <v>30</v>
      </c>
      <c r="I79" s="13" t="s">
        <v>30</v>
      </c>
      <c r="J79" s="52" t="s">
        <v>30</v>
      </c>
      <c r="K79" s="11"/>
    </row>
    <row r="80" ht="15" customHeight="1">
      <c r="A80" s="1"/>
      <c r="B80" s="4" t="s">
        <v>197</v>
      </c>
      <c r="C80" s="36" t="s">
        <v>30</v>
      </c>
      <c r="D80" s="36" t="s">
        <v>30</v>
      </c>
      <c r="E80" s="54">
        <v>0.079</v>
      </c>
      <c r="F80" s="54">
        <v>0.065</v>
      </c>
      <c r="G80" s="54">
        <v>0.034</v>
      </c>
      <c r="H80" s="36" t="s">
        <v>30</v>
      </c>
      <c r="I80" s="36" t="s">
        <v>30</v>
      </c>
      <c r="J80" s="55" t="s">
        <v>30</v>
      </c>
      <c r="K80" s="11" t="s">
        <v>201</v>
      </c>
    </row>
    <row r="81" ht="15" customHeight="1">
      <c r="A81" s="1"/>
      <c r="B81" s="4" t="s">
        <v>199</v>
      </c>
      <c r="C81" s="36" t="s">
        <v>30</v>
      </c>
      <c r="D81" s="47" t="str">
        <f t="shared" si="5"/>
        <v>n/a</v>
      </c>
      <c r="E81" s="47" t="str">
        <f t="shared" si="5"/>
        <v>n/a</v>
      </c>
      <c r="F81" s="47">
        <f t="shared" si="5"/>
        <v>-139.99999999999997</v>
      </c>
      <c r="G81" s="36" t="s">
        <v>30</v>
      </c>
      <c r="H81" s="36" t="s">
        <v>30</v>
      </c>
      <c r="I81" s="36" t="s">
        <v>30</v>
      </c>
      <c r="J81" s="55" t="s">
        <v>30</v>
      </c>
      <c r="K81" s="11"/>
    </row>
    <row r="82" ht="15" customHeight="1">
      <c r="A82" s="1"/>
      <c r="B82" s="1" t="s">
        <v>200</v>
      </c>
      <c r="C82" s="29">
        <v>42</v>
      </c>
      <c r="D82" s="29">
        <v>44</v>
      </c>
      <c r="E82" s="29">
        <v>47</v>
      </c>
      <c r="F82" s="29">
        <v>51</v>
      </c>
      <c r="G82" s="33">
        <f t="shared" si="6"/>
        <v>184</v>
      </c>
      <c r="H82" s="13" t="s">
        <v>30</v>
      </c>
      <c r="I82" s="13" t="s">
        <v>30</v>
      </c>
      <c r="J82" s="52" t="s">
        <v>30</v>
      </c>
      <c r="K82" s="11" t="s">
        <v>266</v>
      </c>
    </row>
    <row r="83" ht="15" customHeight="1">
      <c r="A83" s="1"/>
      <c r="B83" s="4" t="s">
        <v>195</v>
      </c>
      <c r="C83" s="44">
        <f t="shared" si="34" ref="C83:G83">C82/C273-1</f>
        <v>0.024390243902439046</v>
      </c>
      <c r="D83" s="44">
        <f t="shared" si="34"/>
        <v>-0.10204081632653061</v>
      </c>
      <c r="E83" s="44">
        <f t="shared" si="34"/>
        <v>0.09302325581395343</v>
      </c>
      <c r="F83" s="44">
        <f t="shared" si="34"/>
        <v>0.0851063829787233</v>
      </c>
      <c r="G83" s="44">
        <f t="shared" si="34"/>
        <v>0.022222222222222143</v>
      </c>
      <c r="H83" s="36" t="s">
        <v>30</v>
      </c>
      <c r="I83" s="36" t="s">
        <v>30</v>
      </c>
      <c r="J83" s="55" t="s">
        <v>30</v>
      </c>
      <c r="K83" s="11"/>
    </row>
    <row r="84" ht="15" customHeight="1">
      <c r="A84" s="1"/>
      <c r="B84" s="1" t="s">
        <v>196</v>
      </c>
      <c r="C84" s="33">
        <f>C82-F273</f>
        <v>-5</v>
      </c>
      <c r="D84" s="33">
        <f t="shared" si="4"/>
        <v>2</v>
      </c>
      <c r="E84" s="33">
        <f t="shared" si="4"/>
        <v>3</v>
      </c>
      <c r="F84" s="33">
        <f t="shared" si="4"/>
        <v>4</v>
      </c>
      <c r="G84" s="13" t="s">
        <v>30</v>
      </c>
      <c r="H84" s="13" t="s">
        <v>30</v>
      </c>
      <c r="I84" s="13" t="s">
        <v>30</v>
      </c>
      <c r="J84" s="52" t="s">
        <v>30</v>
      </c>
      <c r="K84" s="11"/>
    </row>
    <row r="85" ht="15" customHeight="1">
      <c r="A85" s="1"/>
      <c r="B85" s="4" t="s">
        <v>197</v>
      </c>
      <c r="C85" s="36" t="s">
        <v>30</v>
      </c>
      <c r="D85" s="36" t="s">
        <v>30</v>
      </c>
      <c r="E85" s="54">
        <v>0.077</v>
      </c>
      <c r="F85" s="54">
        <v>0.083</v>
      </c>
      <c r="G85" s="54">
        <v>0.024</v>
      </c>
      <c r="H85" s="36" t="s">
        <v>30</v>
      </c>
      <c r="I85" s="36" t="s">
        <v>30</v>
      </c>
      <c r="J85" s="55" t="s">
        <v>30</v>
      </c>
      <c r="K85" s="11" t="s">
        <v>201</v>
      </c>
    </row>
    <row r="86" ht="15" customHeight="1">
      <c r="A86" s="1"/>
      <c r="B86" s="4" t="s">
        <v>199</v>
      </c>
      <c r="C86" s="36" t="s">
        <v>30</v>
      </c>
      <c r="D86" s="47" t="str">
        <f t="shared" si="5"/>
        <v>n/a</v>
      </c>
      <c r="E86" s="47" t="str">
        <f t="shared" si="5"/>
        <v>n/a</v>
      </c>
      <c r="F86" s="47">
        <f t="shared" si="5"/>
        <v>60.00000000000006</v>
      </c>
      <c r="G86" s="36" t="s">
        <v>30</v>
      </c>
      <c r="H86" s="36" t="s">
        <v>30</v>
      </c>
      <c r="I86" s="36" t="s">
        <v>30</v>
      </c>
      <c r="J86" s="55" t="s">
        <v>30</v>
      </c>
      <c r="K86" s="11"/>
    </row>
    <row r="87" ht="15" customHeight="1">
      <c r="A87" s="1"/>
      <c r="B87" s="4" t="s">
        <v>202</v>
      </c>
      <c r="C87" s="36" t="s">
        <v>30</v>
      </c>
      <c r="D87" s="36" t="s">
        <v>30</v>
      </c>
      <c r="E87" s="44">
        <f t="shared" si="10"/>
        <v>0.014877674850467537</v>
      </c>
      <c r="F87" s="44">
        <f t="shared" si="10"/>
        <v>0.0019449519655800884</v>
      </c>
      <c r="G87" s="44">
        <f t="shared" si="10"/>
        <v>-0.0017361111111111605</v>
      </c>
      <c r="H87" s="36" t="s">
        <v>30</v>
      </c>
      <c r="I87" s="36" t="s">
        <v>30</v>
      </c>
      <c r="J87" s="55" t="s">
        <v>30</v>
      </c>
      <c r="K87" s="11" t="s">
        <v>203</v>
      </c>
    </row>
    <row r="88" ht="15" customHeight="1">
      <c r="A88" s="1"/>
      <c r="B88" s="4" t="s">
        <v>199</v>
      </c>
      <c r="C88" s="36" t="s">
        <v>30</v>
      </c>
      <c r="D88" s="47" t="str">
        <f t="shared" si="5"/>
        <v>n/a</v>
      </c>
      <c r="E88" s="47" t="str">
        <f t="shared" si="5"/>
        <v>n/a</v>
      </c>
      <c r="F88" s="47">
        <f t="shared" si="5"/>
        <v>-129.32722884887448</v>
      </c>
      <c r="G88" s="36" t="s">
        <v>30</v>
      </c>
      <c r="H88" s="36" t="s">
        <v>30</v>
      </c>
      <c r="I88" s="36" t="s">
        <v>30</v>
      </c>
      <c r="J88" s="55" t="s">
        <v>30</v>
      </c>
      <c r="K88" s="11"/>
    </row>
    <row r="89" ht="15" customHeight="1">
      <c r="A89" s="1"/>
      <c r="B89" s="1" t="s">
        <v>204</v>
      </c>
      <c r="C89" s="13" t="s">
        <v>30</v>
      </c>
      <c r="D89" s="13" t="s">
        <v>30</v>
      </c>
      <c r="E89" s="33">
        <f t="shared" si="11"/>
        <v>46.311</v>
      </c>
      <c r="F89" s="33">
        <f t="shared" si="11"/>
        <v>50.90100000000001</v>
      </c>
      <c r="G89" s="33">
        <f t="shared" si="11"/>
        <v>184.32000000000002</v>
      </c>
      <c r="H89" s="13" t="s">
        <v>30</v>
      </c>
      <c r="I89" s="13" t="s">
        <v>30</v>
      </c>
      <c r="J89" s="52" t="s">
        <v>30</v>
      </c>
      <c r="K89" s="11"/>
    </row>
    <row r="90" ht="15" customHeight="1">
      <c r="A90" s="1"/>
      <c r="B90" s="3" t="s">
        <v>269</v>
      </c>
      <c r="C90" s="50">
        <f t="shared" si="12"/>
        <v>142</v>
      </c>
      <c r="D90" s="50">
        <f t="shared" si="12"/>
        <v>148</v>
      </c>
      <c r="E90" s="50">
        <f t="shared" si="12"/>
        <v>158</v>
      </c>
      <c r="F90" s="50">
        <f t="shared" si="12"/>
        <v>158</v>
      </c>
      <c r="G90" s="50">
        <f t="shared" si="12"/>
        <v>606</v>
      </c>
      <c r="H90" s="56" t="s">
        <v>30</v>
      </c>
      <c r="I90" s="56" t="s">
        <v>30</v>
      </c>
      <c r="J90" s="57" t="s">
        <v>30</v>
      </c>
      <c r="K90" s="11"/>
    </row>
    <row r="91" ht="15" customHeight="1">
      <c r="A91" s="1"/>
      <c r="B91" s="4" t="s">
        <v>166</v>
      </c>
      <c r="C91" s="44">
        <f t="shared" si="35" ref="C91:G91">C90/C274-1</f>
        <v>0.021582733812949728</v>
      </c>
      <c r="D91" s="44">
        <f t="shared" si="35"/>
        <v>-0.05128205128205132</v>
      </c>
      <c r="E91" s="44">
        <f t="shared" si="35"/>
        <v>0.08219178082191791</v>
      </c>
      <c r="F91" s="44">
        <f t="shared" si="35"/>
        <v>0.0748299319727892</v>
      </c>
      <c r="G91" s="44">
        <f t="shared" si="35"/>
        <v>0.030612244897959107</v>
      </c>
      <c r="H91" s="36" t="s">
        <v>30</v>
      </c>
      <c r="I91" s="36" t="s">
        <v>30</v>
      </c>
      <c r="J91" s="55" t="s">
        <v>30</v>
      </c>
      <c r="K91" s="11"/>
    </row>
    <row r="92" ht="15" customHeight="1">
      <c r="A92" s="1"/>
      <c r="B92" s="1" t="s">
        <v>146</v>
      </c>
      <c r="C92" s="33">
        <f>C90-F274</f>
        <v>-5</v>
      </c>
      <c r="D92" s="33">
        <f t="shared" si="4"/>
        <v>6</v>
      </c>
      <c r="E92" s="33">
        <f t="shared" si="4"/>
        <v>10</v>
      </c>
      <c r="F92" s="33">
        <f t="shared" si="4"/>
        <v>0</v>
      </c>
      <c r="G92" s="13" t="s">
        <v>30</v>
      </c>
      <c r="H92" s="13" t="s">
        <v>30</v>
      </c>
      <c r="I92" s="13" t="s">
        <v>30</v>
      </c>
      <c r="J92" s="52" t="s">
        <v>30</v>
      </c>
      <c r="K92" s="11"/>
    </row>
    <row r="93" ht="15" customHeight="1">
      <c r="A93" s="1"/>
      <c r="B93" s="4" t="s">
        <v>147</v>
      </c>
      <c r="C93" s="44">
        <f>C90/F274-1</f>
        <v>-0.03401360544217691</v>
      </c>
      <c r="D93" s="44">
        <f t="shared" si="14"/>
        <v>0.04225352112676051</v>
      </c>
      <c r="E93" s="44">
        <f t="shared" si="14"/>
        <v>0.06756756756756754</v>
      </c>
      <c r="F93" s="44">
        <f t="shared" si="14"/>
        <v>0</v>
      </c>
      <c r="G93" s="36" t="s">
        <v>30</v>
      </c>
      <c r="H93" s="36" t="s">
        <v>30</v>
      </c>
      <c r="I93" s="36" t="s">
        <v>30</v>
      </c>
      <c r="J93" s="55" t="s">
        <v>30</v>
      </c>
      <c r="K93" s="11"/>
    </row>
    <row r="94" ht="15" customHeight="1">
      <c r="A94" s="1"/>
      <c r="B94" s="4" t="s">
        <v>206</v>
      </c>
      <c r="C94" s="44">
        <f t="shared" si="36" ref="C94:G94">C90/C220</f>
        <v>0.0691333982473223</v>
      </c>
      <c r="D94" s="44">
        <f t="shared" si="36"/>
        <v>0.06810860561435803</v>
      </c>
      <c r="E94" s="44">
        <f t="shared" si="36"/>
        <v>0.07012871726586774</v>
      </c>
      <c r="F94" s="44">
        <f t="shared" si="36"/>
        <v>0.06430606430606431</v>
      </c>
      <c r="G94" s="44">
        <f t="shared" si="36"/>
        <v>0.06780798925814031</v>
      </c>
      <c r="H94" s="36" t="s">
        <v>30</v>
      </c>
      <c r="I94" s="36" t="s">
        <v>30</v>
      </c>
      <c r="J94" s="55" t="s">
        <v>30</v>
      </c>
      <c r="K94" s="11"/>
    </row>
    <row r="95" ht="15" customHeight="1">
      <c r="A95" s="1"/>
      <c r="B95" s="4" t="s">
        <v>149</v>
      </c>
      <c r="C95" s="47">
        <f t="shared" si="37" ref="C95:G95">(C94-C274/C242)*10000</f>
        <v>63.51103757710738</v>
      </c>
      <c r="D95" s="47">
        <f t="shared" si="37"/>
        <v>-29.620094198105352</v>
      </c>
      <c r="E95" s="47">
        <f t="shared" si="37"/>
        <v>95.98037332202728</v>
      </c>
      <c r="F95" s="47">
        <f t="shared" si="37"/>
        <v>59.727309727309745</v>
      </c>
      <c r="G95" s="47">
        <f t="shared" si="37"/>
        <v>48.59696784101128</v>
      </c>
      <c r="H95" s="36" t="s">
        <v>30</v>
      </c>
      <c r="I95" s="36" t="s">
        <v>30</v>
      </c>
      <c r="J95" s="55" t="s">
        <v>30</v>
      </c>
      <c r="K95" s="11"/>
    </row>
    <row r="96" ht="15" customHeight="1">
      <c r="A96" s="1"/>
      <c r="B96" s="1" t="s">
        <v>167</v>
      </c>
      <c r="C96" s="13" t="s">
        <v>30</v>
      </c>
      <c r="D96" s="13" t="s">
        <v>30</v>
      </c>
      <c r="E96" s="33">
        <f t="shared" si="17"/>
        <v>157.311</v>
      </c>
      <c r="F96" s="33">
        <f t="shared" si="17"/>
        <v>157.901</v>
      </c>
      <c r="G96" s="33">
        <f t="shared" si="17"/>
        <v>606.32</v>
      </c>
      <c r="H96" s="13" t="s">
        <v>30</v>
      </c>
      <c r="I96" s="13" t="s">
        <v>30</v>
      </c>
      <c r="J96" s="52" t="s">
        <v>30</v>
      </c>
      <c r="K96" s="11" t="s">
        <v>207</v>
      </c>
    </row>
    <row r="97" ht="15" customHeight="1">
      <c r="A97" s="1"/>
      <c r="B97" s="1" t="s">
        <v>208</v>
      </c>
      <c r="C97" s="33">
        <f t="shared" si="38" ref="C97:G98">C272</f>
        <v>98</v>
      </c>
      <c r="D97" s="33">
        <f t="shared" si="38"/>
        <v>107</v>
      </c>
      <c r="E97" s="33">
        <f t="shared" si="38"/>
        <v>103</v>
      </c>
      <c r="F97" s="33">
        <f t="shared" si="38"/>
        <v>100</v>
      </c>
      <c r="G97" s="33">
        <f t="shared" si="38"/>
        <v>408</v>
      </c>
      <c r="H97" s="13" t="s">
        <v>30</v>
      </c>
      <c r="I97" s="13" t="s">
        <v>30</v>
      </c>
      <c r="J97" s="52" t="s">
        <v>30</v>
      </c>
      <c r="K97" s="11"/>
    </row>
    <row r="98" ht="15" customHeight="1">
      <c r="A98" s="1"/>
      <c r="B98" s="1" t="s">
        <v>168</v>
      </c>
      <c r="C98" s="33">
        <f t="shared" si="38"/>
        <v>41</v>
      </c>
      <c r="D98" s="33">
        <f t="shared" si="38"/>
        <v>49</v>
      </c>
      <c r="E98" s="33">
        <f t="shared" si="38"/>
        <v>43</v>
      </c>
      <c r="F98" s="33">
        <f t="shared" si="38"/>
        <v>47</v>
      </c>
      <c r="G98" s="33">
        <f t="shared" si="38"/>
        <v>180</v>
      </c>
      <c r="H98" s="13" t="s">
        <v>30</v>
      </c>
      <c r="I98" s="13" t="s">
        <v>30</v>
      </c>
      <c r="J98" s="52" t="s">
        <v>30</v>
      </c>
      <c r="K98" s="11"/>
    </row>
    <row r="99" ht="15" customHeight="1">
      <c r="A99" s="1"/>
      <c r="B99" s="1" t="s">
        <v>169</v>
      </c>
      <c r="C99" s="33">
        <f t="shared" si="19"/>
        <v>139</v>
      </c>
      <c r="D99" s="33">
        <f t="shared" si="19"/>
        <v>156</v>
      </c>
      <c r="E99" s="33">
        <f t="shared" si="19"/>
        <v>146</v>
      </c>
      <c r="F99" s="33">
        <f t="shared" si="19"/>
        <v>147</v>
      </c>
      <c r="G99" s="33">
        <f t="shared" si="19"/>
        <v>588</v>
      </c>
      <c r="H99" s="13" t="s">
        <v>30</v>
      </c>
      <c r="I99" s="13" t="s">
        <v>30</v>
      </c>
      <c r="J99" s="52" t="s">
        <v>30</v>
      </c>
      <c r="K99" s="11" t="s">
        <v>209</v>
      </c>
    </row>
    <row r="100" ht="15" customHeight="1">
      <c r="A100" s="1"/>
      <c r="B100" s="4" t="s">
        <v>152</v>
      </c>
      <c r="C100" s="36" t="s">
        <v>30</v>
      </c>
      <c r="D100" s="36" t="s">
        <v>30</v>
      </c>
      <c r="E100" s="44">
        <f t="shared" si="39" ref="E100:G100">(E99/E274)*(E96/(E96))-1</f>
        <v>0</v>
      </c>
      <c r="F100" s="44">
        <f t="shared" si="39"/>
        <v>0</v>
      </c>
      <c r="G100" s="44">
        <f t="shared" si="39"/>
        <v>0</v>
      </c>
      <c r="H100" s="36" t="s">
        <v>30</v>
      </c>
      <c r="I100" s="36" t="s">
        <v>30</v>
      </c>
      <c r="J100" s="55" t="s">
        <v>30</v>
      </c>
      <c r="K100" s="11" t="s">
        <v>210</v>
      </c>
    </row>
    <row r="101" ht="15" customHeight="1">
      <c r="A101" s="1"/>
      <c r="B101" s="4" t="s">
        <v>151</v>
      </c>
      <c r="C101" s="36" t="s">
        <v>30</v>
      </c>
      <c r="D101" s="47" t="str">
        <f t="shared" si="5"/>
        <v>n/a</v>
      </c>
      <c r="E101" s="47" t="str">
        <f t="shared" si="5"/>
        <v>n/a</v>
      </c>
      <c r="F101" s="47">
        <f t="shared" si="5"/>
        <v>0</v>
      </c>
      <c r="G101" s="36" t="s">
        <v>30</v>
      </c>
      <c r="H101" s="36" t="s">
        <v>30</v>
      </c>
      <c r="I101" s="36" t="s">
        <v>30</v>
      </c>
      <c r="J101" s="55" t="s">
        <v>30</v>
      </c>
      <c r="K101" s="11"/>
    </row>
    <row r="102" ht="15" customHeight="1">
      <c r="A102" s="1"/>
      <c r="B102" s="4" t="s">
        <v>153</v>
      </c>
      <c r="C102" s="36" t="s">
        <v>30</v>
      </c>
      <c r="D102" s="36" t="s">
        <v>30</v>
      </c>
      <c r="E102" s="44">
        <f t="shared" si="21"/>
        <v>0.004379859005409603</v>
      </c>
      <c r="F102" s="44">
        <f t="shared" si="21"/>
        <v>0.0006269751299865511</v>
      </c>
      <c r="G102" s="44">
        <f t="shared" si="21"/>
        <v>-0.0005277741126799018</v>
      </c>
      <c r="H102" s="36" t="s">
        <v>30</v>
      </c>
      <c r="I102" s="36" t="s">
        <v>30</v>
      </c>
      <c r="J102" s="55" t="s">
        <v>30</v>
      </c>
      <c r="K102" s="11"/>
    </row>
    <row r="103" ht="15" customHeight="1">
      <c r="A103" s="1"/>
      <c r="B103" s="4" t="s">
        <v>151</v>
      </c>
      <c r="C103" s="36" t="s">
        <v>30</v>
      </c>
      <c r="D103" s="47" t="str">
        <f t="shared" si="5"/>
        <v>n/a</v>
      </c>
      <c r="E103" s="47" t="str">
        <f t="shared" si="5"/>
        <v>n/a</v>
      </c>
      <c r="F103" s="47">
        <f t="shared" si="5"/>
        <v>-37.52883875423052</v>
      </c>
      <c r="G103" s="36" t="s">
        <v>30</v>
      </c>
      <c r="H103" s="36" t="s">
        <v>30</v>
      </c>
      <c r="I103" s="36" t="s">
        <v>30</v>
      </c>
      <c r="J103" s="55" t="s">
        <v>30</v>
      </c>
      <c r="K103" s="11"/>
    </row>
    <row r="104" ht="15" customHeight="1">
      <c r="A104" s="1"/>
      <c r="B104" s="4" t="s">
        <v>211</v>
      </c>
      <c r="C104" s="36" t="s">
        <v>30</v>
      </c>
      <c r="D104" s="36" t="s">
        <v>30</v>
      </c>
      <c r="E104" s="44">
        <f t="shared" si="22"/>
        <v>0.07747260273972612</v>
      </c>
      <c r="F104" s="44">
        <f t="shared" si="22"/>
        <v>0.07415646258503394</v>
      </c>
      <c r="G104" s="44">
        <f t="shared" si="22"/>
        <v>0.031156462585034017</v>
      </c>
      <c r="H104" s="36" t="s">
        <v>30</v>
      </c>
      <c r="I104" s="36" t="s">
        <v>30</v>
      </c>
      <c r="J104" s="55" t="s">
        <v>30</v>
      </c>
      <c r="K104" s="11" t="s">
        <v>212</v>
      </c>
    </row>
    <row r="105" ht="15" customHeight="1">
      <c r="A105" s="1"/>
      <c r="B105" s="4" t="s">
        <v>151</v>
      </c>
      <c r="C105" s="36" t="s">
        <v>30</v>
      </c>
      <c r="D105" s="47" t="str">
        <f t="shared" si="5"/>
        <v>n/a</v>
      </c>
      <c r="E105" s="47" t="str">
        <f t="shared" si="5"/>
        <v>n/a</v>
      </c>
      <c r="F105" s="47">
        <f t="shared" si="5"/>
        <v>-33.16140154692171</v>
      </c>
      <c r="G105" s="36" t="s">
        <v>30</v>
      </c>
      <c r="H105" s="36" t="s">
        <v>30</v>
      </c>
      <c r="I105" s="36" t="s">
        <v>30</v>
      </c>
      <c r="J105" s="55" t="s">
        <v>30</v>
      </c>
      <c r="K105" s="11"/>
    </row>
    <row r="106" ht="15" customHeight="1">
      <c r="A106" s="1"/>
      <c r="B106" s="4" t="s">
        <v>213</v>
      </c>
      <c r="C106" s="44">
        <f t="shared" si="23"/>
        <v>0.704225352112676</v>
      </c>
      <c r="D106" s="44">
        <f t="shared" si="23"/>
        <v>0.7027027027027027</v>
      </c>
      <c r="E106" s="44">
        <f t="shared" si="23"/>
        <v>0.7025316455696202</v>
      </c>
      <c r="F106" s="44">
        <f t="shared" si="23"/>
        <v>0.6772151898734177</v>
      </c>
      <c r="G106" s="44">
        <f t="shared" si="23"/>
        <v>0.6963696369636964</v>
      </c>
      <c r="H106" s="36" t="s">
        <v>30</v>
      </c>
      <c r="I106" s="36" t="s">
        <v>30</v>
      </c>
      <c r="J106" s="55" t="s">
        <v>30</v>
      </c>
      <c r="K106" s="11"/>
    </row>
    <row r="107" ht="15" customHeight="1">
      <c r="A107" s="1"/>
      <c r="B107" s="4" t="s">
        <v>214</v>
      </c>
      <c r="C107" s="47">
        <f t="shared" si="40" ref="C107:G107">(C106-C272/C274)*10000</f>
        <v>-8.10619110345523</v>
      </c>
      <c r="D107" s="47">
        <f t="shared" si="40"/>
        <v>168.0526680526684</v>
      </c>
      <c r="E107" s="47">
        <f t="shared" si="40"/>
        <v>-29.478064851743426</v>
      </c>
      <c r="F107" s="47">
        <f t="shared" si="40"/>
        <v>-30.569189701197264</v>
      </c>
      <c r="G107" s="47">
        <f t="shared" si="40"/>
        <v>24.920859432882025</v>
      </c>
      <c r="H107" s="36" t="s">
        <v>30</v>
      </c>
      <c r="I107" s="36" t="s">
        <v>30</v>
      </c>
      <c r="J107" s="55" t="s">
        <v>30</v>
      </c>
      <c r="K107" s="11"/>
    </row>
    <row r="108" ht="15" customHeight="1">
      <c r="A108" s="1"/>
      <c r="B108" s="1"/>
      <c r="C108" s="1"/>
      <c r="D108" s="1"/>
      <c r="E108" s="1"/>
      <c r="F108" s="1"/>
      <c r="G108" s="1"/>
      <c r="H108" s="1"/>
      <c r="I108" s="1"/>
      <c r="J108" s="35"/>
      <c r="K108" s="11"/>
    </row>
    <row r="109" ht="15" customHeight="1">
      <c r="A109" s="1"/>
      <c r="B109" s="3" t="s">
        <v>270</v>
      </c>
      <c r="C109" s="1"/>
      <c r="D109" s="1"/>
      <c r="E109" s="1"/>
      <c r="F109" s="1"/>
      <c r="G109" s="1"/>
      <c r="H109" s="1"/>
      <c r="I109" s="1"/>
      <c r="J109" s="35"/>
      <c r="K109" s="11"/>
    </row>
    <row r="110" ht="15" customHeight="1">
      <c r="A110" s="1"/>
      <c r="B110" s="1" t="s">
        <v>193</v>
      </c>
      <c r="C110" s="29">
        <v>399</v>
      </c>
      <c r="D110" s="29">
        <v>321</v>
      </c>
      <c r="E110" s="29">
        <v>373</v>
      </c>
      <c r="F110" s="29">
        <v>445</v>
      </c>
      <c r="G110" s="33">
        <f t="shared" si="6"/>
        <v>1538</v>
      </c>
      <c r="H110" s="13" t="s">
        <v>30</v>
      </c>
      <c r="I110" s="13" t="s">
        <v>30</v>
      </c>
      <c r="J110" s="52" t="s">
        <v>30</v>
      </c>
      <c r="K110" s="11" t="s">
        <v>266</v>
      </c>
    </row>
    <row r="111" ht="15" customHeight="1">
      <c r="A111" s="1"/>
      <c r="B111" s="4" t="s">
        <v>195</v>
      </c>
      <c r="C111" s="44">
        <f t="shared" si="41" ref="C111:G111">C110/C275-1</f>
        <v>-0.1704781704781705</v>
      </c>
      <c r="D111" s="44">
        <f t="shared" si="41"/>
        <v>-0.06956521739130439</v>
      </c>
      <c r="E111" s="44">
        <f t="shared" si="41"/>
        <v>-0.33392857142857146</v>
      </c>
      <c r="F111" s="44">
        <f t="shared" si="41"/>
        <v>-0.19675090252707583</v>
      </c>
      <c r="G111" s="44">
        <f t="shared" si="41"/>
        <v>-0.20721649484536087</v>
      </c>
      <c r="H111" s="36" t="s">
        <v>30</v>
      </c>
      <c r="I111" s="36" t="s">
        <v>30</v>
      </c>
      <c r="J111" s="55" t="s">
        <v>30</v>
      </c>
      <c r="K111" s="11"/>
    </row>
    <row r="112" ht="15" customHeight="1">
      <c r="A112" s="1"/>
      <c r="B112" s="1" t="s">
        <v>196</v>
      </c>
      <c r="C112" s="33">
        <f>C110-F275</f>
        <v>-155</v>
      </c>
      <c r="D112" s="33">
        <f t="shared" si="4"/>
        <v>-78</v>
      </c>
      <c r="E112" s="33">
        <f t="shared" si="4"/>
        <v>52</v>
      </c>
      <c r="F112" s="33">
        <f t="shared" si="4"/>
        <v>72</v>
      </c>
      <c r="G112" s="13" t="s">
        <v>30</v>
      </c>
      <c r="H112" s="13" t="s">
        <v>30</v>
      </c>
      <c r="I112" s="13" t="s">
        <v>30</v>
      </c>
      <c r="J112" s="52" t="s">
        <v>30</v>
      </c>
      <c r="K112" s="11"/>
    </row>
    <row r="113" ht="15" customHeight="1">
      <c r="A113" s="1"/>
      <c r="B113" s="4" t="s">
        <v>197</v>
      </c>
      <c r="C113" s="36" t="s">
        <v>30</v>
      </c>
      <c r="D113" s="36" t="s">
        <v>30</v>
      </c>
      <c r="E113" s="54">
        <v>-0.335</v>
      </c>
      <c r="F113" s="54">
        <v>-0.197</v>
      </c>
      <c r="G113" s="54">
        <v>-0.208</v>
      </c>
      <c r="H113" s="36" t="s">
        <v>30</v>
      </c>
      <c r="I113" s="36" t="s">
        <v>30</v>
      </c>
      <c r="J113" s="55" t="s">
        <v>30</v>
      </c>
      <c r="K113" s="11" t="s">
        <v>201</v>
      </c>
    </row>
    <row r="114" ht="15" customHeight="1">
      <c r="A114" s="1"/>
      <c r="B114" s="4" t="s">
        <v>199</v>
      </c>
      <c r="C114" s="36" t="s">
        <v>30</v>
      </c>
      <c r="D114" s="47" t="str">
        <f t="shared" si="5"/>
        <v>n/a</v>
      </c>
      <c r="E114" s="47" t="str">
        <f t="shared" si="5"/>
        <v>n/a</v>
      </c>
      <c r="F114" s="47">
        <f t="shared" si="5"/>
        <v>1380.0000000000002</v>
      </c>
      <c r="G114" s="36" t="s">
        <v>30</v>
      </c>
      <c r="H114" s="36" t="s">
        <v>30</v>
      </c>
      <c r="I114" s="36" t="s">
        <v>30</v>
      </c>
      <c r="J114" s="55" t="s">
        <v>30</v>
      </c>
      <c r="K114" s="11"/>
    </row>
    <row r="115" ht="15" customHeight="1">
      <c r="A115" s="1"/>
      <c r="B115" s="1" t="s">
        <v>200</v>
      </c>
      <c r="C115" s="29">
        <v>214</v>
      </c>
      <c r="D115" s="29">
        <v>223</v>
      </c>
      <c r="E115" s="29">
        <v>227</v>
      </c>
      <c r="F115" s="29">
        <v>252</v>
      </c>
      <c r="G115" s="33">
        <f t="shared" si="6"/>
        <v>916</v>
      </c>
      <c r="H115" s="13" t="s">
        <v>30</v>
      </c>
      <c r="I115" s="13" t="s">
        <v>30</v>
      </c>
      <c r="J115" s="52" t="s">
        <v>30</v>
      </c>
      <c r="K115" s="11" t="s">
        <v>266</v>
      </c>
    </row>
    <row r="116" ht="15" customHeight="1">
      <c r="A116" s="1"/>
      <c r="B116" s="4" t="s">
        <v>195</v>
      </c>
      <c r="C116" s="44">
        <f t="shared" si="42" ref="C116:G116">C115/C276-1</f>
        <v>-0.17692307692307696</v>
      </c>
      <c r="D116" s="44">
        <f t="shared" si="42"/>
        <v>-0.06302521008403361</v>
      </c>
      <c r="E116" s="44">
        <f t="shared" si="42"/>
        <v>-0.14015151515151514</v>
      </c>
      <c r="F116" s="44">
        <f t="shared" si="42"/>
        <v>-0.1457627118644068</v>
      </c>
      <c r="G116" s="44">
        <f t="shared" si="42"/>
        <v>-0.1333964049195837</v>
      </c>
      <c r="H116" s="36" t="s">
        <v>30</v>
      </c>
      <c r="I116" s="36" t="s">
        <v>30</v>
      </c>
      <c r="J116" s="55" t="s">
        <v>30</v>
      </c>
      <c r="K116" s="11"/>
    </row>
    <row r="117" ht="15" customHeight="1">
      <c r="A117" s="1"/>
      <c r="B117" s="1" t="s">
        <v>196</v>
      </c>
      <c r="C117" s="33">
        <f>C115-F276</f>
        <v>-81</v>
      </c>
      <c r="D117" s="33">
        <f t="shared" si="4"/>
        <v>9</v>
      </c>
      <c r="E117" s="33">
        <f t="shared" si="4"/>
        <v>4</v>
      </c>
      <c r="F117" s="33">
        <f t="shared" si="4"/>
        <v>25</v>
      </c>
      <c r="G117" s="13" t="s">
        <v>30</v>
      </c>
      <c r="H117" s="13" t="s">
        <v>30</v>
      </c>
      <c r="I117" s="13" t="s">
        <v>30</v>
      </c>
      <c r="J117" s="52" t="s">
        <v>30</v>
      </c>
      <c r="K117" s="11"/>
    </row>
    <row r="118" ht="15" customHeight="1">
      <c r="A118" s="1"/>
      <c r="B118" s="4" t="s">
        <v>197</v>
      </c>
      <c r="C118" s="36" t="s">
        <v>30</v>
      </c>
      <c r="D118" s="36" t="s">
        <v>30</v>
      </c>
      <c r="E118" s="54">
        <v>-0.156</v>
      </c>
      <c r="F118" s="54">
        <v>-0.149</v>
      </c>
      <c r="G118" s="54">
        <v>-0.131</v>
      </c>
      <c r="H118" s="36" t="s">
        <v>30</v>
      </c>
      <c r="I118" s="36" t="s">
        <v>30</v>
      </c>
      <c r="J118" s="55" t="s">
        <v>30</v>
      </c>
      <c r="K118" s="11" t="s">
        <v>201</v>
      </c>
    </row>
    <row r="119" ht="15" customHeight="1">
      <c r="A119" s="1"/>
      <c r="B119" s="4" t="s">
        <v>199</v>
      </c>
      <c r="C119" s="36" t="s">
        <v>30</v>
      </c>
      <c r="D119" s="47" t="str">
        <f t="shared" si="5"/>
        <v>n/a</v>
      </c>
      <c r="E119" s="47" t="str">
        <f t="shared" si="5"/>
        <v>n/a</v>
      </c>
      <c r="F119" s="47">
        <f t="shared" si="5"/>
        <v>70.00000000000006</v>
      </c>
      <c r="G119" s="36" t="s">
        <v>30</v>
      </c>
      <c r="H119" s="36" t="s">
        <v>30</v>
      </c>
      <c r="I119" s="36" t="s">
        <v>30</v>
      </c>
      <c r="J119" s="55" t="s">
        <v>30</v>
      </c>
      <c r="K119" s="11"/>
    </row>
    <row r="120" ht="15" customHeight="1">
      <c r="A120" s="1"/>
      <c r="B120" s="4" t="s">
        <v>202</v>
      </c>
      <c r="C120" s="36" t="s">
        <v>30</v>
      </c>
      <c r="D120" s="36" t="s">
        <v>30</v>
      </c>
      <c r="E120" s="44">
        <f t="shared" si="10"/>
        <v>0.018777825649863633</v>
      </c>
      <c r="F120" s="44">
        <f t="shared" si="10"/>
        <v>0.003804098866736938</v>
      </c>
      <c r="G120" s="44">
        <f t="shared" si="10"/>
        <v>-0.00275765813530926</v>
      </c>
      <c r="H120" s="36" t="s">
        <v>30</v>
      </c>
      <c r="I120" s="36" t="s">
        <v>30</v>
      </c>
      <c r="J120" s="55" t="s">
        <v>30</v>
      </c>
      <c r="K120" s="11" t="s">
        <v>203</v>
      </c>
    </row>
    <row r="121" ht="15" customHeight="1">
      <c r="A121" s="1"/>
      <c r="B121" s="4" t="s">
        <v>199</v>
      </c>
      <c r="C121" s="36" t="s">
        <v>30</v>
      </c>
      <c r="D121" s="47" t="str">
        <f t="shared" si="5"/>
        <v>n/a</v>
      </c>
      <c r="E121" s="47" t="str">
        <f t="shared" si="5"/>
        <v>n/a</v>
      </c>
      <c r="F121" s="47">
        <f t="shared" si="5"/>
        <v>-149.73726783126696</v>
      </c>
      <c r="G121" s="36" t="s">
        <v>30</v>
      </c>
      <c r="H121" s="36" t="s">
        <v>30</v>
      </c>
      <c r="I121" s="36" t="s">
        <v>30</v>
      </c>
      <c r="J121" s="55" t="s">
        <v>30</v>
      </c>
      <c r="K121" s="11"/>
    </row>
    <row r="122" ht="15" customHeight="1">
      <c r="A122" s="1"/>
      <c r="B122" s="1" t="s">
        <v>204</v>
      </c>
      <c r="C122" s="13" t="s">
        <v>30</v>
      </c>
      <c r="D122" s="13" t="s">
        <v>30</v>
      </c>
      <c r="E122" s="33">
        <f t="shared" si="11"/>
        <v>222.81599999999997</v>
      </c>
      <c r="F122" s="33">
        <f t="shared" si="11"/>
        <v>251.04500000000002</v>
      </c>
      <c r="G122" s="33">
        <f t="shared" si="11"/>
        <v>918.533</v>
      </c>
      <c r="H122" s="13" t="s">
        <v>30</v>
      </c>
      <c r="I122" s="13" t="s">
        <v>30</v>
      </c>
      <c r="J122" s="52" t="s">
        <v>30</v>
      </c>
      <c r="K122" s="11"/>
    </row>
    <row r="123" ht="15" customHeight="1">
      <c r="A123" s="1"/>
      <c r="B123" s="3" t="s">
        <v>271</v>
      </c>
      <c r="C123" s="50">
        <f t="shared" si="12"/>
        <v>613</v>
      </c>
      <c r="D123" s="50">
        <f t="shared" si="12"/>
        <v>544</v>
      </c>
      <c r="E123" s="50">
        <f t="shared" si="12"/>
        <v>600</v>
      </c>
      <c r="F123" s="50">
        <f t="shared" si="12"/>
        <v>697</v>
      </c>
      <c r="G123" s="50">
        <f t="shared" si="12"/>
        <v>2454</v>
      </c>
      <c r="H123" s="56" t="s">
        <v>30</v>
      </c>
      <c r="I123" s="56" t="s">
        <v>30</v>
      </c>
      <c r="J123" s="57" t="s">
        <v>30</v>
      </c>
      <c r="K123" s="11"/>
    </row>
    <row r="124" ht="15" customHeight="1">
      <c r="A124" s="1"/>
      <c r="B124" s="4" t="s">
        <v>166</v>
      </c>
      <c r="C124" s="44">
        <f t="shared" si="43" ref="C124:G124">C123/C277-1</f>
        <v>-0.17273954116059376</v>
      </c>
      <c r="D124" s="44">
        <f t="shared" si="43"/>
        <v>-0.06689536878216118</v>
      </c>
      <c r="E124" s="44">
        <f t="shared" si="43"/>
        <v>-0.27184466019417475</v>
      </c>
      <c r="F124" s="44">
        <f t="shared" si="43"/>
        <v>-0.17903415783274446</v>
      </c>
      <c r="G124" s="44">
        <f t="shared" si="43"/>
        <v>-0.1811811811811812</v>
      </c>
      <c r="H124" s="36" t="s">
        <v>30</v>
      </c>
      <c r="I124" s="36" t="s">
        <v>30</v>
      </c>
      <c r="J124" s="55" t="s">
        <v>30</v>
      </c>
      <c r="K124" s="11"/>
    </row>
    <row r="125" ht="15" customHeight="1">
      <c r="A125" s="1"/>
      <c r="B125" s="1" t="s">
        <v>146</v>
      </c>
      <c r="C125" s="33">
        <f>C123-F277</f>
        <v>-236</v>
      </c>
      <c r="D125" s="33">
        <f t="shared" si="4"/>
        <v>-69</v>
      </c>
      <c r="E125" s="33">
        <f t="shared" si="4"/>
        <v>56</v>
      </c>
      <c r="F125" s="33">
        <f t="shared" si="4"/>
        <v>97</v>
      </c>
      <c r="G125" s="13" t="s">
        <v>30</v>
      </c>
      <c r="H125" s="13" t="s">
        <v>30</v>
      </c>
      <c r="I125" s="13" t="s">
        <v>30</v>
      </c>
      <c r="J125" s="52" t="s">
        <v>30</v>
      </c>
      <c r="K125" s="11"/>
    </row>
    <row r="126" ht="15" customHeight="1">
      <c r="A126" s="1"/>
      <c r="B126" s="4" t="s">
        <v>147</v>
      </c>
      <c r="C126" s="44">
        <f>C123/F277-1</f>
        <v>-0.2779740871613663</v>
      </c>
      <c r="D126" s="44">
        <f t="shared" si="14"/>
        <v>-0.11256117455138659</v>
      </c>
      <c r="E126" s="44">
        <f t="shared" si="14"/>
        <v>0.10294117647058831</v>
      </c>
      <c r="F126" s="44">
        <f t="shared" si="14"/>
        <v>0.16166666666666663</v>
      </c>
      <c r="G126" s="36" t="s">
        <v>30</v>
      </c>
      <c r="H126" s="36" t="s">
        <v>30</v>
      </c>
      <c r="I126" s="36" t="s">
        <v>30</v>
      </c>
      <c r="J126" s="55" t="s">
        <v>30</v>
      </c>
      <c r="K126" s="11"/>
    </row>
    <row r="127" ht="15" customHeight="1">
      <c r="A127" s="1"/>
      <c r="B127" s="4" t="s">
        <v>206</v>
      </c>
      <c r="C127" s="44">
        <f t="shared" si="44" ref="C127:G127">C123/C220</f>
        <v>0.2984420642648491</v>
      </c>
      <c r="D127" s="44">
        <f t="shared" si="44"/>
        <v>0.25034514496088356</v>
      </c>
      <c r="E127" s="44">
        <f t="shared" si="44"/>
        <v>0.2663115845539281</v>
      </c>
      <c r="F127" s="44">
        <f t="shared" si="44"/>
        <v>0.2836792836792837</v>
      </c>
      <c r="G127" s="44">
        <f t="shared" si="44"/>
        <v>0.2745887881839543</v>
      </c>
      <c r="H127" s="36" t="s">
        <v>30</v>
      </c>
      <c r="I127" s="36" t="s">
        <v>30</v>
      </c>
      <c r="J127" s="55" t="s">
        <v>30</v>
      </c>
      <c r="K127" s="11"/>
    </row>
    <row r="128" ht="15" customHeight="1">
      <c r="A128" s="1"/>
      <c r="B128" s="4" t="s">
        <v>149</v>
      </c>
      <c r="C128" s="47">
        <f t="shared" si="45" ref="C128:G128">(C127-C277/C242)*10000</f>
        <v>-362.4628261861973</v>
      </c>
      <c r="D128" s="47">
        <f t="shared" si="45"/>
        <v>-152.58499686041262</v>
      </c>
      <c r="E128" s="47">
        <f t="shared" si="45"/>
        <v>-753.1362274292097</v>
      </c>
      <c r="F128" s="47">
        <f t="shared" si="45"/>
        <v>-532.2547822547824</v>
      </c>
      <c r="G128" s="47">
        <f t="shared" si="45"/>
        <v>-462.5480457913311</v>
      </c>
      <c r="H128" s="36" t="s">
        <v>30</v>
      </c>
      <c r="I128" s="36" t="s">
        <v>30</v>
      </c>
      <c r="J128" s="55" t="s">
        <v>30</v>
      </c>
      <c r="K128" s="11"/>
    </row>
    <row r="129" ht="15" customHeight="1">
      <c r="A129" s="1"/>
      <c r="B129" s="1" t="s">
        <v>167</v>
      </c>
      <c r="C129" s="13" t="s">
        <v>30</v>
      </c>
      <c r="D129" s="13" t="s">
        <v>30</v>
      </c>
      <c r="E129" s="33">
        <f t="shared" si="17"/>
        <v>595.816</v>
      </c>
      <c r="F129" s="33">
        <f t="shared" si="17"/>
        <v>696.0450000000001</v>
      </c>
      <c r="G129" s="33">
        <f t="shared" si="17"/>
        <v>2456.533</v>
      </c>
      <c r="H129" s="13" t="s">
        <v>30</v>
      </c>
      <c r="I129" s="13" t="s">
        <v>30</v>
      </c>
      <c r="J129" s="52" t="s">
        <v>30</v>
      </c>
      <c r="K129" s="11" t="s">
        <v>207</v>
      </c>
    </row>
    <row r="130" ht="15" customHeight="1">
      <c r="A130" s="1"/>
      <c r="B130" s="1" t="s">
        <v>208</v>
      </c>
      <c r="C130" s="33">
        <f t="shared" si="46" ref="C130:G131">C275</f>
        <v>481</v>
      </c>
      <c r="D130" s="33">
        <f t="shared" si="46"/>
        <v>345</v>
      </c>
      <c r="E130" s="33">
        <f t="shared" si="46"/>
        <v>560</v>
      </c>
      <c r="F130" s="33">
        <f t="shared" si="46"/>
        <v>554</v>
      </c>
      <c r="G130" s="33">
        <f t="shared" si="46"/>
        <v>1940</v>
      </c>
      <c r="H130" s="13" t="s">
        <v>30</v>
      </c>
      <c r="I130" s="13" t="s">
        <v>30</v>
      </c>
      <c r="J130" s="52" t="s">
        <v>30</v>
      </c>
      <c r="K130" s="11"/>
    </row>
    <row r="131" ht="15" customHeight="1">
      <c r="A131" s="1"/>
      <c r="B131" s="1" t="s">
        <v>168</v>
      </c>
      <c r="C131" s="33">
        <f t="shared" si="46"/>
        <v>260</v>
      </c>
      <c r="D131" s="33">
        <f t="shared" si="46"/>
        <v>238</v>
      </c>
      <c r="E131" s="33">
        <f t="shared" si="46"/>
        <v>264</v>
      </c>
      <c r="F131" s="33">
        <f t="shared" si="46"/>
        <v>295</v>
      </c>
      <c r="G131" s="33">
        <f t="shared" si="46"/>
        <v>1057</v>
      </c>
      <c r="H131" s="13" t="s">
        <v>30</v>
      </c>
      <c r="I131" s="13" t="s">
        <v>30</v>
      </c>
      <c r="J131" s="52" t="s">
        <v>30</v>
      </c>
      <c r="K131" s="11"/>
    </row>
    <row r="132" ht="15" customHeight="1">
      <c r="A132" s="1"/>
      <c r="B132" s="1" t="s">
        <v>169</v>
      </c>
      <c r="C132" s="33">
        <f t="shared" si="19"/>
        <v>741</v>
      </c>
      <c r="D132" s="33">
        <f t="shared" si="19"/>
        <v>583</v>
      </c>
      <c r="E132" s="33">
        <f t="shared" si="19"/>
        <v>824</v>
      </c>
      <c r="F132" s="33">
        <f t="shared" si="19"/>
        <v>849</v>
      </c>
      <c r="G132" s="33">
        <f t="shared" si="19"/>
        <v>2997</v>
      </c>
      <c r="H132" s="13" t="s">
        <v>30</v>
      </c>
      <c r="I132" s="13" t="s">
        <v>30</v>
      </c>
      <c r="J132" s="52" t="s">
        <v>30</v>
      </c>
      <c r="K132" s="11" t="s">
        <v>209</v>
      </c>
    </row>
    <row r="133" ht="15" customHeight="1">
      <c r="A133" s="1"/>
      <c r="B133" s="4" t="s">
        <v>152</v>
      </c>
      <c r="C133" s="36" t="s">
        <v>30</v>
      </c>
      <c r="D133" s="36" t="s">
        <v>30</v>
      </c>
      <c r="E133" s="44">
        <f t="shared" si="47" ref="E133:G133">(E132/E277)*(E129/(E129))-1</f>
        <v>0</v>
      </c>
      <c r="F133" s="44">
        <f t="shared" si="47"/>
        <v>0</v>
      </c>
      <c r="G133" s="44">
        <f t="shared" si="47"/>
        <v>0</v>
      </c>
      <c r="H133" s="36" t="s">
        <v>30</v>
      </c>
      <c r="I133" s="36" t="s">
        <v>30</v>
      </c>
      <c r="J133" s="55" t="s">
        <v>30</v>
      </c>
      <c r="K133" s="11" t="s">
        <v>210</v>
      </c>
    </row>
    <row r="134" ht="15" customHeight="1">
      <c r="A134" s="1"/>
      <c r="B134" s="4" t="s">
        <v>151</v>
      </c>
      <c r="C134" s="36" t="s">
        <v>30</v>
      </c>
      <c r="D134" s="47" t="str">
        <f t="shared" si="5"/>
        <v>n/a</v>
      </c>
      <c r="E134" s="47" t="str">
        <f t="shared" si="5"/>
        <v>n/a</v>
      </c>
      <c r="F134" s="47">
        <f t="shared" si="5"/>
        <v>0</v>
      </c>
      <c r="G134" s="36" t="s">
        <v>30</v>
      </c>
      <c r="H134" s="36" t="s">
        <v>30</v>
      </c>
      <c r="I134" s="36" t="s">
        <v>30</v>
      </c>
      <c r="J134" s="55" t="s">
        <v>30</v>
      </c>
      <c r="K134" s="11"/>
    </row>
    <row r="135" ht="15" customHeight="1">
      <c r="A135" s="1"/>
      <c r="B135" s="4" t="s">
        <v>153</v>
      </c>
      <c r="C135" s="36" t="s">
        <v>30</v>
      </c>
      <c r="D135" s="36" t="s">
        <v>30</v>
      </c>
      <c r="E135" s="44">
        <f t="shared" si="21"/>
        <v>0.007022302187252416</v>
      </c>
      <c r="F135" s="44">
        <f t="shared" si="21"/>
        <v>0.001372037727445763</v>
      </c>
      <c r="G135" s="44">
        <f t="shared" si="21"/>
        <v>-0.0010311280165989922</v>
      </c>
      <c r="H135" s="36" t="s">
        <v>30</v>
      </c>
      <c r="I135" s="36" t="s">
        <v>30</v>
      </c>
      <c r="J135" s="55" t="s">
        <v>30</v>
      </c>
      <c r="K135" s="11"/>
    </row>
    <row r="136" ht="15" customHeight="1">
      <c r="A136" s="1"/>
      <c r="B136" s="4" t="s">
        <v>151</v>
      </c>
      <c r="C136" s="36" t="s">
        <v>30</v>
      </c>
      <c r="D136" s="47" t="str">
        <f t="shared" si="5"/>
        <v>n/a</v>
      </c>
      <c r="E136" s="47" t="str">
        <f t="shared" si="5"/>
        <v>n/a</v>
      </c>
      <c r="F136" s="47">
        <f t="shared" si="5"/>
        <v>-56.50264459806653</v>
      </c>
      <c r="G136" s="36" t="s">
        <v>30</v>
      </c>
      <c r="H136" s="36" t="s">
        <v>30</v>
      </c>
      <c r="I136" s="36" t="s">
        <v>30</v>
      </c>
      <c r="J136" s="55" t="s">
        <v>30</v>
      </c>
      <c r="K136" s="11"/>
    </row>
    <row r="137" ht="15" customHeight="1">
      <c r="A137" s="1"/>
      <c r="B137" s="4" t="s">
        <v>211</v>
      </c>
      <c r="C137" s="36" t="s">
        <v>30</v>
      </c>
      <c r="D137" s="36" t="s">
        <v>30</v>
      </c>
      <c r="E137" s="44">
        <f t="shared" si="22"/>
        <v>-0.27692233009708733</v>
      </c>
      <c r="F137" s="44">
        <f t="shared" si="22"/>
        <v>-0.18015901060070671</v>
      </c>
      <c r="G137" s="44">
        <f t="shared" si="22"/>
        <v>-0.18033600266933603</v>
      </c>
      <c r="H137" s="36" t="s">
        <v>30</v>
      </c>
      <c r="I137" s="36" t="s">
        <v>30</v>
      </c>
      <c r="J137" s="55" t="s">
        <v>30</v>
      </c>
      <c r="K137" s="11" t="s">
        <v>212</v>
      </c>
    </row>
    <row r="138" ht="15" customHeight="1">
      <c r="A138" s="1"/>
      <c r="B138" s="4" t="s">
        <v>151</v>
      </c>
      <c r="C138" s="36" t="s">
        <v>30</v>
      </c>
      <c r="D138" s="47" t="str">
        <f t="shared" si="5"/>
        <v>n/a</v>
      </c>
      <c r="E138" s="47" t="str">
        <f t="shared" si="5"/>
        <v>n/a</v>
      </c>
      <c r="F138" s="47">
        <f t="shared" si="5"/>
        <v>967.6331949638062</v>
      </c>
      <c r="G138" s="36" t="s">
        <v>30</v>
      </c>
      <c r="H138" s="36" t="s">
        <v>30</v>
      </c>
      <c r="I138" s="36" t="s">
        <v>30</v>
      </c>
      <c r="J138" s="55" t="s">
        <v>30</v>
      </c>
      <c r="K138" s="11"/>
    </row>
    <row r="139" ht="15" customHeight="1">
      <c r="A139" s="1"/>
      <c r="B139" s="4" t="s">
        <v>213</v>
      </c>
      <c r="C139" s="44">
        <f t="shared" si="23"/>
        <v>0.6508972267536705</v>
      </c>
      <c r="D139" s="44">
        <f t="shared" si="23"/>
        <v>0.5900735294117647</v>
      </c>
      <c r="E139" s="44">
        <f t="shared" si="23"/>
        <v>0.6216666666666667</v>
      </c>
      <c r="F139" s="44">
        <f t="shared" si="23"/>
        <v>0.6384505021520803</v>
      </c>
      <c r="G139" s="44">
        <f t="shared" si="23"/>
        <v>0.6267318663406682</v>
      </c>
      <c r="H139" s="36" t="s">
        <v>30</v>
      </c>
      <c r="I139" s="36" t="s">
        <v>30</v>
      </c>
      <c r="J139" s="55" t="s">
        <v>30</v>
      </c>
      <c r="K139" s="11"/>
    </row>
    <row r="140" ht="15" customHeight="1">
      <c r="A140" s="1"/>
      <c r="B140" s="4" t="s">
        <v>214</v>
      </c>
      <c r="C140" s="47">
        <f t="shared" si="48" ref="C140:G140">(C139-C275/C277)*10000</f>
        <v>17.744197361265755</v>
      </c>
      <c r="D140" s="47">
        <f t="shared" si="48"/>
        <v>-16.93194430430811</v>
      </c>
      <c r="E140" s="47">
        <f t="shared" si="48"/>
        <v>-579.4498381877022</v>
      </c>
      <c r="F140" s="47">
        <f t="shared" si="48"/>
        <v>-140.81888896211757</v>
      </c>
      <c r="G140" s="47">
        <f t="shared" si="48"/>
        <v>-205.82114306645693</v>
      </c>
      <c r="H140" s="36" t="s">
        <v>30</v>
      </c>
      <c r="I140" s="36" t="s">
        <v>30</v>
      </c>
      <c r="J140" s="55" t="s">
        <v>30</v>
      </c>
      <c r="K140" s="11"/>
    </row>
    <row r="141" ht="15" customHeight="1">
      <c r="A141" s="1"/>
      <c r="B141" s="1"/>
      <c r="C141" s="1"/>
      <c r="D141" s="1"/>
      <c r="E141" s="1"/>
      <c r="F141" s="1"/>
      <c r="G141" s="1"/>
      <c r="H141" s="1"/>
      <c r="I141" s="1"/>
      <c r="J141" s="35"/>
      <c r="K141" s="11"/>
    </row>
    <row r="142" ht="15" customHeight="1">
      <c r="A142" s="1"/>
      <c r="B142" s="3" t="s">
        <v>272</v>
      </c>
      <c r="C142" s="1"/>
      <c r="D142" s="1"/>
      <c r="E142" s="1"/>
      <c r="F142" s="1"/>
      <c r="G142" s="1"/>
      <c r="H142" s="1"/>
      <c r="I142" s="1"/>
      <c r="J142" s="35"/>
      <c r="K142" s="11"/>
    </row>
    <row r="143" ht="15" customHeight="1">
      <c r="A143" s="1"/>
      <c r="B143" s="1" t="s">
        <v>193</v>
      </c>
      <c r="C143" s="33">
        <f t="shared" si="49" ref="C143:F148">C44+C77+C110</f>
        <v>539</v>
      </c>
      <c r="D143" s="33">
        <f t="shared" si="49"/>
        <v>460</v>
      </c>
      <c r="E143" s="33">
        <f t="shared" si="49"/>
        <v>520</v>
      </c>
      <c r="F143" s="33">
        <f t="shared" si="49"/>
        <v>591</v>
      </c>
      <c r="G143" s="33">
        <f t="shared" si="6"/>
        <v>2110</v>
      </c>
      <c r="H143" s="29">
        <v>465</v>
      </c>
      <c r="I143" s="29">
        <v>393</v>
      </c>
      <c r="J143" s="43">
        <f>(J278)*(1+J146)</f>
        <v>468</v>
      </c>
      <c r="K143" s="11" t="s">
        <v>194</v>
      </c>
    </row>
    <row r="144" ht="15" customHeight="1">
      <c r="A144" s="1"/>
      <c r="B144" s="4" t="s">
        <v>195</v>
      </c>
      <c r="C144" s="44">
        <f t="shared" si="50" ref="C144:J144">C143/C278-1</f>
        <v>-0.13204508856682773</v>
      </c>
      <c r="D144" s="44">
        <f t="shared" si="50"/>
        <v>-0.05154639175257736</v>
      </c>
      <c r="E144" s="44">
        <f t="shared" si="50"/>
        <v>-0.2571428571428571</v>
      </c>
      <c r="F144" s="44">
        <f t="shared" si="50"/>
        <v>-0.14595375722543358</v>
      </c>
      <c r="G144" s="44">
        <f t="shared" si="50"/>
        <v>-0.15532425940752603</v>
      </c>
      <c r="H144" s="44">
        <f t="shared" si="50"/>
        <v>-0.13729128014842296</v>
      </c>
      <c r="I144" s="44">
        <f t="shared" si="50"/>
        <v>-0.14565217391304353</v>
      </c>
      <c r="J144" s="38">
        <f t="shared" si="50"/>
        <v>-0.09999999999999998</v>
      </c>
      <c r="K144" s="11"/>
    </row>
    <row r="145" ht="15" customHeight="1">
      <c r="A145" s="1"/>
      <c r="B145" s="1" t="s">
        <v>196</v>
      </c>
      <c r="C145" s="33">
        <f>C143-F278</f>
        <v>-153</v>
      </c>
      <c r="D145" s="33">
        <f t="shared" si="4"/>
        <v>-79</v>
      </c>
      <c r="E145" s="33">
        <f t="shared" si="4"/>
        <v>60</v>
      </c>
      <c r="F145" s="33">
        <f t="shared" si="4"/>
        <v>71</v>
      </c>
      <c r="G145" s="13" t="s">
        <v>30</v>
      </c>
      <c r="H145" s="33">
        <f t="shared" si="8"/>
        <v>-126</v>
      </c>
      <c r="I145" s="33">
        <f t="shared" si="4"/>
        <v>-72</v>
      </c>
      <c r="J145" s="43">
        <f t="shared" si="4"/>
        <v>75</v>
      </c>
      <c r="K145" s="11" t="s">
        <v>273</v>
      </c>
    </row>
    <row r="146" ht="15" customHeight="1">
      <c r="A146" s="1"/>
      <c r="B146" s="4" t="s">
        <v>197</v>
      </c>
      <c r="C146" s="36" t="s">
        <v>30</v>
      </c>
      <c r="D146" s="36" t="s">
        <v>30</v>
      </c>
      <c r="E146" s="44">
        <f t="shared" si="51" ref="E146:G146">E143/E278-1</f>
        <v>-0.2571428571428571</v>
      </c>
      <c r="F146" s="44">
        <f t="shared" si="51"/>
        <v>-0.14595375722543358</v>
      </c>
      <c r="G146" s="44">
        <f t="shared" si="51"/>
        <v>-0.15532425940752603</v>
      </c>
      <c r="H146" s="54">
        <v>-0.138</v>
      </c>
      <c r="I146" s="54">
        <v>-0.145</v>
      </c>
      <c r="J146" s="37">
        <v>-0.1</v>
      </c>
      <c r="K146" s="11" t="s">
        <v>274</v>
      </c>
    </row>
    <row r="147" ht="15" customHeight="1">
      <c r="A147" s="1"/>
      <c r="B147" s="4" t="s">
        <v>199</v>
      </c>
      <c r="C147" s="36" t="s">
        <v>30</v>
      </c>
      <c r="D147" s="47" t="str">
        <f t="shared" si="5"/>
        <v>n/a</v>
      </c>
      <c r="E147" s="47" t="str">
        <f t="shared" si="5"/>
        <v>n/a</v>
      </c>
      <c r="F147" s="47">
        <f t="shared" si="5"/>
        <v>1111.8909991742355</v>
      </c>
      <c r="G147" s="36" t="s">
        <v>30</v>
      </c>
      <c r="H147" s="47">
        <f t="shared" si="9"/>
        <v>79.53757225433566</v>
      </c>
      <c r="I147" s="47">
        <f t="shared" si="5"/>
        <v>-69.99999999999979</v>
      </c>
      <c r="J147" s="48">
        <f t="shared" si="5"/>
        <v>449.99999999999983</v>
      </c>
      <c r="K147" s="11"/>
    </row>
    <row r="148" ht="15" customHeight="1">
      <c r="A148" s="1"/>
      <c r="B148" s="1" t="s">
        <v>200</v>
      </c>
      <c r="C148" s="33">
        <f t="shared" si="49"/>
        <v>338</v>
      </c>
      <c r="D148" s="33">
        <f t="shared" si="49"/>
        <v>355</v>
      </c>
      <c r="E148" s="33">
        <f t="shared" si="49"/>
        <v>369</v>
      </c>
      <c r="F148" s="33">
        <f t="shared" si="49"/>
        <v>405</v>
      </c>
      <c r="G148" s="33">
        <f t="shared" si="6"/>
        <v>1467</v>
      </c>
      <c r="H148" s="29">
        <v>347</v>
      </c>
      <c r="I148" s="29">
        <v>362</v>
      </c>
      <c r="J148" s="43">
        <f>(J279)*(1+J151)*(1+J153)</f>
        <v>366.2834715050733</v>
      </c>
      <c r="K148" s="11" t="s">
        <v>194</v>
      </c>
    </row>
    <row r="149" ht="15" customHeight="1">
      <c r="A149" s="1"/>
      <c r="B149" s="4" t="s">
        <v>195</v>
      </c>
      <c r="C149" s="44">
        <f t="shared" si="52" ref="C149:J149">C148/C279-1</f>
        <v>-0.12886597938144329</v>
      </c>
      <c r="D149" s="44">
        <f t="shared" si="52"/>
        <v>-0.06824146981627299</v>
      </c>
      <c r="E149" s="44">
        <f t="shared" si="52"/>
        <v>-0.07286432160804024</v>
      </c>
      <c r="F149" s="44">
        <f t="shared" si="52"/>
        <v>-0.08163265306122447</v>
      </c>
      <c r="G149" s="44">
        <f t="shared" si="52"/>
        <v>-0.08768656716417911</v>
      </c>
      <c r="H149" s="44">
        <f t="shared" si="52"/>
        <v>0.026627218934911268</v>
      </c>
      <c r="I149" s="44">
        <f t="shared" si="52"/>
        <v>0.019718309859154903</v>
      </c>
      <c r="J149" s="38">
        <f t="shared" si="52"/>
        <v>-0.00736186583990972</v>
      </c>
      <c r="K149" s="11"/>
    </row>
    <row r="150" ht="15" customHeight="1">
      <c r="A150" s="1"/>
      <c r="B150" s="1" t="s">
        <v>196</v>
      </c>
      <c r="C150" s="33">
        <f>C148-F279</f>
        <v>-103</v>
      </c>
      <c r="D150" s="33">
        <f t="shared" si="4"/>
        <v>17</v>
      </c>
      <c r="E150" s="33">
        <f t="shared" si="4"/>
        <v>14</v>
      </c>
      <c r="F150" s="33">
        <f t="shared" si="4"/>
        <v>36</v>
      </c>
      <c r="G150" s="13" t="s">
        <v>30</v>
      </c>
      <c r="H150" s="33">
        <f t="shared" si="8"/>
        <v>-58</v>
      </c>
      <c r="I150" s="33">
        <f t="shared" si="4"/>
        <v>15</v>
      </c>
      <c r="J150" s="43">
        <f t="shared" si="4"/>
        <v>4.283471505073294</v>
      </c>
      <c r="K150" s="11" t="s">
        <v>273</v>
      </c>
    </row>
    <row r="151" ht="15" customHeight="1">
      <c r="A151" s="1"/>
      <c r="B151" s="4" t="s">
        <v>197</v>
      </c>
      <c r="C151" s="36" t="s">
        <v>30</v>
      </c>
      <c r="D151" s="36" t="s">
        <v>30</v>
      </c>
      <c r="E151" s="44">
        <f t="shared" si="53" ref="E151:G151">(E56+E89+E122)/E279-1</f>
        <v>-0.09127135678391962</v>
      </c>
      <c r="F151" s="44">
        <f t="shared" si="53"/>
        <v>-0.08992743764172328</v>
      </c>
      <c r="G151" s="44">
        <f t="shared" si="53"/>
        <v>-0.08757773631840782</v>
      </c>
      <c r="H151" s="54">
        <v>-0.027000000000000003</v>
      </c>
      <c r="I151" s="54">
        <v>0.005</v>
      </c>
      <c r="J151" s="37">
        <v>0.01</v>
      </c>
      <c r="K151" s="11" t="s">
        <v>274</v>
      </c>
    </row>
    <row r="152" ht="15" customHeight="1">
      <c r="A152" s="1"/>
      <c r="B152" s="4" t="s">
        <v>199</v>
      </c>
      <c r="C152" s="36" t="s">
        <v>30</v>
      </c>
      <c r="D152" s="47" t="str">
        <f t="shared" si="5"/>
        <v>n/a</v>
      </c>
      <c r="E152" s="47" t="str">
        <f t="shared" si="5"/>
        <v>n/a</v>
      </c>
      <c r="F152" s="47">
        <f t="shared" si="5"/>
        <v>13.43919142196337</v>
      </c>
      <c r="G152" s="36" t="s">
        <v>30</v>
      </c>
      <c r="H152" s="47">
        <f t="shared" si="9"/>
        <v>629.2743764172329</v>
      </c>
      <c r="I152" s="47">
        <f t="shared" si="5"/>
        <v>320</v>
      </c>
      <c r="J152" s="48">
        <f t="shared" si="5"/>
        <v>50</v>
      </c>
      <c r="K152" s="11"/>
    </row>
    <row r="153" ht="15" customHeight="1">
      <c r="A153" s="1"/>
      <c r="B153" s="4" t="s">
        <v>202</v>
      </c>
      <c r="C153" s="36" t="s">
        <v>30</v>
      </c>
      <c r="D153" s="36" t="s">
        <v>30</v>
      </c>
      <c r="E153" s="44">
        <f t="shared" si="10"/>
        <v>0.020255810481262015</v>
      </c>
      <c r="F153" s="44">
        <f t="shared" si="10"/>
        <v>0.009114421117151883</v>
      </c>
      <c r="G153" s="44">
        <f t="shared" si="10"/>
        <v>-0.00011927684154944274</v>
      </c>
      <c r="H153" s="44">
        <f t="shared" si="10"/>
        <v>0.0551153329238554</v>
      </c>
      <c r="I153" s="44">
        <f t="shared" si="10"/>
        <v>0.014645084436970102</v>
      </c>
      <c r="J153" s="42">
        <f>'Revenue summary'!J12</f>
        <v>-0.017189966178128523</v>
      </c>
      <c r="K153" s="11" t="s">
        <v>203</v>
      </c>
    </row>
    <row r="154" ht="15" customHeight="1">
      <c r="A154" s="1"/>
      <c r="B154" s="4" t="s">
        <v>199</v>
      </c>
      <c r="C154" s="36" t="s">
        <v>30</v>
      </c>
      <c r="D154" s="47" t="str">
        <f t="shared" si="5"/>
        <v>n/a</v>
      </c>
      <c r="E154" s="47" t="str">
        <f t="shared" si="5"/>
        <v>n/a</v>
      </c>
      <c r="F154" s="47">
        <f t="shared" si="5"/>
        <v>-111.41389364110132</v>
      </c>
      <c r="G154" s="36" t="s">
        <v>30</v>
      </c>
      <c r="H154" s="47">
        <f t="shared" si="9"/>
        <v>460.00911806703516</v>
      </c>
      <c r="I154" s="47">
        <f t="shared" si="5"/>
        <v>-404.70248486885293</v>
      </c>
      <c r="J154" s="48">
        <f t="shared" si="5"/>
        <v>-318.3505061509863</v>
      </c>
      <c r="K154" s="11"/>
    </row>
    <row r="155" ht="15" customHeight="1">
      <c r="A155" s="1"/>
      <c r="B155" s="1" t="s">
        <v>204</v>
      </c>
      <c r="C155" s="13" t="s">
        <v>30</v>
      </c>
      <c r="D155" s="13" t="s">
        <v>30</v>
      </c>
      <c r="E155" s="33">
        <f t="shared" si="11"/>
        <v>361.67400000000004</v>
      </c>
      <c r="F155" s="33">
        <f t="shared" si="11"/>
        <v>401.34200000000004</v>
      </c>
      <c r="G155" s="33">
        <f t="shared" si="11"/>
        <v>1467.1750000000004</v>
      </c>
      <c r="H155" s="33">
        <f t="shared" si="11"/>
        <v>328.87399999999997</v>
      </c>
      <c r="I155" s="33">
        <f t="shared" si="11"/>
        <v>356.775</v>
      </c>
      <c r="J155" s="43">
        <f t="shared" si="11"/>
        <v>372.69</v>
      </c>
      <c r="K155" s="11"/>
    </row>
    <row r="156" ht="15" customHeight="1">
      <c r="A156" s="1"/>
      <c r="B156" s="3" t="s">
        <v>275</v>
      </c>
      <c r="C156" s="50">
        <f t="shared" si="12"/>
        <v>877</v>
      </c>
      <c r="D156" s="50">
        <f t="shared" si="12"/>
        <v>815</v>
      </c>
      <c r="E156" s="50">
        <f t="shared" si="12"/>
        <v>889</v>
      </c>
      <c r="F156" s="50">
        <f t="shared" si="12"/>
        <v>996</v>
      </c>
      <c r="G156" s="50">
        <f t="shared" si="12"/>
        <v>3577</v>
      </c>
      <c r="H156" s="50">
        <f t="shared" si="12"/>
        <v>812</v>
      </c>
      <c r="I156" s="50">
        <f t="shared" si="12"/>
        <v>755</v>
      </c>
      <c r="J156" s="51">
        <f t="shared" si="12"/>
        <v>834.2834715050733</v>
      </c>
      <c r="K156" s="11"/>
    </row>
    <row r="157" ht="15" customHeight="1">
      <c r="A157" s="1"/>
      <c r="B157" s="4" t="s">
        <v>166</v>
      </c>
      <c r="C157" s="44">
        <f t="shared" si="54" ref="C157:J157">C156/C280-1</f>
        <v>-0.13082259663032703</v>
      </c>
      <c r="D157" s="44">
        <f t="shared" si="54"/>
        <v>-0.05889145496535797</v>
      </c>
      <c r="E157" s="44">
        <f t="shared" si="54"/>
        <v>-0.19034608378870677</v>
      </c>
      <c r="F157" s="44">
        <f t="shared" si="54"/>
        <v>-0.1209179170344219</v>
      </c>
      <c r="G157" s="44">
        <f t="shared" si="54"/>
        <v>-0.12883584997564534</v>
      </c>
      <c r="H157" s="44">
        <f t="shared" si="54"/>
        <v>-0.07411630558722915</v>
      </c>
      <c r="I157" s="44">
        <f t="shared" si="54"/>
        <v>-0.07361963190184051</v>
      </c>
      <c r="J157" s="38">
        <f t="shared" si="54"/>
        <v>-0.0615484010066667</v>
      </c>
      <c r="K157" s="11"/>
    </row>
    <row r="158" ht="15" customHeight="1">
      <c r="A158" s="1"/>
      <c r="B158" s="1" t="s">
        <v>146</v>
      </c>
      <c r="C158" s="33">
        <f>C156-F280</f>
        <v>-256</v>
      </c>
      <c r="D158" s="33">
        <f t="shared" si="4"/>
        <v>-62</v>
      </c>
      <c r="E158" s="33">
        <f t="shared" si="4"/>
        <v>74</v>
      </c>
      <c r="F158" s="33">
        <f t="shared" si="4"/>
        <v>107</v>
      </c>
      <c r="G158" s="13" t="s">
        <v>30</v>
      </c>
      <c r="H158" s="33">
        <f t="shared" si="8"/>
        <v>-184</v>
      </c>
      <c r="I158" s="33">
        <f t="shared" si="4"/>
        <v>-57</v>
      </c>
      <c r="J158" s="43">
        <f t="shared" si="4"/>
        <v>79.2834715050733</v>
      </c>
      <c r="K158" s="11"/>
    </row>
    <row r="159" ht="15" customHeight="1">
      <c r="A159" s="1"/>
      <c r="B159" s="4" t="s">
        <v>147</v>
      </c>
      <c r="C159" s="44">
        <f>C156/F280-1</f>
        <v>-0.2259488084730803</v>
      </c>
      <c r="D159" s="44">
        <f t="shared" si="14"/>
        <v>-0.07069555302166475</v>
      </c>
      <c r="E159" s="44">
        <f t="shared" si="14"/>
        <v>0.09079754601226986</v>
      </c>
      <c r="F159" s="44">
        <f t="shared" si="14"/>
        <v>0.12035995500562424</v>
      </c>
      <c r="G159" s="36" t="s">
        <v>30</v>
      </c>
      <c r="H159" s="44">
        <f t="shared" si="55"/>
        <v>-0.18473895582329314</v>
      </c>
      <c r="I159" s="44">
        <f t="shared" si="14"/>
        <v>-0.07019704433497542</v>
      </c>
      <c r="J159" s="38">
        <f t="shared" si="14"/>
        <v>0.10501122053652101</v>
      </c>
      <c r="K159" s="11"/>
    </row>
    <row r="160" ht="15" customHeight="1">
      <c r="A160" s="1"/>
      <c r="B160" s="4" t="s">
        <v>206</v>
      </c>
      <c r="C160" s="44">
        <f t="shared" si="56" ref="C160:J160">C156/C220</f>
        <v>0.4269717624148004</v>
      </c>
      <c r="D160" s="44">
        <f t="shared" si="56"/>
        <v>0.37505752416014726</v>
      </c>
      <c r="E160" s="44">
        <f t="shared" si="56"/>
        <v>0.3945849977807368</v>
      </c>
      <c r="F160" s="44">
        <f t="shared" si="56"/>
        <v>0.4053724053724054</v>
      </c>
      <c r="G160" s="44">
        <f t="shared" si="56"/>
        <v>0.4002461676177688</v>
      </c>
      <c r="H160" s="44">
        <f t="shared" si="56"/>
        <v>0.3724770642201835</v>
      </c>
      <c r="I160" s="44">
        <f t="shared" si="56"/>
        <v>0.2441785252263907</v>
      </c>
      <c r="J160" s="38">
        <f t="shared" si="56"/>
        <v>0.2567672405494975</v>
      </c>
      <c r="K160" s="11"/>
    </row>
    <row r="161" ht="15" customHeight="1">
      <c r="A161" s="1"/>
      <c r="B161" s="4" t="s">
        <v>149</v>
      </c>
      <c r="C161" s="47">
        <f t="shared" si="57" ref="C161:J161">(C160-C280/C242)*10000</f>
        <v>-287.6446161410656</v>
      </c>
      <c r="D161" s="47">
        <f t="shared" si="57"/>
        <v>-194.7550545260901</v>
      </c>
      <c r="E161" s="47">
        <f t="shared" si="57"/>
        <v>-606.388828162781</v>
      </c>
      <c r="F161" s="47">
        <f t="shared" si="57"/>
        <v>-442.3076923076924</v>
      </c>
      <c r="G161" s="47">
        <f t="shared" si="57"/>
        <v>-393.2133050877007</v>
      </c>
      <c r="H161" s="47">
        <f t="shared" si="57"/>
        <v>-544.9469819461689</v>
      </c>
      <c r="I161" s="47">
        <f t="shared" si="57"/>
        <v>-1308.7899893375657</v>
      </c>
      <c r="J161" s="48">
        <f t="shared" si="57"/>
        <v>-1378.1775723123928</v>
      </c>
      <c r="K161" s="11"/>
    </row>
    <row r="162" ht="15" customHeight="1">
      <c r="A162" s="1"/>
      <c r="B162" s="1" t="s">
        <v>167</v>
      </c>
      <c r="C162" s="13" t="s">
        <v>30</v>
      </c>
      <c r="D162" s="13" t="s">
        <v>30</v>
      </c>
      <c r="E162" s="33">
        <f t="shared" si="17"/>
        <v>881.674</v>
      </c>
      <c r="F162" s="33">
        <f t="shared" si="17"/>
        <v>992.3420000000001</v>
      </c>
      <c r="G162" s="33">
        <f t="shared" si="17"/>
        <v>3577.175</v>
      </c>
      <c r="H162" s="33">
        <f t="shared" si="17"/>
        <v>793.874</v>
      </c>
      <c r="I162" s="33">
        <f t="shared" si="17"/>
        <v>749.775</v>
      </c>
      <c r="J162" s="43">
        <f t="shared" si="17"/>
        <v>840.69</v>
      </c>
      <c r="K162" s="11" t="s">
        <v>207</v>
      </c>
    </row>
    <row r="163" ht="15" customHeight="1">
      <c r="A163" s="1"/>
      <c r="B163" s="1" t="s">
        <v>208</v>
      </c>
      <c r="C163" s="33">
        <f t="shared" si="58" ref="C163:J164">C278</f>
        <v>621</v>
      </c>
      <c r="D163" s="33">
        <f t="shared" si="58"/>
        <v>485</v>
      </c>
      <c r="E163" s="33">
        <f t="shared" si="58"/>
        <v>700</v>
      </c>
      <c r="F163" s="33">
        <f t="shared" si="58"/>
        <v>692</v>
      </c>
      <c r="G163" s="33">
        <f t="shared" si="58"/>
        <v>2498</v>
      </c>
      <c r="H163" s="33">
        <f t="shared" si="58"/>
        <v>539</v>
      </c>
      <c r="I163" s="33">
        <f t="shared" si="58"/>
        <v>460</v>
      </c>
      <c r="J163" s="43">
        <f t="shared" si="58"/>
        <v>520</v>
      </c>
      <c r="K163" s="11"/>
    </row>
    <row r="164" ht="15" customHeight="1">
      <c r="A164" s="1"/>
      <c r="B164" s="1" t="s">
        <v>168</v>
      </c>
      <c r="C164" s="33">
        <f t="shared" si="58"/>
        <v>388</v>
      </c>
      <c r="D164" s="33">
        <f t="shared" si="58"/>
        <v>381</v>
      </c>
      <c r="E164" s="33">
        <f t="shared" si="58"/>
        <v>398</v>
      </c>
      <c r="F164" s="33">
        <f t="shared" si="58"/>
        <v>441</v>
      </c>
      <c r="G164" s="33">
        <f t="shared" si="58"/>
        <v>1608</v>
      </c>
      <c r="H164" s="33">
        <f t="shared" si="58"/>
        <v>338</v>
      </c>
      <c r="I164" s="33">
        <f t="shared" si="58"/>
        <v>355</v>
      </c>
      <c r="J164" s="43">
        <f t="shared" si="58"/>
        <v>369</v>
      </c>
      <c r="K164" s="11"/>
    </row>
    <row r="165" ht="15" customHeight="1">
      <c r="A165" s="1"/>
      <c r="B165" s="1" t="s">
        <v>169</v>
      </c>
      <c r="C165" s="33">
        <f t="shared" si="19"/>
        <v>1009</v>
      </c>
      <c r="D165" s="33">
        <f t="shared" si="19"/>
        <v>866</v>
      </c>
      <c r="E165" s="33">
        <f t="shared" si="19"/>
        <v>1098</v>
      </c>
      <c r="F165" s="33">
        <f t="shared" si="19"/>
        <v>1133</v>
      </c>
      <c r="G165" s="33">
        <f t="shared" si="19"/>
        <v>4106</v>
      </c>
      <c r="H165" s="33">
        <f t="shared" si="19"/>
        <v>877</v>
      </c>
      <c r="I165" s="33">
        <f t="shared" si="19"/>
        <v>815</v>
      </c>
      <c r="J165" s="43">
        <f t="shared" si="19"/>
        <v>889</v>
      </c>
      <c r="K165" s="11" t="s">
        <v>209</v>
      </c>
    </row>
    <row r="166" ht="15" customHeight="1">
      <c r="A166" s="1"/>
      <c r="B166" s="4" t="s">
        <v>152</v>
      </c>
      <c r="C166" s="36" t="s">
        <v>30</v>
      </c>
      <c r="D166" s="36" t="s">
        <v>30</v>
      </c>
      <c r="E166" s="44">
        <f t="shared" si="59" ref="E166:J166">(E165/E280)*(E162/(E162))-1</f>
        <v>0</v>
      </c>
      <c r="F166" s="44">
        <f t="shared" si="59"/>
        <v>0</v>
      </c>
      <c r="G166" s="44">
        <f t="shared" si="59"/>
        <v>0</v>
      </c>
      <c r="H166" s="44">
        <f t="shared" si="59"/>
        <v>0</v>
      </c>
      <c r="I166" s="44">
        <f t="shared" si="59"/>
        <v>0</v>
      </c>
      <c r="J166" s="38">
        <f t="shared" si="59"/>
        <v>0</v>
      </c>
      <c r="K166" s="11" t="s">
        <v>210</v>
      </c>
    </row>
    <row r="167" ht="15" customHeight="1">
      <c r="A167" s="1"/>
      <c r="B167" s="4" t="s">
        <v>151</v>
      </c>
      <c r="C167" s="36" t="s">
        <v>30</v>
      </c>
      <c r="D167" s="47" t="str">
        <f t="shared" si="5"/>
        <v>n/a</v>
      </c>
      <c r="E167" s="47" t="str">
        <f t="shared" si="5"/>
        <v>n/a</v>
      </c>
      <c r="F167" s="47">
        <f t="shared" si="5"/>
        <v>0</v>
      </c>
      <c r="G167" s="36" t="s">
        <v>30</v>
      </c>
      <c r="H167" s="47">
        <f t="shared" si="9"/>
        <v>0</v>
      </c>
      <c r="I167" s="47">
        <f t="shared" si="5"/>
        <v>0</v>
      </c>
      <c r="J167" s="48">
        <f t="shared" si="5"/>
        <v>0</v>
      </c>
      <c r="K167" s="11"/>
    </row>
    <row r="168" ht="15" customHeight="1">
      <c r="A168" s="1"/>
      <c r="B168" s="4" t="s">
        <v>153</v>
      </c>
      <c r="C168" s="36" t="s">
        <v>30</v>
      </c>
      <c r="D168" s="36" t="s">
        <v>30</v>
      </c>
      <c r="E168" s="44">
        <f t="shared" si="21"/>
        <v>0.008309193647538793</v>
      </c>
      <c r="F168" s="44">
        <f t="shared" si="21"/>
        <v>0.003686229142775277</v>
      </c>
      <c r="G168" s="44">
        <f t="shared" si="21"/>
        <v>-0.000048921285651482016</v>
      </c>
      <c r="H168" s="44">
        <f t="shared" si="21"/>
        <v>0.02283233863308287</v>
      </c>
      <c r="I168" s="44">
        <f t="shared" si="21"/>
        <v>0.0069687572938548215</v>
      </c>
      <c r="J168" s="38">
        <f t="shared" si="21"/>
        <v>-0.007620559891192702</v>
      </c>
      <c r="K168" s="11"/>
    </row>
    <row r="169" ht="15" customHeight="1">
      <c r="A169" s="1"/>
      <c r="B169" s="4" t="s">
        <v>151</v>
      </c>
      <c r="C169" s="36" t="s">
        <v>30</v>
      </c>
      <c r="D169" s="47" t="str">
        <f t="shared" si="5"/>
        <v>n/a</v>
      </c>
      <c r="E169" s="47" t="str">
        <f t="shared" si="5"/>
        <v>n/a</v>
      </c>
      <c r="F169" s="47">
        <f t="shared" si="5"/>
        <v>-46.22964504763516</v>
      </c>
      <c r="G169" s="36" t="s">
        <v>30</v>
      </c>
      <c r="H169" s="47">
        <f t="shared" si="9"/>
        <v>191.46109490307595</v>
      </c>
      <c r="I169" s="47">
        <f t="shared" si="5"/>
        <v>-158.6358133922805</v>
      </c>
      <c r="J169" s="48">
        <f t="shared" si="5"/>
        <v>-145.89317185047523</v>
      </c>
      <c r="K169" s="11"/>
    </row>
    <row r="170" ht="15" customHeight="1">
      <c r="A170" s="1"/>
      <c r="B170" s="4" t="s">
        <v>211</v>
      </c>
      <c r="C170" s="36" t="s">
        <v>30</v>
      </c>
      <c r="D170" s="36" t="s">
        <v>30</v>
      </c>
      <c r="E170" s="44">
        <f t="shared" si="22"/>
        <v>-0.19701821493624783</v>
      </c>
      <c r="F170" s="44">
        <f t="shared" si="22"/>
        <v>-0.12414651368049423</v>
      </c>
      <c r="G170" s="44">
        <f t="shared" si="22"/>
        <v>-0.1287932294203603</v>
      </c>
      <c r="H170" s="44">
        <f t="shared" si="22"/>
        <v>-0.0947844925883694</v>
      </c>
      <c r="I170" s="44">
        <f t="shared" si="22"/>
        <v>-0.08003067484662574</v>
      </c>
      <c r="J170" s="38">
        <f t="shared" si="22"/>
        <v>-0.054341957255342965</v>
      </c>
      <c r="K170" s="11" t="s">
        <v>212</v>
      </c>
    </row>
    <row r="171" ht="15" customHeight="1">
      <c r="A171" s="1"/>
      <c r="B171" s="4" t="s">
        <v>151</v>
      </c>
      <c r="C171" s="36" t="s">
        <v>30</v>
      </c>
      <c r="D171" s="47" t="str">
        <f t="shared" si="5"/>
        <v>n/a</v>
      </c>
      <c r="E171" s="47" t="str">
        <f t="shared" si="5"/>
        <v>n/a</v>
      </c>
      <c r="F171" s="47">
        <f t="shared" si="5"/>
        <v>728.717012557536</v>
      </c>
      <c r="G171" s="36" t="s">
        <v>30</v>
      </c>
      <c r="H171" s="47">
        <f t="shared" si="9"/>
        <v>293.62021092124826</v>
      </c>
      <c r="I171" s="47">
        <f t="shared" si="5"/>
        <v>147.53817741743669</v>
      </c>
      <c r="J171" s="48">
        <f t="shared" si="5"/>
        <v>256.88717591282773</v>
      </c>
      <c r="K171" s="11"/>
    </row>
    <row r="172" ht="15" customHeight="1">
      <c r="A172" s="1"/>
      <c r="B172" s="4" t="s">
        <v>213</v>
      </c>
      <c r="C172" s="44">
        <f t="shared" si="23"/>
        <v>0.6145952109464082</v>
      </c>
      <c r="D172" s="44">
        <f t="shared" si="23"/>
        <v>0.5644171779141104</v>
      </c>
      <c r="E172" s="44">
        <f t="shared" si="23"/>
        <v>0.5849268841394826</v>
      </c>
      <c r="F172" s="44">
        <f t="shared" si="23"/>
        <v>0.5933734939759037</v>
      </c>
      <c r="G172" s="44">
        <f t="shared" si="23"/>
        <v>0.589879787531451</v>
      </c>
      <c r="H172" s="44">
        <f t="shared" si="23"/>
        <v>0.5726600985221675</v>
      </c>
      <c r="I172" s="44">
        <f t="shared" si="23"/>
        <v>0.5205298013245033</v>
      </c>
      <c r="J172" s="38">
        <f t="shared" si="23"/>
        <v>0.5609604121195323</v>
      </c>
      <c r="K172" s="11"/>
    </row>
    <row r="173" ht="15" customHeight="1">
      <c r="A173" s="1"/>
      <c r="B173" s="4" t="s">
        <v>214</v>
      </c>
      <c r="C173" s="47">
        <f t="shared" si="60" ref="C173:J173">(C172-C278/C280)*10000</f>
        <v>-8.656413826304554</v>
      </c>
      <c r="D173" s="47">
        <f t="shared" si="60"/>
        <v>43.70988537666931</v>
      </c>
      <c r="E173" s="47">
        <f t="shared" si="60"/>
        <v>-525.9588453082708</v>
      </c>
      <c r="F173" s="47">
        <f t="shared" si="60"/>
        <v>-173.9437892789153</v>
      </c>
      <c r="G173" s="47">
        <f t="shared" si="60"/>
        <v>-184.9819590741897</v>
      </c>
      <c r="H173" s="47">
        <f t="shared" si="60"/>
        <v>-419.3511242424075</v>
      </c>
      <c r="I173" s="47">
        <f t="shared" si="60"/>
        <v>-438.8737658960706</v>
      </c>
      <c r="J173" s="48">
        <f t="shared" si="60"/>
        <v>-239.6647201995028</v>
      </c>
      <c r="K173" s="11"/>
    </row>
    <row r="174" ht="15" customHeight="1">
      <c r="A174" s="1"/>
      <c r="B174" s="1"/>
      <c r="C174" s="1"/>
      <c r="D174" s="1"/>
      <c r="E174" s="1"/>
      <c r="F174" s="1"/>
      <c r="G174" s="1"/>
      <c r="H174" s="1"/>
      <c r="I174" s="1"/>
      <c r="J174" s="35"/>
      <c r="K174" s="11"/>
    </row>
    <row r="175" ht="15" customHeight="1">
      <c r="A175" s="1"/>
      <c r="B175" s="3" t="s">
        <v>276</v>
      </c>
      <c r="C175" s="1"/>
      <c r="D175" s="1"/>
      <c r="E175" s="1"/>
      <c r="F175" s="1"/>
      <c r="G175" s="1"/>
      <c r="H175" s="1"/>
      <c r="I175" s="1"/>
      <c r="J175" s="35"/>
      <c r="K175" s="11"/>
    </row>
    <row r="176" ht="15" customHeight="1">
      <c r="A176" s="1"/>
      <c r="B176" s="1" t="s">
        <v>193</v>
      </c>
      <c r="C176" s="29">
        <v>0</v>
      </c>
      <c r="D176" s="29">
        <v>0</v>
      </c>
      <c r="E176" s="29">
        <v>0</v>
      </c>
      <c r="F176" s="29">
        <v>0</v>
      </c>
      <c r="G176" s="33">
        <f t="shared" si="6"/>
        <v>0</v>
      </c>
      <c r="H176" s="29">
        <v>93</v>
      </c>
      <c r="I176" s="29">
        <v>890</v>
      </c>
      <c r="J176" s="43">
        <f>(J281+J207)*(1+J179)</f>
        <v>965.2499999999999</v>
      </c>
      <c r="K176" s="11" t="s">
        <v>277</v>
      </c>
    </row>
    <row r="177" ht="15" customHeight="1">
      <c r="A177" s="1"/>
      <c r="B177" s="4" t="s">
        <v>195</v>
      </c>
      <c r="C177" s="36" t="s">
        <v>278</v>
      </c>
      <c r="D177" s="36" t="s">
        <v>278</v>
      </c>
      <c r="E177" s="36" t="s">
        <v>278</v>
      </c>
      <c r="F177" s="36" t="s">
        <v>278</v>
      </c>
      <c r="G177" s="36" t="s">
        <v>278</v>
      </c>
      <c r="H177" s="36" t="s">
        <v>278</v>
      </c>
      <c r="I177" s="36" t="s">
        <v>278</v>
      </c>
      <c r="J177" s="55" t="s">
        <v>278</v>
      </c>
      <c r="K177" s="11"/>
    </row>
    <row r="178" ht="15" customHeight="1">
      <c r="A178" s="1"/>
      <c r="B178" s="1" t="s">
        <v>196</v>
      </c>
      <c r="C178" s="33">
        <f>C176-F281</f>
        <v>0</v>
      </c>
      <c r="D178" s="33">
        <f t="shared" si="4"/>
        <v>0</v>
      </c>
      <c r="E178" s="33">
        <f t="shared" si="4"/>
        <v>0</v>
      </c>
      <c r="F178" s="33">
        <f t="shared" si="4"/>
        <v>0</v>
      </c>
      <c r="G178" s="13" t="s">
        <v>30</v>
      </c>
      <c r="H178" s="33">
        <f t="shared" si="8"/>
        <v>93</v>
      </c>
      <c r="I178" s="33">
        <f t="shared" si="4"/>
        <v>797</v>
      </c>
      <c r="J178" s="43">
        <f t="shared" si="4"/>
        <v>75.24999999999989</v>
      </c>
      <c r="K178" s="11"/>
    </row>
    <row r="179" ht="15" customHeight="1">
      <c r="A179" s="1"/>
      <c r="B179" s="4" t="s">
        <v>197</v>
      </c>
      <c r="C179" s="36" t="s">
        <v>30</v>
      </c>
      <c r="D179" s="36" t="s">
        <v>30</v>
      </c>
      <c r="E179" s="36" t="s">
        <v>30</v>
      </c>
      <c r="F179" s="36" t="s">
        <v>30</v>
      </c>
      <c r="G179" s="36" t="s">
        <v>30</v>
      </c>
      <c r="H179" s="54">
        <v>0.132</v>
      </c>
      <c r="I179" s="54">
        <v>0.133</v>
      </c>
      <c r="J179" s="37">
        <v>0.17</v>
      </c>
      <c r="K179" s="11" t="s">
        <v>279</v>
      </c>
    </row>
    <row r="180" ht="15" customHeight="1">
      <c r="A180" s="1"/>
      <c r="B180" s="4" t="s">
        <v>199</v>
      </c>
      <c r="C180" s="36" t="s">
        <v>30</v>
      </c>
      <c r="D180" s="47" t="str">
        <f t="shared" si="5"/>
        <v>n/a</v>
      </c>
      <c r="E180" s="47" t="str">
        <f t="shared" si="5"/>
        <v>n/a</v>
      </c>
      <c r="F180" s="47" t="str">
        <f t="shared" si="5"/>
        <v>n/a</v>
      </c>
      <c r="G180" s="36" t="s">
        <v>30</v>
      </c>
      <c r="H180" s="47" t="str">
        <f t="shared" si="9"/>
        <v>n/a</v>
      </c>
      <c r="I180" s="47">
        <f t="shared" si="5"/>
        <v>10.000000000000009</v>
      </c>
      <c r="J180" s="48">
        <f t="shared" si="5"/>
        <v>370.00000000000006</v>
      </c>
      <c r="K180" s="11"/>
    </row>
    <row r="181" ht="15" customHeight="1">
      <c r="A181" s="1"/>
      <c r="B181" s="1" t="s">
        <v>200</v>
      </c>
      <c r="C181" s="29">
        <v>0</v>
      </c>
      <c r="D181" s="29">
        <v>0</v>
      </c>
      <c r="E181" s="29">
        <v>0</v>
      </c>
      <c r="F181" s="29">
        <v>0</v>
      </c>
      <c r="G181" s="33">
        <f t="shared" si="6"/>
        <v>0</v>
      </c>
      <c r="H181" s="29">
        <v>3</v>
      </c>
      <c r="I181" s="29">
        <v>29</v>
      </c>
      <c r="J181" s="43">
        <f>(J282+J208)*(1+J184)*(1+J186)</f>
        <v>29.386020011273956</v>
      </c>
      <c r="K181" s="11" t="s">
        <v>277</v>
      </c>
    </row>
    <row r="182" ht="15" customHeight="1">
      <c r="A182" s="1"/>
      <c r="B182" s="4" t="s">
        <v>195</v>
      </c>
      <c r="C182" s="36" t="s">
        <v>278</v>
      </c>
      <c r="D182" s="36" t="s">
        <v>278</v>
      </c>
      <c r="E182" s="36" t="s">
        <v>278</v>
      </c>
      <c r="F182" s="36" t="s">
        <v>278</v>
      </c>
      <c r="G182" s="36" t="s">
        <v>278</v>
      </c>
      <c r="H182" s="36" t="s">
        <v>278</v>
      </c>
      <c r="I182" s="36" t="s">
        <v>278</v>
      </c>
      <c r="J182" s="55" t="s">
        <v>278</v>
      </c>
      <c r="K182" s="11"/>
    </row>
    <row r="183" ht="15" customHeight="1">
      <c r="A183" s="1"/>
      <c r="B183" s="1" t="s">
        <v>196</v>
      </c>
      <c r="C183" s="33">
        <f>C181-F282</f>
        <v>0</v>
      </c>
      <c r="D183" s="33">
        <f t="shared" si="4"/>
        <v>0</v>
      </c>
      <c r="E183" s="33">
        <f t="shared" si="4"/>
        <v>0</v>
      </c>
      <c r="F183" s="33">
        <f t="shared" si="4"/>
        <v>0</v>
      </c>
      <c r="G183" s="13" t="s">
        <v>30</v>
      </c>
      <c r="H183" s="33">
        <f t="shared" si="8"/>
        <v>3</v>
      </c>
      <c r="I183" s="33">
        <f t="shared" si="4"/>
        <v>26</v>
      </c>
      <c r="J183" s="43">
        <f t="shared" si="4"/>
        <v>0.38602001127395624</v>
      </c>
      <c r="K183" s="11"/>
    </row>
    <row r="184" ht="15" customHeight="1">
      <c r="A184" s="1"/>
      <c r="B184" s="4" t="s">
        <v>197</v>
      </c>
      <c r="C184" s="36" t="s">
        <v>30</v>
      </c>
      <c r="D184" s="36" t="s">
        <v>30</v>
      </c>
      <c r="E184" s="36" t="s">
        <v>30</v>
      </c>
      <c r="F184" s="36" t="s">
        <v>30</v>
      </c>
      <c r="G184" s="36" t="s">
        <v>30</v>
      </c>
      <c r="H184" s="54">
        <v>0.192</v>
      </c>
      <c r="I184" s="54">
        <v>0.138</v>
      </c>
      <c r="J184" s="37">
        <v>0.15</v>
      </c>
      <c r="K184" s="11" t="s">
        <v>280</v>
      </c>
    </row>
    <row r="185" ht="15" customHeight="1">
      <c r="A185" s="1"/>
      <c r="B185" s="4" t="s">
        <v>199</v>
      </c>
      <c r="C185" s="36" t="s">
        <v>30</v>
      </c>
      <c r="D185" s="47" t="str">
        <f t="shared" si="5"/>
        <v>n/a</v>
      </c>
      <c r="E185" s="47" t="str">
        <f t="shared" si="5"/>
        <v>n/a</v>
      </c>
      <c r="F185" s="47" t="str">
        <f t="shared" si="5"/>
        <v>n/a</v>
      </c>
      <c r="G185" s="36" t="s">
        <v>30</v>
      </c>
      <c r="H185" s="47" t="str">
        <f t="shared" si="9"/>
        <v>n/a</v>
      </c>
      <c r="I185" s="47">
        <f t="shared" si="5"/>
        <v>-539.9999999999999</v>
      </c>
      <c r="J185" s="48">
        <f t="shared" si="5"/>
        <v>119.99999999999983</v>
      </c>
      <c r="K185" s="11"/>
    </row>
    <row r="186" ht="15" customHeight="1">
      <c r="A186" s="1"/>
      <c r="B186" s="4" t="s">
        <v>202</v>
      </c>
      <c r="C186" s="36" t="s">
        <v>30</v>
      </c>
      <c r="D186" s="36" t="s">
        <v>30</v>
      </c>
      <c r="E186" s="36" t="s">
        <v>30</v>
      </c>
      <c r="F186" s="36" t="s">
        <v>30</v>
      </c>
      <c r="G186" s="36" t="s">
        <v>30</v>
      </c>
      <c r="H186" s="54">
        <v>0</v>
      </c>
      <c r="I186" s="54">
        <v>0</v>
      </c>
      <c r="J186" s="42">
        <f>'Revenue summary'!J12</f>
        <v>-0.017189966178128523</v>
      </c>
      <c r="K186" s="11" t="s">
        <v>281</v>
      </c>
    </row>
    <row r="187" ht="15" customHeight="1">
      <c r="A187" s="1"/>
      <c r="B187" s="4" t="s">
        <v>199</v>
      </c>
      <c r="C187" s="36" t="s">
        <v>30</v>
      </c>
      <c r="D187" s="47" t="str">
        <f t="shared" si="5"/>
        <v>n/a</v>
      </c>
      <c r="E187" s="47" t="str">
        <f t="shared" si="5"/>
        <v>n/a</v>
      </c>
      <c r="F187" s="47" t="str">
        <f t="shared" si="5"/>
        <v>n/a</v>
      </c>
      <c r="G187" s="36" t="s">
        <v>30</v>
      </c>
      <c r="H187" s="47" t="str">
        <f t="shared" si="9"/>
        <v>n/a</v>
      </c>
      <c r="I187" s="47">
        <f t="shared" si="5"/>
        <v>0</v>
      </c>
      <c r="J187" s="48">
        <f t="shared" si="5"/>
        <v>-171.89966178128523</v>
      </c>
      <c r="K187" s="11"/>
    </row>
    <row r="188" ht="15" customHeight="1">
      <c r="A188" s="1"/>
      <c r="B188" s="1" t="s">
        <v>204</v>
      </c>
      <c r="C188" s="33">
        <f t="shared" si="61" ref="C188:G188">C181</f>
        <v>0</v>
      </c>
      <c r="D188" s="33">
        <f t="shared" si="61"/>
        <v>0</v>
      </c>
      <c r="E188" s="33">
        <f t="shared" si="61"/>
        <v>0</v>
      </c>
      <c r="F188" s="33">
        <f t="shared" si="61"/>
        <v>0</v>
      </c>
      <c r="G188" s="33">
        <f t="shared" si="61"/>
        <v>0</v>
      </c>
      <c r="H188" s="33">
        <f t="shared" si="11"/>
        <v>3</v>
      </c>
      <c r="I188" s="33">
        <f t="shared" si="11"/>
        <v>29</v>
      </c>
      <c r="J188" s="43">
        <f t="shared" si="11"/>
        <v>29.9</v>
      </c>
      <c r="K188" s="11"/>
    </row>
    <row r="189" ht="15" customHeight="1">
      <c r="A189" s="1"/>
      <c r="B189" s="3" t="s">
        <v>282</v>
      </c>
      <c r="C189" s="50">
        <f t="shared" si="12"/>
        <v>0</v>
      </c>
      <c r="D189" s="50">
        <f t="shared" si="12"/>
        <v>0</v>
      </c>
      <c r="E189" s="50">
        <f t="shared" si="12"/>
        <v>0</v>
      </c>
      <c r="F189" s="50">
        <f t="shared" si="12"/>
        <v>0</v>
      </c>
      <c r="G189" s="50">
        <f t="shared" si="12"/>
        <v>0</v>
      </c>
      <c r="H189" s="50">
        <f t="shared" si="12"/>
        <v>96</v>
      </c>
      <c r="I189" s="50">
        <f t="shared" si="12"/>
        <v>919</v>
      </c>
      <c r="J189" s="51">
        <f t="shared" si="12"/>
        <v>994.6360200112738</v>
      </c>
      <c r="K189" s="11"/>
    </row>
    <row r="190" ht="15" customHeight="1">
      <c r="A190" s="1"/>
      <c r="B190" s="4" t="s">
        <v>166</v>
      </c>
      <c r="C190" s="36" t="s">
        <v>278</v>
      </c>
      <c r="D190" s="36" t="s">
        <v>278</v>
      </c>
      <c r="E190" s="36" t="s">
        <v>278</v>
      </c>
      <c r="F190" s="36" t="s">
        <v>278</v>
      </c>
      <c r="G190" s="36" t="s">
        <v>278</v>
      </c>
      <c r="H190" s="36" t="s">
        <v>278</v>
      </c>
      <c r="I190" s="36" t="s">
        <v>278</v>
      </c>
      <c r="J190" s="55" t="s">
        <v>278</v>
      </c>
      <c r="K190" s="11"/>
    </row>
    <row r="191" ht="15" customHeight="1">
      <c r="A191" s="1"/>
      <c r="B191" s="1" t="s">
        <v>146</v>
      </c>
      <c r="C191" s="33">
        <f>C189-F283</f>
        <v>0</v>
      </c>
      <c r="D191" s="33">
        <f t="shared" si="4"/>
        <v>0</v>
      </c>
      <c r="E191" s="33">
        <f t="shared" si="4"/>
        <v>0</v>
      </c>
      <c r="F191" s="33">
        <f t="shared" si="4"/>
        <v>0</v>
      </c>
      <c r="G191" s="13" t="s">
        <v>30</v>
      </c>
      <c r="H191" s="33">
        <f t="shared" si="8"/>
        <v>96</v>
      </c>
      <c r="I191" s="33">
        <f t="shared" si="4"/>
        <v>823</v>
      </c>
      <c r="J191" s="43">
        <f t="shared" si="4"/>
        <v>75.63602001127379</v>
      </c>
      <c r="K191" s="11"/>
    </row>
    <row r="192" ht="15" customHeight="1">
      <c r="A192" s="1"/>
      <c r="B192" s="4" t="s">
        <v>147</v>
      </c>
      <c r="C192" s="36" t="s">
        <v>30</v>
      </c>
      <c r="D192" s="36" t="s">
        <v>30</v>
      </c>
      <c r="E192" s="36" t="s">
        <v>30</v>
      </c>
      <c r="F192" s="36" t="s">
        <v>30</v>
      </c>
      <c r="G192" s="36" t="s">
        <v>30</v>
      </c>
      <c r="H192" s="36" t="s">
        <v>30</v>
      </c>
      <c r="I192" s="44" t="s">
        <v>278</v>
      </c>
      <c r="J192" s="38">
        <f t="shared" si="14"/>
        <v>0.08230252449540121</v>
      </c>
      <c r="K192" s="11"/>
    </row>
    <row r="193" ht="15" customHeight="1">
      <c r="A193" s="1"/>
      <c r="B193" s="4" t="s">
        <v>206</v>
      </c>
      <c r="C193" s="44">
        <f t="shared" si="62" ref="C193:J193">C189/C220</f>
        <v>0</v>
      </c>
      <c r="D193" s="44">
        <f t="shared" si="62"/>
        <v>0</v>
      </c>
      <c r="E193" s="44">
        <f t="shared" si="62"/>
        <v>0</v>
      </c>
      <c r="F193" s="44">
        <f t="shared" si="62"/>
        <v>0</v>
      </c>
      <c r="G193" s="44">
        <f t="shared" si="62"/>
        <v>0</v>
      </c>
      <c r="H193" s="44">
        <f t="shared" si="62"/>
        <v>0.044036697247706424</v>
      </c>
      <c r="I193" s="44">
        <f t="shared" si="62"/>
        <v>0.29721862871927557</v>
      </c>
      <c r="J193" s="38">
        <f t="shared" si="62"/>
        <v>0.3061189091385188</v>
      </c>
      <c r="K193" s="11"/>
    </row>
    <row r="194" ht="15" customHeight="1">
      <c r="A194" s="1"/>
      <c r="B194" s="4" t="s">
        <v>149</v>
      </c>
      <c r="C194" s="47">
        <f t="shared" si="63" ref="C194:J194">(C193-C283/C242)*10000</f>
        <v>0</v>
      </c>
      <c r="D194" s="47">
        <f t="shared" si="63"/>
        <v>0</v>
      </c>
      <c r="E194" s="47">
        <f t="shared" si="63"/>
        <v>0</v>
      </c>
      <c r="F194" s="47">
        <f t="shared" si="63"/>
        <v>0</v>
      </c>
      <c r="G194" s="47">
        <f t="shared" si="63"/>
        <v>0</v>
      </c>
      <c r="H194" s="47">
        <f t="shared" si="63"/>
        <v>440.3669724770642</v>
      </c>
      <c r="I194" s="47">
        <f t="shared" si="63"/>
        <v>2972.1862871927556</v>
      </c>
      <c r="J194" s="48">
        <f t="shared" si="63"/>
        <v>3061.189091385188</v>
      </c>
      <c r="K194" s="11"/>
    </row>
    <row r="195" ht="15" customHeight="1">
      <c r="A195" s="1"/>
      <c r="B195" s="1" t="s">
        <v>167</v>
      </c>
      <c r="C195" s="33">
        <f t="shared" si="64" ref="C195:I195">C189</f>
        <v>0</v>
      </c>
      <c r="D195" s="33">
        <f t="shared" si="64"/>
        <v>0</v>
      </c>
      <c r="E195" s="33">
        <f t="shared" si="64"/>
        <v>0</v>
      </c>
      <c r="F195" s="33">
        <f t="shared" si="64"/>
        <v>0</v>
      </c>
      <c r="G195" s="33">
        <f t="shared" si="64"/>
        <v>0</v>
      </c>
      <c r="H195" s="33">
        <f t="shared" si="64"/>
        <v>96</v>
      </c>
      <c r="I195" s="33">
        <f t="shared" si="64"/>
        <v>919</v>
      </c>
      <c r="J195" s="43">
        <f t="shared" si="17"/>
        <v>995.1499999999999</v>
      </c>
      <c r="K195" s="11" t="s">
        <v>207</v>
      </c>
    </row>
    <row r="196" ht="15" customHeight="1">
      <c r="A196" s="1"/>
      <c r="B196" s="1" t="s">
        <v>208</v>
      </c>
      <c r="C196" s="33">
        <f t="shared" si="65" ref="C196:G197">C281</f>
        <v>0</v>
      </c>
      <c r="D196" s="33">
        <f t="shared" si="65"/>
        <v>0</v>
      </c>
      <c r="E196" s="33">
        <f t="shared" si="65"/>
        <v>0</v>
      </c>
      <c r="F196" s="33">
        <f t="shared" si="65"/>
        <v>0</v>
      </c>
      <c r="G196" s="33">
        <f t="shared" si="65"/>
        <v>0</v>
      </c>
      <c r="H196" s="33">
        <f t="shared" si="66" ref="H196:J197">H281+H207</f>
        <v>684</v>
      </c>
      <c r="I196" s="33">
        <f t="shared" si="66"/>
        <v>786</v>
      </c>
      <c r="J196" s="43">
        <f t="shared" si="66"/>
        <v>825</v>
      </c>
      <c r="K196" s="11"/>
    </row>
    <row r="197" ht="15" customHeight="1">
      <c r="A197" s="1"/>
      <c r="B197" s="1" t="s">
        <v>168</v>
      </c>
      <c r="C197" s="33">
        <f t="shared" si="65"/>
        <v>0</v>
      </c>
      <c r="D197" s="33">
        <f t="shared" si="65"/>
        <v>0</v>
      </c>
      <c r="E197" s="33">
        <f t="shared" si="65"/>
        <v>0</v>
      </c>
      <c r="F197" s="33">
        <f t="shared" si="65"/>
        <v>0</v>
      </c>
      <c r="G197" s="33">
        <f t="shared" si="65"/>
        <v>0</v>
      </c>
      <c r="H197" s="33">
        <f t="shared" si="66"/>
        <v>23</v>
      </c>
      <c r="I197" s="33">
        <f t="shared" si="66"/>
        <v>25</v>
      </c>
      <c r="J197" s="43">
        <f t="shared" si="66"/>
        <v>26</v>
      </c>
      <c r="K197" s="11"/>
    </row>
    <row r="198" ht="15" customHeight="1">
      <c r="A198" s="1"/>
      <c r="B198" s="1" t="s">
        <v>169</v>
      </c>
      <c r="C198" s="33">
        <f t="shared" si="19"/>
        <v>0</v>
      </c>
      <c r="D198" s="33">
        <f t="shared" si="19"/>
        <v>0</v>
      </c>
      <c r="E198" s="33">
        <f t="shared" si="19"/>
        <v>0</v>
      </c>
      <c r="F198" s="33">
        <f t="shared" si="19"/>
        <v>0</v>
      </c>
      <c r="G198" s="33">
        <f t="shared" si="19"/>
        <v>0</v>
      </c>
      <c r="H198" s="33">
        <f t="shared" si="19"/>
        <v>707</v>
      </c>
      <c r="I198" s="33">
        <f t="shared" si="19"/>
        <v>811</v>
      </c>
      <c r="J198" s="43">
        <f t="shared" si="19"/>
        <v>851</v>
      </c>
      <c r="K198" s="11" t="s">
        <v>209</v>
      </c>
    </row>
    <row r="199" ht="15" customHeight="1">
      <c r="A199" s="1"/>
      <c r="B199" s="4" t="s">
        <v>152</v>
      </c>
      <c r="C199" s="36" t="s">
        <v>278</v>
      </c>
      <c r="D199" s="36" t="s">
        <v>278</v>
      </c>
      <c r="E199" s="36" t="s">
        <v>278</v>
      </c>
      <c r="F199" s="36" t="s">
        <v>278</v>
      </c>
      <c r="G199" s="36" t="s">
        <v>278</v>
      </c>
      <c r="H199" s="36" t="s">
        <v>278</v>
      </c>
      <c r="I199" s="36" t="s">
        <v>278</v>
      </c>
      <c r="J199" s="55" t="s">
        <v>278</v>
      </c>
      <c r="K199" s="11" t="s">
        <v>210</v>
      </c>
    </row>
    <row r="200" ht="15" customHeight="1">
      <c r="A200" s="1"/>
      <c r="B200" s="4" t="s">
        <v>151</v>
      </c>
      <c r="C200" s="36" t="s">
        <v>30</v>
      </c>
      <c r="D200" s="47" t="str">
        <f t="shared" si="5"/>
        <v>n/a</v>
      </c>
      <c r="E200" s="47" t="str">
        <f t="shared" si="5"/>
        <v>n/a</v>
      </c>
      <c r="F200" s="47" t="str">
        <f t="shared" si="5"/>
        <v>n/a</v>
      </c>
      <c r="G200" s="36" t="s">
        <v>30</v>
      </c>
      <c r="H200" s="47" t="str">
        <f t="shared" si="9"/>
        <v>n/a</v>
      </c>
      <c r="I200" s="47" t="str">
        <f t="shared" si="5"/>
        <v>n/a</v>
      </c>
      <c r="J200" s="48" t="str">
        <f t="shared" si="5"/>
        <v>n/a</v>
      </c>
      <c r="K200" s="11"/>
    </row>
    <row r="201" ht="15" customHeight="1">
      <c r="A201" s="1"/>
      <c r="B201" s="4" t="s">
        <v>153</v>
      </c>
      <c r="C201" s="36" t="s">
        <v>30</v>
      </c>
      <c r="D201" s="36" t="s">
        <v>30</v>
      </c>
      <c r="E201" s="36" t="s">
        <v>30</v>
      </c>
      <c r="F201" s="36" t="s">
        <v>30</v>
      </c>
      <c r="G201" s="36" t="s">
        <v>30</v>
      </c>
      <c r="H201" s="44">
        <f t="shared" si="21"/>
        <v>0</v>
      </c>
      <c r="I201" s="44">
        <f t="shared" si="21"/>
        <v>0</v>
      </c>
      <c r="J201" s="38">
        <f t="shared" si="21"/>
        <v>-0.0005164849406884553</v>
      </c>
      <c r="K201" s="11"/>
    </row>
    <row r="202" ht="15" customHeight="1">
      <c r="A202" s="1"/>
      <c r="B202" s="4" t="s">
        <v>151</v>
      </c>
      <c r="C202" s="36" t="s">
        <v>30</v>
      </c>
      <c r="D202" s="47" t="str">
        <f t="shared" si="5"/>
        <v>n/a</v>
      </c>
      <c r="E202" s="47" t="str">
        <f t="shared" si="5"/>
        <v>n/a</v>
      </c>
      <c r="F202" s="47" t="str">
        <f t="shared" si="5"/>
        <v>n/a</v>
      </c>
      <c r="G202" s="36" t="s">
        <v>30</v>
      </c>
      <c r="H202" s="47" t="str">
        <f t="shared" si="9"/>
        <v>n/a</v>
      </c>
      <c r="I202" s="47">
        <f t="shared" si="5"/>
        <v>0</v>
      </c>
      <c r="J202" s="48">
        <f t="shared" si="5"/>
        <v>-5.164849406884553</v>
      </c>
      <c r="K202" s="11"/>
    </row>
    <row r="203" ht="15" customHeight="1">
      <c r="A203" s="1"/>
      <c r="B203" s="4" t="s">
        <v>211</v>
      </c>
      <c r="C203" s="36" t="s">
        <v>30</v>
      </c>
      <c r="D203" s="36" t="s">
        <v>30</v>
      </c>
      <c r="E203" s="36" t="s">
        <v>30</v>
      </c>
      <c r="F203" s="36" t="s">
        <v>30</v>
      </c>
      <c r="G203" s="36" t="s">
        <v>30</v>
      </c>
      <c r="H203" s="44">
        <f t="shared" si="67" ref="H203:J203">(H195+H209+H210)/H198-1</f>
        <v>0.13437057991513446</v>
      </c>
      <c r="I203" s="44">
        <f t="shared" si="67"/>
        <v>0.13316892725030827</v>
      </c>
      <c r="J203" s="38">
        <f t="shared" si="67"/>
        <v>0.16938895417156274</v>
      </c>
      <c r="K203" s="11" t="s">
        <v>283</v>
      </c>
    </row>
    <row r="204" ht="15" customHeight="1">
      <c r="A204" s="1"/>
      <c r="B204" s="4" t="s">
        <v>151</v>
      </c>
      <c r="C204" s="36" t="s">
        <v>30</v>
      </c>
      <c r="D204" s="47" t="str">
        <f t="shared" si="5"/>
        <v>n/a</v>
      </c>
      <c r="E204" s="47" t="str">
        <f t="shared" si="5"/>
        <v>n/a</v>
      </c>
      <c r="F204" s="47" t="str">
        <f t="shared" si="5"/>
        <v>n/a</v>
      </c>
      <c r="G204" s="36" t="s">
        <v>30</v>
      </c>
      <c r="H204" s="47" t="str">
        <f t="shared" si="9"/>
        <v>n/a</v>
      </c>
      <c r="I204" s="47">
        <f t="shared" si="5"/>
        <v>-12.016526648261916</v>
      </c>
      <c r="J204" s="48">
        <f t="shared" si="5"/>
        <v>362.20026921254475</v>
      </c>
      <c r="K204" s="11"/>
    </row>
    <row r="205" ht="15" customHeight="1">
      <c r="A205" s="1"/>
      <c r="B205" s="4" t="s">
        <v>213</v>
      </c>
      <c r="C205" s="36" t="s">
        <v>30</v>
      </c>
      <c r="D205" s="36" t="s">
        <v>30</v>
      </c>
      <c r="E205" s="36" t="s">
        <v>30</v>
      </c>
      <c r="F205" s="36" t="s">
        <v>30</v>
      </c>
      <c r="G205" s="36" t="s">
        <v>30</v>
      </c>
      <c r="H205" s="44">
        <f t="shared" si="23"/>
        <v>0.96875</v>
      </c>
      <c r="I205" s="44">
        <f t="shared" si="23"/>
        <v>0.9684439608269858</v>
      </c>
      <c r="J205" s="38">
        <f t="shared" si="23"/>
        <v>0.9704555039028842</v>
      </c>
      <c r="K205" s="11"/>
    </row>
    <row r="206" ht="15" customHeight="1">
      <c r="A206" s="1"/>
      <c r="B206" s="4" t="s">
        <v>214</v>
      </c>
      <c r="C206" s="36" t="s">
        <v>278</v>
      </c>
      <c r="D206" s="36" t="s">
        <v>278</v>
      </c>
      <c r="E206" s="36" t="s">
        <v>278</v>
      </c>
      <c r="F206" s="36" t="s">
        <v>278</v>
      </c>
      <c r="G206" s="36" t="s">
        <v>278</v>
      </c>
      <c r="H206" s="36" t="s">
        <v>278</v>
      </c>
      <c r="I206" s="36" t="s">
        <v>278</v>
      </c>
      <c r="J206" s="55" t="s">
        <v>278</v>
      </c>
      <c r="K206" s="11"/>
    </row>
    <row r="207" ht="15" customHeight="1">
      <c r="A207" s="1"/>
      <c r="B207" s="1" t="s">
        <v>284</v>
      </c>
      <c r="C207" s="13"/>
      <c r="D207" s="13"/>
      <c r="E207" s="13"/>
      <c r="F207" s="13"/>
      <c r="G207" s="13"/>
      <c r="H207" s="29">
        <v>684</v>
      </c>
      <c r="I207" s="29">
        <v>786</v>
      </c>
      <c r="J207" s="58">
        <v>825</v>
      </c>
      <c r="K207" s="11" t="s">
        <v>285</v>
      </c>
    </row>
    <row r="208" ht="15" customHeight="1">
      <c r="A208" s="1"/>
      <c r="B208" s="1" t="s">
        <v>286</v>
      </c>
      <c r="C208" s="13"/>
      <c r="D208" s="13"/>
      <c r="E208" s="13"/>
      <c r="F208" s="13"/>
      <c r="G208" s="13"/>
      <c r="H208" s="29">
        <v>23</v>
      </c>
      <c r="I208" s="29">
        <v>25</v>
      </c>
      <c r="J208" s="58">
        <v>26</v>
      </c>
      <c r="K208" s="11" t="s">
        <v>287</v>
      </c>
    </row>
    <row r="209" ht="15" customHeight="1">
      <c r="A209" s="1"/>
      <c r="B209" s="1" t="s">
        <v>288</v>
      </c>
      <c r="C209" s="13"/>
      <c r="D209" s="13"/>
      <c r="E209" s="13"/>
      <c r="F209" s="13"/>
      <c r="G209" s="13"/>
      <c r="H209" s="29">
        <v>681</v>
      </c>
      <c r="I209" s="29">
        <v>0</v>
      </c>
      <c r="J209" s="58">
        <v>0</v>
      </c>
      <c r="K209" s="11" t="s">
        <v>289</v>
      </c>
    </row>
    <row r="210" ht="15" customHeight="1">
      <c r="A210" s="1"/>
      <c r="B210" s="1" t="s">
        <v>290</v>
      </c>
      <c r="C210" s="13"/>
      <c r="D210" s="13"/>
      <c r="E210" s="13"/>
      <c r="F210" s="13"/>
      <c r="G210" s="13"/>
      <c r="H210" s="29">
        <v>25</v>
      </c>
      <c r="I210" s="29">
        <v>0</v>
      </c>
      <c r="J210" s="58">
        <v>0</v>
      </c>
      <c r="K210" s="11"/>
    </row>
    <row r="211" ht="15" customHeight="1">
      <c r="A211" s="1"/>
      <c r="B211" s="1"/>
      <c r="C211" s="1"/>
      <c r="D211" s="1"/>
      <c r="E211" s="1"/>
      <c r="F211" s="1"/>
      <c r="G211" s="1"/>
      <c r="H211" s="1"/>
      <c r="I211" s="1"/>
      <c r="J211" s="35"/>
      <c r="K211" s="11"/>
    </row>
    <row r="212" ht="15" customHeight="1">
      <c r="A212" s="1"/>
      <c r="B212" s="3" t="s">
        <v>291</v>
      </c>
      <c r="C212" s="1"/>
      <c r="D212" s="1"/>
      <c r="E212" s="1"/>
      <c r="F212" s="1"/>
      <c r="G212" s="1"/>
      <c r="H212" s="1"/>
      <c r="I212" s="1"/>
      <c r="J212" s="35"/>
      <c r="K212" s="11"/>
    </row>
    <row r="213" ht="15" customHeight="1">
      <c r="A213" s="1"/>
      <c r="B213" s="3" t="s">
        <v>292</v>
      </c>
      <c r="C213" s="50">
        <f t="shared" si="68" ref="C213:J213">C11+C143+C176</f>
        <v>871</v>
      </c>
      <c r="D213" s="50">
        <f t="shared" si="68"/>
        <v>811</v>
      </c>
      <c r="E213" s="50">
        <f t="shared" si="68"/>
        <v>886</v>
      </c>
      <c r="F213" s="50">
        <f t="shared" si="68"/>
        <v>967</v>
      </c>
      <c r="G213" s="50">
        <f t="shared" si="68"/>
        <v>3535</v>
      </c>
      <c r="H213" s="50">
        <f t="shared" si="68"/>
        <v>905</v>
      </c>
      <c r="I213" s="50">
        <f t="shared" si="68"/>
        <v>1660</v>
      </c>
      <c r="J213" s="51">
        <f t="shared" si="68"/>
        <v>1828.5299999999997</v>
      </c>
      <c r="K213" s="11"/>
    </row>
    <row r="214" ht="15" customHeight="1">
      <c r="A214" s="1"/>
      <c r="B214" s="4" t="s">
        <v>195</v>
      </c>
      <c r="C214" s="44">
        <f t="shared" si="69" ref="C214:J214">C213/C240-1</f>
        <v>-0.06444683136412455</v>
      </c>
      <c r="D214" s="44">
        <f t="shared" si="69"/>
        <v>-0.0012315270935960854</v>
      </c>
      <c r="E214" s="44">
        <f t="shared" si="69"/>
        <v>-0.1414728682170543</v>
      </c>
      <c r="F214" s="44">
        <f t="shared" si="69"/>
        <v>-0.08341232227488149</v>
      </c>
      <c r="G214" s="44">
        <f t="shared" si="69"/>
        <v>-0.07702349869451697</v>
      </c>
      <c r="H214" s="44">
        <f t="shared" si="69"/>
        <v>0.03903559127439715</v>
      </c>
      <c r="I214" s="44">
        <f t="shared" si="69"/>
        <v>1.0468557336621456</v>
      </c>
      <c r="J214" s="38">
        <f t="shared" si="69"/>
        <v>1.0638036117381486</v>
      </c>
      <c r="K214" s="11"/>
    </row>
    <row r="215" ht="15" customHeight="1">
      <c r="A215" s="1"/>
      <c r="B215" s="1" t="s">
        <v>196</v>
      </c>
      <c r="C215" s="33">
        <f>C213-F240</f>
        <v>-184</v>
      </c>
      <c r="D215" s="33">
        <f t="shared" si="4"/>
        <v>-60</v>
      </c>
      <c r="E215" s="33">
        <f t="shared" si="4"/>
        <v>75</v>
      </c>
      <c r="F215" s="33">
        <f t="shared" si="4"/>
        <v>81</v>
      </c>
      <c r="G215" s="13" t="s">
        <v>30</v>
      </c>
      <c r="H215" s="33">
        <f t="shared" si="8"/>
        <v>-62</v>
      </c>
      <c r="I215" s="33">
        <f t="shared" si="4"/>
        <v>755</v>
      </c>
      <c r="J215" s="43">
        <f t="shared" si="4"/>
        <v>168.52999999999975</v>
      </c>
      <c r="K215" s="11"/>
    </row>
    <row r="216" ht="15" customHeight="1">
      <c r="A216" s="1"/>
      <c r="B216" s="3" t="s">
        <v>293</v>
      </c>
      <c r="C216" s="50">
        <f t="shared" si="70" ref="C216:J216">C16+C148+C181</f>
        <v>1183</v>
      </c>
      <c r="D216" s="50">
        <f t="shared" si="70"/>
        <v>1362</v>
      </c>
      <c r="E216" s="50">
        <f t="shared" si="70"/>
        <v>1367</v>
      </c>
      <c r="F216" s="50">
        <f t="shared" si="70"/>
        <v>1490</v>
      </c>
      <c r="G216" s="50">
        <f t="shared" si="70"/>
        <v>5402</v>
      </c>
      <c r="H216" s="50">
        <f t="shared" si="70"/>
        <v>1275</v>
      </c>
      <c r="I216" s="50">
        <f t="shared" si="70"/>
        <v>1432</v>
      </c>
      <c r="J216" s="51">
        <f t="shared" si="70"/>
        <v>1420.651903889515</v>
      </c>
      <c r="K216" s="11"/>
    </row>
    <row r="217" ht="15" customHeight="1">
      <c r="A217" s="1"/>
      <c r="B217" s="4" t="s">
        <v>195</v>
      </c>
      <c r="C217" s="44">
        <f t="shared" si="71" ref="C217:J217">C216/C241-1</f>
        <v>-0.07794232268121593</v>
      </c>
      <c r="D217" s="44">
        <f t="shared" si="71"/>
        <v>-0.015184381778741818</v>
      </c>
      <c r="E217" s="44">
        <f t="shared" si="71"/>
        <v>-0.009420289855072483</v>
      </c>
      <c r="F217" s="44">
        <f t="shared" si="71"/>
        <v>0.017064846416382284</v>
      </c>
      <c r="G217" s="44">
        <f t="shared" si="71"/>
        <v>-0.01977862456904378</v>
      </c>
      <c r="H217" s="44">
        <f t="shared" si="71"/>
        <v>0.0777683854606932</v>
      </c>
      <c r="I217" s="44">
        <f t="shared" si="71"/>
        <v>0.05139500734214386</v>
      </c>
      <c r="J217" s="38">
        <f t="shared" si="71"/>
        <v>0.039247917987940806</v>
      </c>
      <c r="K217" s="11"/>
    </row>
    <row r="218" ht="15" customHeight="1">
      <c r="A218" s="1"/>
      <c r="B218" s="1" t="s">
        <v>196</v>
      </c>
      <c r="C218" s="33">
        <f>C216-F241</f>
        <v>-282</v>
      </c>
      <c r="D218" s="33">
        <f t="shared" si="4"/>
        <v>179</v>
      </c>
      <c r="E218" s="33">
        <f t="shared" si="4"/>
        <v>5</v>
      </c>
      <c r="F218" s="33">
        <f t="shared" si="4"/>
        <v>123</v>
      </c>
      <c r="G218" s="13" t="s">
        <v>30</v>
      </c>
      <c r="H218" s="33">
        <f t="shared" si="8"/>
        <v>-215</v>
      </c>
      <c r="I218" s="33">
        <f t="shared" si="4"/>
        <v>157</v>
      </c>
      <c r="J218" s="43">
        <f t="shared" si="4"/>
        <v>-11.348096110484903</v>
      </c>
      <c r="K218" s="11"/>
    </row>
    <row r="219" ht="15" customHeight="1">
      <c r="A219" s="1"/>
      <c r="B219" s="1" t="s">
        <v>204</v>
      </c>
      <c r="C219" s="13" t="s">
        <v>30</v>
      </c>
      <c r="D219" s="13" t="s">
        <v>30</v>
      </c>
      <c r="E219" s="33">
        <f t="shared" si="72" ref="E219:J226">E23+E155+E188</f>
        <v>1337.782</v>
      </c>
      <c r="F219" s="33">
        <f t="shared" si="72"/>
        <v>1462.2060000000001</v>
      </c>
      <c r="G219" s="33">
        <f t="shared" si="72"/>
        <v>5385.787000000001</v>
      </c>
      <c r="H219" s="33">
        <f t="shared" si="72"/>
        <v>1200.5339999999999</v>
      </c>
      <c r="I219" s="33">
        <f t="shared" si="72"/>
        <v>1409.8940000000002</v>
      </c>
      <c r="J219" s="43">
        <f t="shared" si="72"/>
        <v>1445.5</v>
      </c>
      <c r="K219" s="11"/>
    </row>
    <row r="220" ht="15" customHeight="1">
      <c r="A220" s="1"/>
      <c r="B220" s="3" t="s">
        <v>294</v>
      </c>
      <c r="C220" s="50">
        <f t="shared" si="73" ref="C220:J220">C213+C216</f>
        <v>2054</v>
      </c>
      <c r="D220" s="50">
        <f t="shared" si="73"/>
        <v>2173</v>
      </c>
      <c r="E220" s="50">
        <f t="shared" si="73"/>
        <v>2253</v>
      </c>
      <c r="F220" s="50">
        <f t="shared" si="73"/>
        <v>2457</v>
      </c>
      <c r="G220" s="50">
        <f t="shared" si="73"/>
        <v>8937</v>
      </c>
      <c r="H220" s="50">
        <f t="shared" si="73"/>
        <v>2180</v>
      </c>
      <c r="I220" s="50">
        <f t="shared" si="73"/>
        <v>3092</v>
      </c>
      <c r="J220" s="51">
        <f t="shared" si="73"/>
        <v>3249.1819038895146</v>
      </c>
      <c r="K220" s="11" t="s">
        <v>225</v>
      </c>
    </row>
    <row r="221" ht="15" customHeight="1">
      <c r="A221" s="1"/>
      <c r="B221" s="4" t="s">
        <v>166</v>
      </c>
      <c r="C221" s="44">
        <f t="shared" si="74" ref="C221:J221">C220/C242-1</f>
        <v>-0.0722673893405601</v>
      </c>
      <c r="D221" s="44">
        <f t="shared" si="74"/>
        <v>-0.010022779043280194</v>
      </c>
      <c r="E221" s="44">
        <f t="shared" si="74"/>
        <v>-0.0659203980099502</v>
      </c>
      <c r="F221" s="44">
        <f t="shared" si="74"/>
        <v>-0.025000000000000022</v>
      </c>
      <c r="G221" s="44">
        <f t="shared" si="74"/>
        <v>-0.043250187346108526</v>
      </c>
      <c r="H221" s="44">
        <f t="shared" si="74"/>
        <v>0.06134371957156759</v>
      </c>
      <c r="I221" s="44">
        <f t="shared" si="74"/>
        <v>0.4229176254026692</v>
      </c>
      <c r="J221" s="38">
        <f t="shared" si="74"/>
        <v>0.442157968881276</v>
      </c>
      <c r="K221" s="11"/>
    </row>
    <row r="222" ht="15" customHeight="1">
      <c r="A222" s="1"/>
      <c r="B222" s="1" t="s">
        <v>146</v>
      </c>
      <c r="C222" s="33">
        <f>C220-F242</f>
        <v>-466</v>
      </c>
      <c r="D222" s="33">
        <f t="shared" si="4"/>
        <v>119</v>
      </c>
      <c r="E222" s="33">
        <f t="shared" si="4"/>
        <v>80</v>
      </c>
      <c r="F222" s="33">
        <f t="shared" si="4"/>
        <v>204</v>
      </c>
      <c r="G222" s="13" t="s">
        <v>30</v>
      </c>
      <c r="H222" s="33">
        <f t="shared" si="8"/>
        <v>-277</v>
      </c>
      <c r="I222" s="33">
        <f t="shared" si="4"/>
        <v>912</v>
      </c>
      <c r="J222" s="43">
        <f t="shared" si="4"/>
        <v>157.18190388951462</v>
      </c>
      <c r="K222" s="11"/>
    </row>
    <row r="223" ht="15" customHeight="1">
      <c r="A223" s="1"/>
      <c r="B223" s="4" t="s">
        <v>147</v>
      </c>
      <c r="C223" s="44">
        <f>C220/F242-1</f>
        <v>-0.18492063492063493</v>
      </c>
      <c r="D223" s="44">
        <f t="shared" si="14"/>
        <v>0.057935735150925094</v>
      </c>
      <c r="E223" s="44">
        <f t="shared" si="14"/>
        <v>0.03681546249424761</v>
      </c>
      <c r="F223" s="44">
        <f t="shared" si="14"/>
        <v>0.09054593874833561</v>
      </c>
      <c r="G223" s="36" t="s">
        <v>30</v>
      </c>
      <c r="H223" s="44">
        <f t="shared" si="55"/>
        <v>-0.11273911273911275</v>
      </c>
      <c r="I223" s="44">
        <f t="shared" si="14"/>
        <v>0.41834862385321103</v>
      </c>
      <c r="J223" s="38">
        <f t="shared" si="14"/>
        <v>0.05083502713114951</v>
      </c>
      <c r="K223" s="11"/>
    </row>
    <row r="224" ht="15" customHeight="1">
      <c r="A224" s="1"/>
      <c r="B224" s="4" t="s">
        <v>226</v>
      </c>
      <c r="C224" s="41">
        <f>C220/'Revenue summary'!C74</f>
        <v>0.1983008302761151</v>
      </c>
      <c r="D224" s="41">
        <f>D220/'Revenue summary'!D74</f>
        <v>0.1950278226530246</v>
      </c>
      <c r="E224" s="41">
        <f>E220/'Revenue summary'!E74</f>
        <v>0.19817046354120854</v>
      </c>
      <c r="F224" s="41">
        <f>F220/'Revenue summary'!F74</f>
        <v>0.21441661576053758</v>
      </c>
      <c r="G224" s="41">
        <f>G220/'Revenue summary'!G74</f>
        <v>0.20161072008662695</v>
      </c>
      <c r="H224" s="41">
        <f>H220/'Revenue summary'!H74</f>
        <v>0.1952705123611609</v>
      </c>
      <c r="I224" s="41">
        <f>I220/'Revenue summary'!I74</f>
        <v>0.24553323274835226</v>
      </c>
      <c r="J224" s="42">
        <f>J220/'Revenue summary'!J74</f>
        <v>0.2514583160650861</v>
      </c>
      <c r="K224" s="11"/>
    </row>
    <row r="225" ht="15" customHeight="1">
      <c r="A225" s="1"/>
      <c r="B225" s="4" t="s">
        <v>149</v>
      </c>
      <c r="C225" s="45">
        <f>(C224-C242/'Revenue summary'!C92)*10000</f>
        <v>-238.99089434844367</v>
      </c>
      <c r="D225" s="45">
        <f>(D224-D242/'Revenue summary'!D92)*10000</f>
        <v>-164.9766640932482</v>
      </c>
      <c r="E225" s="45">
        <f>(E224-E242/'Revenue summary'!E92)*10000</f>
        <v>-286.278439341088</v>
      </c>
      <c r="F225" s="45">
        <f>(F224-F242/'Revenue summary'!F92)*10000</f>
        <v>-152.1706384580468</v>
      </c>
      <c r="G225" s="45">
        <f>(G224-G242/'Revenue summary'!G92)*10000</f>
        <v>-210.5912496700832</v>
      </c>
      <c r="H225" s="45">
        <f>(H224-H242/'Revenue summary'!H92)*10000</f>
        <v>-30.303179149542004</v>
      </c>
      <c r="I225" s="45">
        <f>(I224-I242/'Revenue summary'!I92)*10000</f>
        <v>505.05410095327665</v>
      </c>
      <c r="J225" s="46">
        <f>(J224-J242/'Revenue summary'!J92)*10000</f>
        <v>532.8785252387758</v>
      </c>
      <c r="K225" s="11"/>
    </row>
    <row r="226" ht="15" customHeight="1">
      <c r="A226" s="1"/>
      <c r="B226" s="1" t="s">
        <v>167</v>
      </c>
      <c r="C226" s="13" t="s">
        <v>30</v>
      </c>
      <c r="D226" s="13" t="s">
        <v>30</v>
      </c>
      <c r="E226" s="33">
        <f t="shared" si="72"/>
        <v>2223.782</v>
      </c>
      <c r="F226" s="33">
        <f t="shared" si="72"/>
        <v>2429.206</v>
      </c>
      <c r="G226" s="33">
        <f t="shared" si="72"/>
        <v>8920.787</v>
      </c>
      <c r="H226" s="33">
        <f t="shared" si="72"/>
        <v>2105.5339999999997</v>
      </c>
      <c r="I226" s="33">
        <f t="shared" si="72"/>
        <v>3069.8940000000002</v>
      </c>
      <c r="J226" s="43">
        <f t="shared" si="72"/>
        <v>3274.0299999999997</v>
      </c>
      <c r="K226" s="11"/>
    </row>
    <row r="227" ht="15" customHeight="1">
      <c r="A227" s="1"/>
      <c r="B227" s="1" t="s">
        <v>208</v>
      </c>
      <c r="C227" s="33">
        <f t="shared" si="75" ref="C227:J229">C31+C163+C196</f>
        <v>931</v>
      </c>
      <c r="D227" s="33">
        <f t="shared" si="75"/>
        <v>812</v>
      </c>
      <c r="E227" s="33">
        <f t="shared" si="75"/>
        <v>1032</v>
      </c>
      <c r="F227" s="33">
        <f t="shared" si="75"/>
        <v>1055</v>
      </c>
      <c r="G227" s="33">
        <f t="shared" si="75"/>
        <v>3830</v>
      </c>
      <c r="H227" s="33">
        <f t="shared" si="75"/>
        <v>1555</v>
      </c>
      <c r="I227" s="33">
        <f t="shared" si="75"/>
        <v>1597</v>
      </c>
      <c r="J227" s="43">
        <f t="shared" si="75"/>
        <v>1711</v>
      </c>
      <c r="K227" s="11"/>
    </row>
    <row r="228" ht="15" customHeight="1">
      <c r="A228" s="1"/>
      <c r="B228" s="1" t="s">
        <v>168</v>
      </c>
      <c r="C228" s="33">
        <f t="shared" si="75"/>
        <v>1283</v>
      </c>
      <c r="D228" s="33">
        <f t="shared" si="75"/>
        <v>1383</v>
      </c>
      <c r="E228" s="33">
        <f t="shared" si="75"/>
        <v>1380</v>
      </c>
      <c r="F228" s="33">
        <f t="shared" si="75"/>
        <v>1465</v>
      </c>
      <c r="G228" s="33">
        <f t="shared" si="75"/>
        <v>5511</v>
      </c>
      <c r="H228" s="33">
        <f t="shared" si="75"/>
        <v>1206</v>
      </c>
      <c r="I228" s="33">
        <f t="shared" si="75"/>
        <v>1387</v>
      </c>
      <c r="J228" s="43">
        <f t="shared" si="75"/>
        <v>1393</v>
      </c>
      <c r="K228" s="11"/>
    </row>
    <row r="229" ht="15" customHeight="1">
      <c r="A229" s="1"/>
      <c r="B229" s="1" t="s">
        <v>169</v>
      </c>
      <c r="C229" s="33">
        <f t="shared" si="75"/>
        <v>2214</v>
      </c>
      <c r="D229" s="33">
        <f t="shared" si="75"/>
        <v>2195</v>
      </c>
      <c r="E229" s="33">
        <f t="shared" si="75"/>
        <v>2412</v>
      </c>
      <c r="F229" s="33">
        <f t="shared" si="75"/>
        <v>2520</v>
      </c>
      <c r="G229" s="33">
        <f t="shared" si="75"/>
        <v>9341</v>
      </c>
      <c r="H229" s="33">
        <f t="shared" si="75"/>
        <v>2761</v>
      </c>
      <c r="I229" s="33">
        <f t="shared" si="75"/>
        <v>2984</v>
      </c>
      <c r="J229" s="43">
        <f t="shared" si="75"/>
        <v>3104</v>
      </c>
      <c r="K229" s="11"/>
    </row>
    <row r="230" ht="15" customHeight="1">
      <c r="A230" s="1"/>
      <c r="B230" s="1" t="s">
        <v>295</v>
      </c>
      <c r="C230" s="29">
        <v>0</v>
      </c>
      <c r="D230" s="29">
        <v>0</v>
      </c>
      <c r="E230" s="29">
        <v>0</v>
      </c>
      <c r="F230" s="29">
        <v>0</v>
      </c>
      <c r="G230" s="29">
        <v>0</v>
      </c>
      <c r="H230" s="33">
        <f t="shared" si="76" ref="H230:J231">H209</f>
        <v>681</v>
      </c>
      <c r="I230" s="33">
        <f t="shared" si="76"/>
        <v>0</v>
      </c>
      <c r="J230" s="43">
        <f t="shared" si="76"/>
        <v>0</v>
      </c>
      <c r="K230" s="11" t="s">
        <v>296</v>
      </c>
    </row>
    <row r="231" ht="15" customHeight="1">
      <c r="A231" s="1"/>
      <c r="B231" s="1" t="s">
        <v>297</v>
      </c>
      <c r="C231" s="29">
        <v>0</v>
      </c>
      <c r="D231" s="29">
        <v>0</v>
      </c>
      <c r="E231" s="29">
        <v>0</v>
      </c>
      <c r="F231" s="29">
        <v>0</v>
      </c>
      <c r="G231" s="29">
        <v>0</v>
      </c>
      <c r="H231" s="33">
        <f t="shared" si="76"/>
        <v>25</v>
      </c>
      <c r="I231" s="33">
        <f t="shared" si="76"/>
        <v>0</v>
      </c>
      <c r="J231" s="43">
        <f t="shared" si="76"/>
        <v>0</v>
      </c>
      <c r="K231" s="11"/>
    </row>
    <row r="232" ht="15" customHeight="1">
      <c r="A232" s="1"/>
      <c r="B232" s="4" t="s">
        <v>152</v>
      </c>
      <c r="C232" s="36" t="s">
        <v>30</v>
      </c>
      <c r="D232" s="36" t="s">
        <v>30</v>
      </c>
      <c r="E232" s="44">
        <f t="shared" si="77" ref="E232:J232">(E229/E242)*(E226/(E226+E230+E231))-1</f>
        <v>0</v>
      </c>
      <c r="F232" s="44">
        <f t="shared" si="77"/>
        <v>0</v>
      </c>
      <c r="G232" s="44">
        <f t="shared" si="77"/>
        <v>0</v>
      </c>
      <c r="H232" s="44">
        <f t="shared" si="77"/>
        <v>0.006664807888673074</v>
      </c>
      <c r="I232" s="44">
        <f t="shared" si="77"/>
        <v>0.37321675103543495</v>
      </c>
      <c r="J232" s="38">
        <f t="shared" si="77"/>
        <v>0.3777185974256547</v>
      </c>
      <c r="K232" s="11"/>
    </row>
    <row r="233" ht="15" customHeight="1">
      <c r="A233" s="1"/>
      <c r="B233" s="4" t="s">
        <v>151</v>
      </c>
      <c r="C233" s="36" t="s">
        <v>30</v>
      </c>
      <c r="D233" s="36" t="s">
        <v>30</v>
      </c>
      <c r="E233" s="36" t="s">
        <v>30</v>
      </c>
      <c r="F233" s="47">
        <f t="shared" si="5"/>
        <v>0</v>
      </c>
      <c r="G233" s="36" t="s">
        <v>30</v>
      </c>
      <c r="H233" s="47">
        <f t="shared" si="9"/>
        <v>66.64807888673074</v>
      </c>
      <c r="I233" s="47">
        <f t="shared" si="5"/>
        <v>3665.5194314676187</v>
      </c>
      <c r="J233" s="48">
        <f t="shared" si="5"/>
        <v>45.018463902197766</v>
      </c>
      <c r="K233" s="11"/>
    </row>
    <row r="234" ht="15" customHeight="1">
      <c r="A234" s="1"/>
      <c r="B234" s="4" t="s">
        <v>153</v>
      </c>
      <c r="C234" s="36" t="s">
        <v>30</v>
      </c>
      <c r="D234" s="36" t="s">
        <v>30</v>
      </c>
      <c r="E234" s="44">
        <f t="shared" si="78" ref="E234:J234">E220/E226-1</f>
        <v>0.013138877821657013</v>
      </c>
      <c r="F234" s="44">
        <f t="shared" si="78"/>
        <v>0.011441598612879966</v>
      </c>
      <c r="G234" s="44">
        <f t="shared" si="78"/>
        <v>0.0018174405464450594</v>
      </c>
      <c r="H234" s="44">
        <f t="shared" si="78"/>
        <v>0.03536680006117221</v>
      </c>
      <c r="I234" s="44">
        <f t="shared" si="78"/>
        <v>0.0072009000962247605</v>
      </c>
      <c r="J234" s="38">
        <f t="shared" si="78"/>
        <v>-0.007589452787691409</v>
      </c>
      <c r="K234" s="11"/>
    </row>
    <row r="235" ht="15" customHeight="1">
      <c r="A235" s="1"/>
      <c r="B235" s="4" t="s">
        <v>151</v>
      </c>
      <c r="C235" s="36" t="s">
        <v>30</v>
      </c>
      <c r="D235" s="36" t="s">
        <v>30</v>
      </c>
      <c r="E235" s="36" t="s">
        <v>30</v>
      </c>
      <c r="F235" s="47">
        <f t="shared" si="5"/>
        <v>-16.972792087770472</v>
      </c>
      <c r="G235" s="36" t="s">
        <v>30</v>
      </c>
      <c r="H235" s="47">
        <f t="shared" si="9"/>
        <v>239.25201448292245</v>
      </c>
      <c r="I235" s="47">
        <f t="shared" si="5"/>
        <v>-281.6589996494745</v>
      </c>
      <c r="J235" s="48">
        <f t="shared" si="5"/>
        <v>-147.90352883916168</v>
      </c>
      <c r="K235" s="11"/>
    </row>
    <row r="236" ht="15" customHeight="1">
      <c r="A236" s="1"/>
      <c r="B236" s="4" t="s">
        <v>150</v>
      </c>
      <c r="C236" s="36" t="s">
        <v>30</v>
      </c>
      <c r="D236" s="36" t="s">
        <v>30</v>
      </c>
      <c r="E236" s="44">
        <f t="shared" si="79" ref="E236:J236">(1+E221)/((1+E232)*(1+E234))-1</f>
        <v>-0.0780339966832504</v>
      </c>
      <c r="F236" s="44">
        <f t="shared" si="79"/>
        <v>-0.03602936507936494</v>
      </c>
      <c r="G236" s="44">
        <f t="shared" si="79"/>
        <v>-0.04498586875066901</v>
      </c>
      <c r="H236" s="44">
        <f t="shared" si="79"/>
        <v>0.018302788844621665</v>
      </c>
      <c r="I236" s="44">
        <f t="shared" si="79"/>
        <v>0.028784852546916984</v>
      </c>
      <c r="J236" s="38">
        <f t="shared" si="79"/>
        <v>0.05477770618556699</v>
      </c>
      <c r="K236" s="11" t="s">
        <v>227</v>
      </c>
    </row>
    <row r="237" ht="15" customHeight="1">
      <c r="A237" s="1"/>
      <c r="B237" s="4" t="s">
        <v>151</v>
      </c>
      <c r="C237" s="36" t="s">
        <v>30</v>
      </c>
      <c r="D237" s="36" t="s">
        <v>30</v>
      </c>
      <c r="E237" s="36" t="s">
        <v>30</v>
      </c>
      <c r="F237" s="47">
        <f t="shared" si="5"/>
        <v>420.04631603885457</v>
      </c>
      <c r="G237" s="36" t="s">
        <v>30</v>
      </c>
      <c r="H237" s="47">
        <f t="shared" si="9"/>
        <v>543.3215392398661</v>
      </c>
      <c r="I237" s="47">
        <f t="shared" si="5"/>
        <v>104.82063702295319</v>
      </c>
      <c r="J237" s="48">
        <f t="shared" si="5"/>
        <v>259.9285363865</v>
      </c>
      <c r="K237" s="11"/>
    </row>
    <row r="238" ht="15" customHeight="1">
      <c r="A238" s="1"/>
      <c r="B238" s="4" t="s">
        <v>174</v>
      </c>
      <c r="C238" s="36" t="s">
        <v>30</v>
      </c>
      <c r="D238" s="36" t="s">
        <v>30</v>
      </c>
      <c r="E238" s="54">
        <v>-0.078</v>
      </c>
      <c r="F238" s="54">
        <v>-0.036000000000000004</v>
      </c>
      <c r="G238" s="54">
        <v>-0.045</v>
      </c>
      <c r="H238" s="54">
        <v>0.018000000000000002</v>
      </c>
      <c r="I238" s="54">
        <v>0.029</v>
      </c>
      <c r="J238" s="55" t="s">
        <v>30</v>
      </c>
      <c r="K238" s="11" t="s">
        <v>228</v>
      </c>
    </row>
    <row r="239" ht="15" customHeight="1">
      <c r="A239" s="1"/>
      <c r="B239" s="4" t="s">
        <v>229</v>
      </c>
      <c r="C239" s="36" t="s">
        <v>30</v>
      </c>
      <c r="D239" s="36" t="s">
        <v>30</v>
      </c>
      <c r="E239" s="47">
        <f t="shared" si="80" ref="E239:I239">(E236-E238)*10000</f>
        <v>-0.33996683250395177</v>
      </c>
      <c r="F239" s="47">
        <f t="shared" si="80"/>
        <v>-0.2936507936493471</v>
      </c>
      <c r="G239" s="47">
        <f t="shared" si="80"/>
        <v>0.14131249330986972</v>
      </c>
      <c r="H239" s="47">
        <f t="shared" si="80"/>
        <v>3.0278884462166253</v>
      </c>
      <c r="I239" s="47">
        <f t="shared" si="80"/>
        <v>-2.151474530830179</v>
      </c>
      <c r="J239" s="55" t="s">
        <v>30</v>
      </c>
      <c r="K239" s="11" t="s">
        <v>230</v>
      </c>
    </row>
    <row r="240" ht="15" customHeight="1">
      <c r="A240" s="1"/>
      <c r="B240" s="3" t="s">
        <v>298</v>
      </c>
      <c r="C240" s="50">
        <f t="shared" si="81" ref="C240:J242">C266+C278+C281</f>
        <v>931</v>
      </c>
      <c r="D240" s="50">
        <f t="shared" si="81"/>
        <v>812</v>
      </c>
      <c r="E240" s="50">
        <f t="shared" si="81"/>
        <v>1032</v>
      </c>
      <c r="F240" s="50">
        <f t="shared" si="81"/>
        <v>1055</v>
      </c>
      <c r="G240" s="50">
        <f t="shared" si="81"/>
        <v>3830</v>
      </c>
      <c r="H240" s="50">
        <f t="shared" si="81"/>
        <v>871</v>
      </c>
      <c r="I240" s="50">
        <f t="shared" si="81"/>
        <v>811</v>
      </c>
      <c r="J240" s="51">
        <f t="shared" si="81"/>
        <v>886</v>
      </c>
      <c r="K240" s="11"/>
    </row>
    <row r="241" ht="15" customHeight="1">
      <c r="A241" s="1"/>
      <c r="B241" s="3" t="s">
        <v>299</v>
      </c>
      <c r="C241" s="50">
        <f t="shared" si="81"/>
        <v>1283</v>
      </c>
      <c r="D241" s="50">
        <f t="shared" si="81"/>
        <v>1383</v>
      </c>
      <c r="E241" s="50">
        <f t="shared" si="81"/>
        <v>1380</v>
      </c>
      <c r="F241" s="50">
        <f t="shared" si="81"/>
        <v>1465</v>
      </c>
      <c r="G241" s="50">
        <f t="shared" si="81"/>
        <v>5511</v>
      </c>
      <c r="H241" s="50">
        <f t="shared" si="81"/>
        <v>1183</v>
      </c>
      <c r="I241" s="50">
        <f t="shared" si="81"/>
        <v>1362</v>
      </c>
      <c r="J241" s="51">
        <f t="shared" si="81"/>
        <v>1367</v>
      </c>
      <c r="K241" s="11"/>
    </row>
    <row r="242" ht="15" customHeight="1">
      <c r="A242" s="1"/>
      <c r="B242" s="3" t="s">
        <v>300</v>
      </c>
      <c r="C242" s="50">
        <f t="shared" si="81"/>
        <v>2214</v>
      </c>
      <c r="D242" s="50">
        <f t="shared" si="81"/>
        <v>2195</v>
      </c>
      <c r="E242" s="50">
        <f t="shared" si="81"/>
        <v>2412</v>
      </c>
      <c r="F242" s="50">
        <f t="shared" si="81"/>
        <v>2520</v>
      </c>
      <c r="G242" s="50">
        <f t="shared" si="81"/>
        <v>9341</v>
      </c>
      <c r="H242" s="50">
        <f t="shared" si="81"/>
        <v>2054</v>
      </c>
      <c r="I242" s="50">
        <f t="shared" si="81"/>
        <v>2173</v>
      </c>
      <c r="J242" s="51">
        <f t="shared" si="81"/>
        <v>2253</v>
      </c>
      <c r="K242" s="11"/>
    </row>
    <row r="243" ht="15" customHeight="1">
      <c r="A243" s="1"/>
      <c r="B243" s="1"/>
      <c r="C243" s="1"/>
      <c r="D243" s="1"/>
      <c r="E243" s="1"/>
      <c r="F243" s="1"/>
      <c r="G243" s="1"/>
      <c r="H243" s="1"/>
      <c r="I243" s="1"/>
      <c r="J243" s="35"/>
      <c r="K243" s="11"/>
    </row>
    <row r="244" ht="15" customHeight="1">
      <c r="A244" s="1"/>
      <c r="B244" s="3" t="s">
        <v>301</v>
      </c>
      <c r="C244" s="1"/>
      <c r="D244" s="1"/>
      <c r="E244" s="1"/>
      <c r="F244" s="1"/>
      <c r="G244" s="1"/>
      <c r="H244" s="1"/>
      <c r="I244" s="1"/>
      <c r="J244" s="35"/>
      <c r="K244" s="11"/>
    </row>
    <row r="245" ht="15" customHeight="1">
      <c r="A245" s="1"/>
      <c r="B245" s="1" t="s">
        <v>235</v>
      </c>
      <c r="C245" s="33">
        <f t="shared" si="82" ref="C245:J245">C220</f>
        <v>2054</v>
      </c>
      <c r="D245" s="33">
        <f t="shared" si="82"/>
        <v>2173</v>
      </c>
      <c r="E245" s="33">
        <f t="shared" si="82"/>
        <v>2253</v>
      </c>
      <c r="F245" s="33">
        <f t="shared" si="82"/>
        <v>2457</v>
      </c>
      <c r="G245" s="33">
        <f t="shared" si="82"/>
        <v>8937</v>
      </c>
      <c r="H245" s="33">
        <f t="shared" si="82"/>
        <v>2180</v>
      </c>
      <c r="I245" s="33">
        <f t="shared" si="82"/>
        <v>3092</v>
      </c>
      <c r="J245" s="43">
        <f t="shared" si="82"/>
        <v>3249.1819038895146</v>
      </c>
      <c r="K245" s="11"/>
    </row>
    <row r="246" ht="15" customHeight="1">
      <c r="A246" s="1"/>
      <c r="B246" s="1" t="s">
        <v>236</v>
      </c>
      <c r="C246" s="29">
        <v>1152</v>
      </c>
      <c r="D246" s="29">
        <v>1224</v>
      </c>
      <c r="E246" s="29">
        <v>1290</v>
      </c>
      <c r="F246" s="33">
        <f t="shared" si="83" ref="F246:F286">G246-C246-D246-E246</f>
        <v>1318</v>
      </c>
      <c r="G246" s="29">
        <v>4984</v>
      </c>
      <c r="H246" s="29">
        <v>1242</v>
      </c>
      <c r="I246" s="29">
        <v>1532</v>
      </c>
      <c r="J246" s="43">
        <f>J245*(I246/I245+E246/E245-D246/D245)</f>
        <v>1640.074983271392</v>
      </c>
      <c r="K246" s="11" t="s">
        <v>237</v>
      </c>
    </row>
    <row r="247" ht="15" customHeight="1">
      <c r="A247" s="1"/>
      <c r="B247" s="1" t="s">
        <v>238</v>
      </c>
      <c r="C247" s="29">
        <v>151</v>
      </c>
      <c r="D247" s="29">
        <v>154</v>
      </c>
      <c r="E247" s="29">
        <v>150</v>
      </c>
      <c r="F247" s="33">
        <f t="shared" si="83"/>
        <v>147</v>
      </c>
      <c r="G247" s="29">
        <v>602</v>
      </c>
      <c r="H247" s="29">
        <v>155</v>
      </c>
      <c r="I247" s="29">
        <v>268</v>
      </c>
      <c r="J247" s="43">
        <f>J245*(I247/I245+E247/E245-D247/D245)</f>
        <v>267.67872365304714</v>
      </c>
      <c r="K247" s="11" t="s">
        <v>237</v>
      </c>
    </row>
    <row r="248" ht="15" customHeight="1">
      <c r="A248" s="1"/>
      <c r="B248" s="1" t="s">
        <v>239</v>
      </c>
      <c r="C248" s="29">
        <v>392</v>
      </c>
      <c r="D248" s="29">
        <v>423</v>
      </c>
      <c r="E248" s="29">
        <v>413</v>
      </c>
      <c r="F248" s="33">
        <f t="shared" si="83"/>
        <v>383</v>
      </c>
      <c r="G248" s="29">
        <v>1611</v>
      </c>
      <c r="H248" s="29">
        <v>448</v>
      </c>
      <c r="I248" s="29">
        <v>793</v>
      </c>
      <c r="J248" s="43">
        <f>J245*(I248/I245+E248/E245-D248/D245)</f>
        <v>796.4319563904123</v>
      </c>
      <c r="K248" s="11" t="s">
        <v>237</v>
      </c>
    </row>
    <row r="249" ht="15" customHeight="1">
      <c r="A249" s="1"/>
      <c r="B249" s="3" t="s">
        <v>240</v>
      </c>
      <c r="C249" s="50">
        <f t="shared" si="84" ref="C249:J263">C245-C246-C247-C248</f>
        <v>359</v>
      </c>
      <c r="D249" s="50">
        <f t="shared" si="84"/>
        <v>372</v>
      </c>
      <c r="E249" s="50">
        <f t="shared" si="84"/>
        <v>400</v>
      </c>
      <c r="F249" s="50">
        <f t="shared" si="84"/>
        <v>609</v>
      </c>
      <c r="G249" s="50">
        <f t="shared" si="84"/>
        <v>1740</v>
      </c>
      <c r="H249" s="50">
        <f t="shared" si="84"/>
        <v>335</v>
      </c>
      <c r="I249" s="50">
        <f t="shared" si="84"/>
        <v>499</v>
      </c>
      <c r="J249" s="51">
        <f t="shared" si="84"/>
        <v>544.996240574663</v>
      </c>
      <c r="K249" s="11" t="s">
        <v>241</v>
      </c>
    </row>
    <row r="250" ht="15" customHeight="1">
      <c r="A250" s="1"/>
      <c r="B250" s="4" t="s">
        <v>145</v>
      </c>
      <c r="C250" s="44">
        <f t="shared" si="85" ref="C250:J250">C249/C263-1</f>
        <v>-0.2426160337552743</v>
      </c>
      <c r="D250" s="44">
        <f t="shared" si="85"/>
        <v>-0.1348837209302326</v>
      </c>
      <c r="E250" s="44">
        <f t="shared" si="85"/>
        <v>-0.2831541218637993</v>
      </c>
      <c r="F250" s="44">
        <f t="shared" si="85"/>
        <v>-0.00327332242225864</v>
      </c>
      <c r="G250" s="44">
        <f t="shared" si="85"/>
        <v>-0.16063675832127355</v>
      </c>
      <c r="H250" s="44">
        <f t="shared" si="85"/>
        <v>-0.06685236768802227</v>
      </c>
      <c r="I250" s="44">
        <f t="shared" si="85"/>
        <v>0.3413978494623655</v>
      </c>
      <c r="J250" s="38">
        <f t="shared" si="85"/>
        <v>0.36249060143665757</v>
      </c>
      <c r="K250" s="11"/>
    </row>
    <row r="251" ht="15" customHeight="1">
      <c r="A251" s="1"/>
      <c r="B251" s="4" t="s">
        <v>242</v>
      </c>
      <c r="C251" s="44">
        <f t="shared" si="86" ref="C251:J251">1-C246/C245</f>
        <v>0.43914313534566696</v>
      </c>
      <c r="D251" s="44">
        <f t="shared" si="86"/>
        <v>0.436723423838012</v>
      </c>
      <c r="E251" s="44">
        <f t="shared" si="86"/>
        <v>0.42743009320905456</v>
      </c>
      <c r="F251" s="44">
        <f t="shared" si="86"/>
        <v>0.46357346357346363</v>
      </c>
      <c r="G251" s="44">
        <f t="shared" si="86"/>
        <v>0.4423184513818955</v>
      </c>
      <c r="H251" s="44">
        <f t="shared" si="86"/>
        <v>0.43027522935779816</v>
      </c>
      <c r="I251" s="44">
        <f t="shared" si="86"/>
        <v>0.5045278137128073</v>
      </c>
      <c r="J251" s="38">
        <f t="shared" si="86"/>
        <v>0.49523448308384976</v>
      </c>
      <c r="K251" s="11"/>
    </row>
    <row r="252" ht="15" customHeight="1">
      <c r="A252" s="1"/>
      <c r="B252" s="4" t="s">
        <v>149</v>
      </c>
      <c r="C252" s="47">
        <f t="shared" si="87" ref="C252:J252">(C251-(1-C260/C259))*10000</f>
        <v>-242.71498800674473</v>
      </c>
      <c r="D252" s="47">
        <f t="shared" si="87"/>
        <v>-152.1279484080351</v>
      </c>
      <c r="E252" s="47">
        <f t="shared" si="87"/>
        <v>-418.8997312593712</v>
      </c>
      <c r="F252" s="47">
        <f t="shared" si="87"/>
        <v>-110.29711029710954</v>
      </c>
      <c r="G252" s="47">
        <f t="shared" si="87"/>
        <v>-229.42227346292032</v>
      </c>
      <c r="H252" s="47">
        <f t="shared" si="87"/>
        <v>-88.67905987868797</v>
      </c>
      <c r="I252" s="47">
        <f t="shared" si="87"/>
        <v>678.0438987479531</v>
      </c>
      <c r="J252" s="48">
        <f t="shared" si="87"/>
        <v>678.043898747952</v>
      </c>
      <c r="K252" s="11" t="s">
        <v>302</v>
      </c>
    </row>
    <row r="253" ht="15" customHeight="1">
      <c r="A253" s="1"/>
      <c r="B253" s="4" t="s">
        <v>244</v>
      </c>
      <c r="C253" s="44">
        <f t="shared" si="88" ref="C253:J253">C247/C245</f>
        <v>0.07351509250243428</v>
      </c>
      <c r="D253" s="44">
        <f t="shared" si="88"/>
        <v>0.0708697653014266</v>
      </c>
      <c r="E253" s="44">
        <f t="shared" si="88"/>
        <v>0.06657789613848203</v>
      </c>
      <c r="F253" s="44">
        <f t="shared" si="88"/>
        <v>0.05982905982905983</v>
      </c>
      <c r="G253" s="44">
        <f t="shared" si="88"/>
        <v>0.0673604117712879</v>
      </c>
      <c r="H253" s="44">
        <f t="shared" si="88"/>
        <v>0.07110091743119266</v>
      </c>
      <c r="I253" s="44">
        <f t="shared" si="88"/>
        <v>0.08667529107373868</v>
      </c>
      <c r="J253" s="38">
        <f t="shared" si="88"/>
        <v>0.0823834219107941</v>
      </c>
      <c r="K253" s="11"/>
    </row>
    <row r="254" ht="15" customHeight="1">
      <c r="A254" s="1"/>
      <c r="B254" s="4" t="s">
        <v>149</v>
      </c>
      <c r="C254" s="47">
        <f t="shared" si="89" ref="C254:J254">(C253-(C261/C259))*10000</f>
        <v>35.060590787667074</v>
      </c>
      <c r="D254" s="47">
        <f t="shared" si="89"/>
        <v>-29.343349263638434</v>
      </c>
      <c r="E254" s="47">
        <f t="shared" si="89"/>
        <v>-18.3006406052294</v>
      </c>
      <c r="F254" s="47">
        <f t="shared" si="89"/>
        <v>-92.1855921855922</v>
      </c>
      <c r="G254" s="47">
        <f t="shared" si="89"/>
        <v>-28.67615206551724</v>
      </c>
      <c r="H254" s="47">
        <f t="shared" si="89"/>
        <v>-24.141750712416144</v>
      </c>
      <c r="I254" s="47">
        <f t="shared" si="89"/>
        <v>158.0552577231209</v>
      </c>
      <c r="J254" s="48">
        <f t="shared" si="89"/>
        <v>158.05525772312077</v>
      </c>
      <c r="K254" s="11" t="s">
        <v>303</v>
      </c>
    </row>
    <row r="255" ht="15" customHeight="1">
      <c r="A255" s="1"/>
      <c r="B255" s="4" t="s">
        <v>246</v>
      </c>
      <c r="C255" s="44">
        <f t="shared" si="90" ref="C255:J255">C248/C245</f>
        <v>0.19084712755598832</v>
      </c>
      <c r="D255" s="44">
        <f t="shared" si="90"/>
        <v>0.1946617579383341</v>
      </c>
      <c r="E255" s="44">
        <f t="shared" si="90"/>
        <v>0.18331114070128718</v>
      </c>
      <c r="F255" s="44">
        <f t="shared" si="90"/>
        <v>0.1558811558811559</v>
      </c>
      <c r="G255" s="44">
        <f t="shared" si="90"/>
        <v>0.18026183282980865</v>
      </c>
      <c r="H255" s="44">
        <f t="shared" si="90"/>
        <v>0.20550458715596331</v>
      </c>
      <c r="I255" s="44">
        <f t="shared" si="90"/>
        <v>0.2564683053040103</v>
      </c>
      <c r="J255" s="38">
        <f t="shared" si="90"/>
        <v>0.2451176880669634</v>
      </c>
      <c r="K255" s="11"/>
    </row>
    <row r="256" ht="15" customHeight="1">
      <c r="A256" s="1"/>
      <c r="B256" s="4" t="s">
        <v>149</v>
      </c>
      <c r="C256" s="47">
        <f t="shared" si="91" ref="C256:J256">(C255-(C262/C259))*10000</f>
        <v>115.33667754723642</v>
      </c>
      <c r="D256" s="47">
        <f t="shared" si="91"/>
        <v>124.29411696876225</v>
      </c>
      <c r="E256" s="47">
        <f t="shared" si="91"/>
        <v>137.42318147389992</v>
      </c>
      <c r="F256" s="47">
        <f t="shared" si="91"/>
        <v>-72.14082214082207</v>
      </c>
      <c r="G256" s="47">
        <f t="shared" si="91"/>
        <v>71.54028526200895</v>
      </c>
      <c r="H256" s="47">
        <f t="shared" si="91"/>
        <v>146.57459599975</v>
      </c>
      <c r="I256" s="47">
        <f t="shared" si="91"/>
        <v>618.0654736567623</v>
      </c>
      <c r="J256" s="48">
        <f t="shared" si="91"/>
        <v>618.0654736567623</v>
      </c>
      <c r="K256" s="11" t="s">
        <v>303</v>
      </c>
    </row>
    <row r="257" ht="15" customHeight="1">
      <c r="A257" s="1"/>
      <c r="B257" s="4" t="s">
        <v>247</v>
      </c>
      <c r="C257" s="44">
        <f t="shared" si="92" ref="C257:J257">C249/C245</f>
        <v>0.1747809152872444</v>
      </c>
      <c r="D257" s="44">
        <f t="shared" si="92"/>
        <v>0.17119190059825126</v>
      </c>
      <c r="E257" s="44">
        <f t="shared" si="92"/>
        <v>0.1775410563692854</v>
      </c>
      <c r="F257" s="44">
        <f t="shared" si="92"/>
        <v>0.24786324786324787</v>
      </c>
      <c r="G257" s="44">
        <f t="shared" si="92"/>
        <v>0.19469620678079894</v>
      </c>
      <c r="H257" s="44">
        <f t="shared" si="92"/>
        <v>0.1536697247706422</v>
      </c>
      <c r="I257" s="44">
        <f t="shared" si="92"/>
        <v>0.16138421733505823</v>
      </c>
      <c r="J257" s="38">
        <f t="shared" si="92"/>
        <v>0.1677333731060922</v>
      </c>
      <c r="K257" s="11"/>
    </row>
    <row r="258" ht="15" customHeight="1">
      <c r="A258" s="1"/>
      <c r="B258" s="4" t="s">
        <v>149</v>
      </c>
      <c r="C258" s="47">
        <f t="shared" si="93" ref="C258:J258">(C257-(C263/C259))*10000</f>
        <v>-393.1122563416481</v>
      </c>
      <c r="D258" s="47">
        <f t="shared" si="93"/>
        <v>-247.07871611315935</v>
      </c>
      <c r="E258" s="47">
        <f t="shared" si="93"/>
        <v>-538.0222721280414</v>
      </c>
      <c r="F258" s="47">
        <f t="shared" si="93"/>
        <v>54.029304029304114</v>
      </c>
      <c r="G258" s="47">
        <f t="shared" si="93"/>
        <v>-272.2864066594125</v>
      </c>
      <c r="H258" s="47">
        <f t="shared" si="93"/>
        <v>-211.11190516602207</v>
      </c>
      <c r="I258" s="47">
        <f t="shared" si="93"/>
        <v>-98.07683263193034</v>
      </c>
      <c r="J258" s="48">
        <f t="shared" si="93"/>
        <v>-98.076832631932</v>
      </c>
      <c r="K258" s="11" t="s">
        <v>303</v>
      </c>
    </row>
    <row r="259" ht="15" customHeight="1">
      <c r="A259" s="1"/>
      <c r="B259" s="1" t="s">
        <v>248</v>
      </c>
      <c r="C259" s="33">
        <f t="shared" si="94" ref="C259:J259">C242</f>
        <v>2214</v>
      </c>
      <c r="D259" s="33">
        <f t="shared" si="94"/>
        <v>2195</v>
      </c>
      <c r="E259" s="33">
        <f t="shared" si="94"/>
        <v>2412</v>
      </c>
      <c r="F259" s="33">
        <f t="shared" si="94"/>
        <v>2520</v>
      </c>
      <c r="G259" s="33">
        <f t="shared" si="94"/>
        <v>9341</v>
      </c>
      <c r="H259" s="33">
        <f t="shared" si="94"/>
        <v>2054</v>
      </c>
      <c r="I259" s="33">
        <f t="shared" si="94"/>
        <v>2173</v>
      </c>
      <c r="J259" s="43">
        <f t="shared" si="94"/>
        <v>2253</v>
      </c>
      <c r="K259" s="11"/>
    </row>
    <row r="260" ht="15" customHeight="1">
      <c r="A260" s="1"/>
      <c r="B260" s="1" t="s">
        <v>249</v>
      </c>
      <c r="C260" s="29">
        <v>1188</v>
      </c>
      <c r="D260" s="29">
        <v>1203</v>
      </c>
      <c r="E260" s="29">
        <v>1280</v>
      </c>
      <c r="F260" s="33">
        <f t="shared" si="83"/>
        <v>1324</v>
      </c>
      <c r="G260" s="29">
        <v>4995</v>
      </c>
      <c r="H260" s="33">
        <f t="shared" si="95" ref="H260:J262">C246</f>
        <v>1152</v>
      </c>
      <c r="I260" s="33">
        <f t="shared" si="95"/>
        <v>1224</v>
      </c>
      <c r="J260" s="43">
        <f t="shared" si="95"/>
        <v>1290</v>
      </c>
      <c r="K260" s="11" t="s">
        <v>250</v>
      </c>
    </row>
    <row r="261" ht="15" customHeight="1">
      <c r="A261" s="1"/>
      <c r="B261" s="1" t="s">
        <v>251</v>
      </c>
      <c r="C261" s="29">
        <v>155</v>
      </c>
      <c r="D261" s="29">
        <v>162</v>
      </c>
      <c r="E261" s="29">
        <v>165</v>
      </c>
      <c r="F261" s="33">
        <f t="shared" si="83"/>
        <v>174</v>
      </c>
      <c r="G261" s="29">
        <v>656</v>
      </c>
      <c r="H261" s="33">
        <f t="shared" si="95"/>
        <v>151</v>
      </c>
      <c r="I261" s="33">
        <f t="shared" si="95"/>
        <v>154</v>
      </c>
      <c r="J261" s="43">
        <f t="shared" si="95"/>
        <v>150</v>
      </c>
      <c r="K261" s="11" t="s">
        <v>250</v>
      </c>
    </row>
    <row r="262" ht="15" customHeight="1">
      <c r="A262" s="1"/>
      <c r="B262" s="1" t="s">
        <v>252</v>
      </c>
      <c r="C262" s="29">
        <v>397</v>
      </c>
      <c r="D262" s="29">
        <v>400</v>
      </c>
      <c r="E262" s="29">
        <v>409</v>
      </c>
      <c r="F262" s="33">
        <f t="shared" si="83"/>
        <v>411</v>
      </c>
      <c r="G262" s="29">
        <v>1617</v>
      </c>
      <c r="H262" s="33">
        <f t="shared" si="95"/>
        <v>392</v>
      </c>
      <c r="I262" s="33">
        <f t="shared" si="95"/>
        <v>423</v>
      </c>
      <c r="J262" s="43">
        <f t="shared" si="95"/>
        <v>413</v>
      </c>
      <c r="K262" s="11" t="s">
        <v>250</v>
      </c>
    </row>
    <row r="263" ht="15" customHeight="1">
      <c r="A263" s="1"/>
      <c r="B263" s="3" t="s">
        <v>253</v>
      </c>
      <c r="C263" s="50">
        <f t="shared" si="84"/>
        <v>474</v>
      </c>
      <c r="D263" s="50">
        <f t="shared" si="84"/>
        <v>430</v>
      </c>
      <c r="E263" s="50">
        <f t="shared" si="84"/>
        <v>558</v>
      </c>
      <c r="F263" s="50">
        <f t="shared" si="84"/>
        <v>611</v>
      </c>
      <c r="G263" s="50">
        <f t="shared" si="84"/>
        <v>2073</v>
      </c>
      <c r="H263" s="50">
        <f t="shared" si="84"/>
        <v>359</v>
      </c>
      <c r="I263" s="50">
        <f t="shared" si="84"/>
        <v>372</v>
      </c>
      <c r="J263" s="51">
        <f t="shared" si="84"/>
        <v>400</v>
      </c>
      <c r="K263" s="11"/>
    </row>
    <row r="264" ht="15" customHeight="1">
      <c r="A264" s="1"/>
      <c r="B264" s="1"/>
      <c r="C264" s="1"/>
      <c r="D264" s="1"/>
      <c r="E264" s="1"/>
      <c r="F264" s="1"/>
      <c r="G264" s="1"/>
      <c r="H264" s="1"/>
      <c r="I264" s="1"/>
      <c r="J264" s="35"/>
      <c r="K264" s="11"/>
    </row>
    <row r="265" ht="15" customHeight="1">
      <c r="A265" s="1"/>
      <c r="B265" s="3" t="s">
        <v>254</v>
      </c>
      <c r="C265" s="1"/>
      <c r="D265" s="1"/>
      <c r="E265" s="1"/>
      <c r="F265" s="1"/>
      <c r="G265" s="1"/>
      <c r="H265" s="1"/>
      <c r="I265" s="1"/>
      <c r="J265" s="35"/>
      <c r="K265" s="11"/>
    </row>
    <row r="266" ht="15" customHeight="1">
      <c r="A266" s="1"/>
      <c r="B266" s="1" t="s">
        <v>304</v>
      </c>
      <c r="C266" s="29">
        <v>310</v>
      </c>
      <c r="D266" s="29">
        <v>327</v>
      </c>
      <c r="E266" s="29">
        <v>332</v>
      </c>
      <c r="F266" s="33">
        <f t="shared" si="83"/>
        <v>363</v>
      </c>
      <c r="G266" s="29">
        <v>1332</v>
      </c>
      <c r="H266" s="33">
        <f t="shared" si="96" ref="H266:J266">C11</f>
        <v>332</v>
      </c>
      <c r="I266" s="33">
        <f t="shared" si="96"/>
        <v>351</v>
      </c>
      <c r="J266" s="43">
        <f t="shared" si="96"/>
        <v>366</v>
      </c>
      <c r="K266" s="11" t="s">
        <v>256</v>
      </c>
    </row>
    <row r="267" ht="15" customHeight="1">
      <c r="A267" s="1"/>
      <c r="B267" s="1" t="s">
        <v>305</v>
      </c>
      <c r="C267" s="29">
        <v>895</v>
      </c>
      <c r="D267" s="29">
        <v>1002</v>
      </c>
      <c r="E267" s="29">
        <v>982</v>
      </c>
      <c r="F267" s="33">
        <f t="shared" si="83"/>
        <v>1024</v>
      </c>
      <c r="G267" s="29">
        <v>3903</v>
      </c>
      <c r="H267" s="33">
        <f t="shared" si="97" ref="H267:J267">C16</f>
        <v>845</v>
      </c>
      <c r="I267" s="33">
        <f t="shared" si="97"/>
        <v>1007</v>
      </c>
      <c r="J267" s="43">
        <f t="shared" si="97"/>
        <v>998</v>
      </c>
      <c r="K267" s="11" t="s">
        <v>256</v>
      </c>
    </row>
    <row r="268" ht="15" customHeight="1">
      <c r="A268" s="1"/>
      <c r="B268" s="3" t="s">
        <v>306</v>
      </c>
      <c r="C268" s="50">
        <f t="shared" si="19"/>
        <v>1205</v>
      </c>
      <c r="D268" s="50">
        <f t="shared" si="19"/>
        <v>1329</v>
      </c>
      <c r="E268" s="50">
        <f t="shared" si="19"/>
        <v>1314</v>
      </c>
      <c r="F268" s="50">
        <f t="shared" si="19"/>
        <v>1387</v>
      </c>
      <c r="G268" s="50">
        <f t="shared" si="19"/>
        <v>5235</v>
      </c>
      <c r="H268" s="50">
        <f t="shared" si="19"/>
        <v>1177</v>
      </c>
      <c r="I268" s="50">
        <f t="shared" si="19"/>
        <v>1358</v>
      </c>
      <c r="J268" s="51">
        <f t="shared" si="19"/>
        <v>1364</v>
      </c>
      <c r="K268" s="11"/>
    </row>
    <row r="269" ht="15" customHeight="1">
      <c r="A269" s="1"/>
      <c r="B269" s="1" t="s">
        <v>307</v>
      </c>
      <c r="C269" s="29">
        <v>42</v>
      </c>
      <c r="D269" s="29">
        <v>33</v>
      </c>
      <c r="E269" s="29">
        <v>37</v>
      </c>
      <c r="F269" s="33">
        <f t="shared" si="83"/>
        <v>38</v>
      </c>
      <c r="G269" s="29">
        <v>150</v>
      </c>
      <c r="H269" s="33">
        <f t="shared" si="98" ref="H269:J269">C44</f>
        <v>40</v>
      </c>
      <c r="I269" s="33">
        <f t="shared" si="98"/>
        <v>35</v>
      </c>
      <c r="J269" s="43">
        <f t="shared" si="98"/>
        <v>36</v>
      </c>
      <c r="K269" s="11" t="s">
        <v>256</v>
      </c>
    </row>
    <row r="270" ht="15" customHeight="1">
      <c r="A270" s="1"/>
      <c r="B270" s="1" t="s">
        <v>308</v>
      </c>
      <c r="C270" s="29">
        <v>87</v>
      </c>
      <c r="D270" s="29">
        <v>94</v>
      </c>
      <c r="E270" s="29">
        <v>91</v>
      </c>
      <c r="F270" s="33">
        <f t="shared" si="83"/>
        <v>99</v>
      </c>
      <c r="G270" s="29">
        <v>371</v>
      </c>
      <c r="H270" s="33">
        <f t="shared" si="99" ref="H270:J270">C49</f>
        <v>82</v>
      </c>
      <c r="I270" s="33">
        <f t="shared" si="99"/>
        <v>88</v>
      </c>
      <c r="J270" s="43">
        <f t="shared" si="99"/>
        <v>95</v>
      </c>
      <c r="K270" s="11" t="s">
        <v>256</v>
      </c>
    </row>
    <row r="271" ht="15" customHeight="1">
      <c r="A271" s="1"/>
      <c r="B271" s="3" t="s">
        <v>309</v>
      </c>
      <c r="C271" s="50">
        <f t="shared" si="19"/>
        <v>129</v>
      </c>
      <c r="D271" s="50">
        <f t="shared" si="19"/>
        <v>127</v>
      </c>
      <c r="E271" s="50">
        <f t="shared" si="19"/>
        <v>128</v>
      </c>
      <c r="F271" s="50">
        <f t="shared" si="19"/>
        <v>137</v>
      </c>
      <c r="G271" s="50">
        <f t="shared" si="19"/>
        <v>521</v>
      </c>
      <c r="H271" s="50">
        <f t="shared" si="19"/>
        <v>122</v>
      </c>
      <c r="I271" s="50">
        <f t="shared" si="19"/>
        <v>123</v>
      </c>
      <c r="J271" s="51">
        <f t="shared" si="19"/>
        <v>131</v>
      </c>
      <c r="K271" s="11"/>
    </row>
    <row r="272" ht="15" customHeight="1">
      <c r="A272" s="1"/>
      <c r="B272" s="1" t="s">
        <v>310</v>
      </c>
      <c r="C272" s="29">
        <v>98</v>
      </c>
      <c r="D272" s="29">
        <v>107</v>
      </c>
      <c r="E272" s="29">
        <v>103</v>
      </c>
      <c r="F272" s="33">
        <f t="shared" si="83"/>
        <v>100</v>
      </c>
      <c r="G272" s="29">
        <v>408</v>
      </c>
      <c r="H272" s="33">
        <f t="shared" si="100" ref="H272:J272">C77</f>
        <v>100</v>
      </c>
      <c r="I272" s="33">
        <f t="shared" si="100"/>
        <v>104</v>
      </c>
      <c r="J272" s="43">
        <f t="shared" si="100"/>
        <v>111</v>
      </c>
      <c r="K272" s="11" t="s">
        <v>256</v>
      </c>
    </row>
    <row r="273" ht="15" customHeight="1">
      <c r="A273" s="1"/>
      <c r="B273" s="1" t="s">
        <v>311</v>
      </c>
      <c r="C273" s="29">
        <v>41</v>
      </c>
      <c r="D273" s="29">
        <v>49</v>
      </c>
      <c r="E273" s="29">
        <v>43</v>
      </c>
      <c r="F273" s="33">
        <f t="shared" si="83"/>
        <v>47</v>
      </c>
      <c r="G273" s="29">
        <v>180</v>
      </c>
      <c r="H273" s="33">
        <f t="shared" si="101" ref="H273:J273">C82</f>
        <v>42</v>
      </c>
      <c r="I273" s="33">
        <f t="shared" si="101"/>
        <v>44</v>
      </c>
      <c r="J273" s="43">
        <f t="shared" si="101"/>
        <v>47</v>
      </c>
      <c r="K273" s="11" t="s">
        <v>256</v>
      </c>
    </row>
    <row r="274" ht="15" customHeight="1">
      <c r="A274" s="1"/>
      <c r="B274" s="3" t="s">
        <v>312</v>
      </c>
      <c r="C274" s="50">
        <f t="shared" si="19"/>
        <v>139</v>
      </c>
      <c r="D274" s="50">
        <f t="shared" si="19"/>
        <v>156</v>
      </c>
      <c r="E274" s="50">
        <f t="shared" si="19"/>
        <v>146</v>
      </c>
      <c r="F274" s="50">
        <f t="shared" si="19"/>
        <v>147</v>
      </c>
      <c r="G274" s="50">
        <f t="shared" si="19"/>
        <v>588</v>
      </c>
      <c r="H274" s="50">
        <f t="shared" si="19"/>
        <v>142</v>
      </c>
      <c r="I274" s="50">
        <f t="shared" si="19"/>
        <v>148</v>
      </c>
      <c r="J274" s="51">
        <f t="shared" si="19"/>
        <v>158</v>
      </c>
      <c r="K274" s="11"/>
    </row>
    <row r="275" ht="15" customHeight="1">
      <c r="A275" s="1"/>
      <c r="B275" s="1" t="s">
        <v>313</v>
      </c>
      <c r="C275" s="29">
        <v>481</v>
      </c>
      <c r="D275" s="29">
        <v>345</v>
      </c>
      <c r="E275" s="29">
        <v>560</v>
      </c>
      <c r="F275" s="33">
        <f t="shared" si="83"/>
        <v>554</v>
      </c>
      <c r="G275" s="29">
        <v>1940</v>
      </c>
      <c r="H275" s="33">
        <f t="shared" si="102" ref="H275:J275">C110</f>
        <v>399</v>
      </c>
      <c r="I275" s="33">
        <f t="shared" si="102"/>
        <v>321</v>
      </c>
      <c r="J275" s="43">
        <f t="shared" si="102"/>
        <v>373</v>
      </c>
      <c r="K275" s="11" t="s">
        <v>256</v>
      </c>
    </row>
    <row r="276" ht="15" customHeight="1">
      <c r="A276" s="1"/>
      <c r="B276" s="1" t="s">
        <v>314</v>
      </c>
      <c r="C276" s="29">
        <v>260</v>
      </c>
      <c r="D276" s="29">
        <v>238</v>
      </c>
      <c r="E276" s="29">
        <v>264</v>
      </c>
      <c r="F276" s="33">
        <f t="shared" si="83"/>
        <v>295</v>
      </c>
      <c r="G276" s="29">
        <v>1057</v>
      </c>
      <c r="H276" s="33">
        <f t="shared" si="103" ref="H276:J276">C115</f>
        <v>214</v>
      </c>
      <c r="I276" s="33">
        <f t="shared" si="103"/>
        <v>223</v>
      </c>
      <c r="J276" s="43">
        <f t="shared" si="103"/>
        <v>227</v>
      </c>
      <c r="K276" s="11" t="s">
        <v>256</v>
      </c>
    </row>
    <row r="277" ht="15" customHeight="1">
      <c r="A277" s="1"/>
      <c r="B277" s="3" t="s">
        <v>315</v>
      </c>
      <c r="C277" s="50">
        <f t="shared" si="19"/>
        <v>741</v>
      </c>
      <c r="D277" s="50">
        <f t="shared" si="19"/>
        <v>583</v>
      </c>
      <c r="E277" s="50">
        <f t="shared" si="19"/>
        <v>824</v>
      </c>
      <c r="F277" s="50">
        <f t="shared" si="19"/>
        <v>849</v>
      </c>
      <c r="G277" s="50">
        <f t="shared" si="19"/>
        <v>2997</v>
      </c>
      <c r="H277" s="50">
        <f t="shared" si="19"/>
        <v>613</v>
      </c>
      <c r="I277" s="50">
        <f t="shared" si="19"/>
        <v>544</v>
      </c>
      <c r="J277" s="51">
        <f t="shared" si="19"/>
        <v>600</v>
      </c>
      <c r="K277" s="11"/>
    </row>
    <row r="278" ht="15" customHeight="1">
      <c r="A278" s="1"/>
      <c r="B278" s="1" t="s">
        <v>316</v>
      </c>
      <c r="C278" s="33">
        <f t="shared" si="104" ref="C278:G279">C269+C272+C275</f>
        <v>621</v>
      </c>
      <c r="D278" s="33">
        <f t="shared" si="104"/>
        <v>485</v>
      </c>
      <c r="E278" s="33">
        <f t="shared" si="104"/>
        <v>700</v>
      </c>
      <c r="F278" s="33">
        <f t="shared" si="83"/>
        <v>692</v>
      </c>
      <c r="G278" s="33">
        <f t="shared" si="104"/>
        <v>2498</v>
      </c>
      <c r="H278" s="33">
        <f t="shared" si="105" ref="H278:J278">C143</f>
        <v>539</v>
      </c>
      <c r="I278" s="33">
        <f t="shared" si="105"/>
        <v>460</v>
      </c>
      <c r="J278" s="43">
        <f t="shared" si="105"/>
        <v>520</v>
      </c>
      <c r="K278" s="11" t="s">
        <v>256</v>
      </c>
    </row>
    <row r="279" ht="15" customHeight="1">
      <c r="A279" s="1"/>
      <c r="B279" s="1" t="s">
        <v>317</v>
      </c>
      <c r="C279" s="33">
        <f t="shared" si="104"/>
        <v>388</v>
      </c>
      <c r="D279" s="33">
        <f t="shared" si="104"/>
        <v>381</v>
      </c>
      <c r="E279" s="33">
        <f t="shared" si="104"/>
        <v>398</v>
      </c>
      <c r="F279" s="33">
        <f t="shared" si="83"/>
        <v>441</v>
      </c>
      <c r="G279" s="33">
        <f t="shared" si="104"/>
        <v>1608</v>
      </c>
      <c r="H279" s="33">
        <f t="shared" si="106" ref="H279:J279">C148</f>
        <v>338</v>
      </c>
      <c r="I279" s="33">
        <f t="shared" si="106"/>
        <v>355</v>
      </c>
      <c r="J279" s="43">
        <f t="shared" si="106"/>
        <v>369</v>
      </c>
      <c r="K279" s="11" t="s">
        <v>256</v>
      </c>
    </row>
    <row r="280" ht="15" customHeight="1">
      <c r="A280" s="1"/>
      <c r="B280" s="3" t="s">
        <v>318</v>
      </c>
      <c r="C280" s="50">
        <f t="shared" si="19"/>
        <v>1009</v>
      </c>
      <c r="D280" s="50">
        <f t="shared" si="19"/>
        <v>866</v>
      </c>
      <c r="E280" s="50">
        <f t="shared" si="19"/>
        <v>1098</v>
      </c>
      <c r="F280" s="50">
        <f t="shared" si="19"/>
        <v>1133</v>
      </c>
      <c r="G280" s="50">
        <f t="shared" si="19"/>
        <v>4106</v>
      </c>
      <c r="H280" s="50">
        <f t="shared" si="19"/>
        <v>877</v>
      </c>
      <c r="I280" s="50">
        <f t="shared" si="19"/>
        <v>815</v>
      </c>
      <c r="J280" s="51">
        <f t="shared" si="19"/>
        <v>889</v>
      </c>
      <c r="K280" s="11"/>
    </row>
    <row r="281" ht="15" customHeight="1">
      <c r="A281" s="1"/>
      <c r="B281" s="1" t="s">
        <v>319</v>
      </c>
      <c r="C281" s="29">
        <v>0</v>
      </c>
      <c r="D281" s="29">
        <v>0</v>
      </c>
      <c r="E281" s="29">
        <v>0</v>
      </c>
      <c r="F281" s="33">
        <f t="shared" si="83"/>
        <v>0</v>
      </c>
      <c r="G281" s="29">
        <v>0</v>
      </c>
      <c r="H281" s="33">
        <f t="shared" si="107" ref="H281:J281">C176</f>
        <v>0</v>
      </c>
      <c r="I281" s="33">
        <f t="shared" si="107"/>
        <v>0</v>
      </c>
      <c r="J281" s="43">
        <f t="shared" si="107"/>
        <v>0</v>
      </c>
      <c r="K281" s="11" t="s">
        <v>256</v>
      </c>
    </row>
    <row r="282" ht="15" customHeight="1">
      <c r="A282" s="1"/>
      <c r="B282" s="1" t="s">
        <v>320</v>
      </c>
      <c r="C282" s="29">
        <v>0</v>
      </c>
      <c r="D282" s="29">
        <v>0</v>
      </c>
      <c r="E282" s="29">
        <v>0</v>
      </c>
      <c r="F282" s="33">
        <f t="shared" si="83"/>
        <v>0</v>
      </c>
      <c r="G282" s="29">
        <v>0</v>
      </c>
      <c r="H282" s="33">
        <f t="shared" si="108" ref="H282:J282">C181</f>
        <v>0</v>
      </c>
      <c r="I282" s="33">
        <f t="shared" si="108"/>
        <v>0</v>
      </c>
      <c r="J282" s="43">
        <f t="shared" si="108"/>
        <v>0</v>
      </c>
      <c r="K282" s="11" t="s">
        <v>256</v>
      </c>
    </row>
    <row r="283" ht="15" customHeight="1">
      <c r="A283" s="1"/>
      <c r="B283" s="3" t="s">
        <v>321</v>
      </c>
      <c r="C283" s="50">
        <f t="shared" si="19"/>
        <v>0</v>
      </c>
      <c r="D283" s="50">
        <f t="shared" si="19"/>
        <v>0</v>
      </c>
      <c r="E283" s="50">
        <f t="shared" si="19"/>
        <v>0</v>
      </c>
      <c r="F283" s="50">
        <f t="shared" si="19"/>
        <v>0</v>
      </c>
      <c r="G283" s="50">
        <f t="shared" si="19"/>
        <v>0</v>
      </c>
      <c r="H283" s="50">
        <f t="shared" si="19"/>
        <v>0</v>
      </c>
      <c r="I283" s="50">
        <f t="shared" si="19"/>
        <v>0</v>
      </c>
      <c r="J283" s="51">
        <f t="shared" si="19"/>
        <v>0</v>
      </c>
      <c r="K283" s="11"/>
    </row>
    <row r="284" ht="15" customHeight="1">
      <c r="A284" s="1"/>
      <c r="B284" s="1"/>
      <c r="C284" s="1"/>
      <c r="D284" s="1"/>
      <c r="E284" s="1"/>
      <c r="F284" s="1"/>
      <c r="G284" s="1"/>
      <c r="H284" s="1"/>
      <c r="I284" s="1"/>
      <c r="J284" s="35"/>
      <c r="K284" s="11"/>
    </row>
    <row r="285" ht="15" customHeight="1">
      <c r="A285" s="1"/>
      <c r="B285" s="1" t="s">
        <v>322</v>
      </c>
      <c r="C285" s="29">
        <v>84</v>
      </c>
      <c r="D285" s="29">
        <v>55</v>
      </c>
      <c r="E285" s="29">
        <v>69</v>
      </c>
      <c r="F285" s="29">
        <v>89</v>
      </c>
      <c r="G285" s="33">
        <f t="shared" si="6"/>
        <v>297</v>
      </c>
      <c r="H285" s="13" t="s">
        <v>30</v>
      </c>
      <c r="I285" s="13" t="s">
        <v>30</v>
      </c>
      <c r="J285" s="52" t="s">
        <v>30</v>
      </c>
      <c r="K285" s="11" t="s">
        <v>323</v>
      </c>
    </row>
    <row r="286" ht="15" customHeight="1">
      <c r="A286" s="1"/>
      <c r="B286" s="1" t="s">
        <v>324</v>
      </c>
      <c r="C286" s="29">
        <v>204</v>
      </c>
      <c r="D286" s="29">
        <v>102</v>
      </c>
      <c r="E286" s="29">
        <v>265</v>
      </c>
      <c r="F286" s="33">
        <f t="shared" si="83"/>
        <v>176</v>
      </c>
      <c r="G286" s="29">
        <v>747</v>
      </c>
      <c r="H286" s="33">
        <f t="shared" si="109" ref="H286:J286">C285</f>
        <v>84</v>
      </c>
      <c r="I286" s="33">
        <f t="shared" si="109"/>
        <v>55</v>
      </c>
      <c r="J286" s="43">
        <f t="shared" si="109"/>
        <v>69</v>
      </c>
      <c r="K286" s="11" t="s">
        <v>325</v>
      </c>
    </row>
    <row r="287" ht="15" customHeight="1">
      <c r="A287" s="1"/>
      <c r="B287" s="4" t="s">
        <v>145</v>
      </c>
      <c r="C287" s="44">
        <f t="shared" si="110" ref="C287:G287">C285/C286-1</f>
        <v>-0.5882352941176471</v>
      </c>
      <c r="D287" s="44">
        <f t="shared" si="110"/>
        <v>-0.4607843137254902</v>
      </c>
      <c r="E287" s="44">
        <f t="shared" si="110"/>
        <v>-0.739622641509434</v>
      </c>
      <c r="F287" s="44">
        <f t="shared" si="110"/>
        <v>-0.49431818181818177</v>
      </c>
      <c r="G287" s="44">
        <f t="shared" si="110"/>
        <v>-0.6024096385542168</v>
      </c>
      <c r="H287" s="36" t="s">
        <v>30</v>
      </c>
      <c r="I287" s="36" t="s">
        <v>30</v>
      </c>
      <c r="J287" s="55" t="s">
        <v>30</v>
      </c>
      <c r="K287" s="11"/>
    </row>
    <row r="288" ht="15" customHeight="1">
      <c r="A288" s="1"/>
      <c r="B288" s="1" t="s">
        <v>146</v>
      </c>
      <c r="C288" s="33">
        <f>C285-F286</f>
        <v>-92</v>
      </c>
      <c r="D288" s="33">
        <f t="shared" si="111" ref="D288:F288">D285-C285</f>
        <v>-29</v>
      </c>
      <c r="E288" s="33">
        <f t="shared" si="111"/>
        <v>14</v>
      </c>
      <c r="F288" s="33">
        <f t="shared" si="111"/>
        <v>20</v>
      </c>
      <c r="G288" s="13" t="s">
        <v>30</v>
      </c>
      <c r="H288" s="13" t="s">
        <v>30</v>
      </c>
      <c r="I288" s="13" t="s">
        <v>30</v>
      </c>
      <c r="J288" s="52" t="s">
        <v>30</v>
      </c>
      <c r="K288" s="11"/>
    </row>
    <row r="289" ht="15" customHeight="1">
      <c r="A289" s="1"/>
      <c r="B289" s="1" t="s">
        <v>163</v>
      </c>
      <c r="C289" s="13" t="s">
        <v>30</v>
      </c>
      <c r="D289" s="13" t="s">
        <v>30</v>
      </c>
      <c r="E289" s="13" t="s">
        <v>30</v>
      </c>
      <c r="F289" s="13" t="s">
        <v>30</v>
      </c>
      <c r="G289" s="13" t="s">
        <v>30</v>
      </c>
      <c r="H289" s="13" t="s">
        <v>30</v>
      </c>
      <c r="I289" s="13" t="s">
        <v>30</v>
      </c>
      <c r="J289" s="52" t="s">
        <v>30</v>
      </c>
      <c r="K289" s="11" t="s">
        <v>326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262EE5A-8F0B-AA6E-C128-C599E08E7DA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327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4" t="s">
        <v>191</v>
      </c>
      <c r="C9" s="13"/>
      <c r="D9" s="13"/>
      <c r="E9" s="13"/>
      <c r="F9" s="13"/>
      <c r="G9" s="13"/>
      <c r="H9" s="13"/>
      <c r="I9" s="13"/>
      <c r="J9" s="52"/>
      <c r="K9" s="11"/>
    </row>
    <row r="10" ht="15" customHeight="1">
      <c r="A10" s="1"/>
      <c r="B10" s="3" t="s">
        <v>328</v>
      </c>
      <c r="C10" s="1"/>
      <c r="D10" s="1"/>
      <c r="E10" s="1"/>
      <c r="F10" s="1"/>
      <c r="G10" s="1"/>
      <c r="H10" s="1"/>
      <c r="I10" s="1"/>
      <c r="J10" s="35"/>
      <c r="K10" s="11"/>
    </row>
    <row r="11" ht="15" customHeight="1">
      <c r="A11" s="1"/>
      <c r="B11" s="1" t="s">
        <v>200</v>
      </c>
      <c r="C11" s="29">
        <v>965</v>
      </c>
      <c r="D11" s="29">
        <v>1059</v>
      </c>
      <c r="E11" s="29">
        <v>1097</v>
      </c>
      <c r="F11" s="29">
        <v>1046</v>
      </c>
      <c r="G11" s="33">
        <f t="shared" si="21" ref="G11:G36">SUM(C11:F11)</f>
        <v>4167</v>
      </c>
      <c r="H11" s="29">
        <v>1089</v>
      </c>
      <c r="I11" s="29">
        <v>1164</v>
      </c>
      <c r="J11" s="43">
        <f>(J107)*(1+J14)*(1+J16)</f>
        <v>1191.3475808483652</v>
      </c>
      <c r="K11" s="11" t="s">
        <v>194</v>
      </c>
    </row>
    <row r="12" ht="15" customHeight="1">
      <c r="A12" s="1"/>
      <c r="B12" s="4" t="s">
        <v>195</v>
      </c>
      <c r="C12" s="44">
        <f t="shared" si="3" ref="C12:J12">C11/C107-1</f>
        <v>0.039870689655172376</v>
      </c>
      <c r="D12" s="44">
        <f t="shared" si="3"/>
        <v>0.07186234817813775</v>
      </c>
      <c r="E12" s="44">
        <f t="shared" si="3"/>
        <v>0.10362173038229372</v>
      </c>
      <c r="F12" s="44">
        <f t="shared" si="3"/>
        <v>0.1033755274261603</v>
      </c>
      <c r="G12" s="44">
        <f t="shared" si="3"/>
        <v>0.08009331259720054</v>
      </c>
      <c r="H12" s="44">
        <f t="shared" si="3"/>
        <v>0.12849740932642484</v>
      </c>
      <c r="I12" s="44">
        <f t="shared" si="3"/>
        <v>0.09915014164305958</v>
      </c>
      <c r="J12" s="38">
        <f t="shared" si="3"/>
        <v>0.08600508737316792</v>
      </c>
      <c r="K12" s="11"/>
    </row>
    <row r="13" ht="15" customHeight="1">
      <c r="A13" s="1"/>
      <c r="B13" s="1" t="s">
        <v>196</v>
      </c>
      <c r="C13" s="33">
        <f>C11-F107</f>
        <v>17</v>
      </c>
      <c r="D13" s="33">
        <f t="shared" si="4" ref="D13:J67">D11-C11</f>
        <v>94</v>
      </c>
      <c r="E13" s="33">
        <f t="shared" si="4"/>
        <v>38</v>
      </c>
      <c r="F13" s="33">
        <f t="shared" si="4"/>
        <v>-51</v>
      </c>
      <c r="G13" s="13" t="s">
        <v>30</v>
      </c>
      <c r="H13" s="33">
        <f t="shared" si="11" ref="H13:H67">H11-F11</f>
        <v>43</v>
      </c>
      <c r="I13" s="33">
        <f t="shared" si="4"/>
        <v>75</v>
      </c>
      <c r="J13" s="43">
        <f t="shared" si="4"/>
        <v>27.34758084836517</v>
      </c>
      <c r="K13" s="11"/>
    </row>
    <row r="14" ht="15" customHeight="1">
      <c r="A14" s="1"/>
      <c r="B14" s="4" t="s">
        <v>197</v>
      </c>
      <c r="C14" s="36" t="s">
        <v>30</v>
      </c>
      <c r="D14" s="36" t="s">
        <v>30</v>
      </c>
      <c r="E14" s="54">
        <v>0.111</v>
      </c>
      <c r="F14" s="54">
        <v>0.087</v>
      </c>
      <c r="G14" s="54">
        <v>0.095</v>
      </c>
      <c r="H14" s="54">
        <v>0.094</v>
      </c>
      <c r="I14" s="54">
        <v>0.107</v>
      </c>
      <c r="J14" s="37">
        <v>0.105</v>
      </c>
      <c r="K14" s="11" t="s">
        <v>201</v>
      </c>
    </row>
    <row r="15" ht="15" customHeight="1">
      <c r="A15" s="1"/>
      <c r="B15" s="4" t="s">
        <v>199</v>
      </c>
      <c r="C15" s="36" t="s">
        <v>30</v>
      </c>
      <c r="D15" s="47" t="str">
        <f t="shared" si="5" ref="D15:J79">IF(AND(ISNUMBER(D14),ISNUMBER(C14)),(D14-C14)*10000,"n/a")</f>
        <v>n/a</v>
      </c>
      <c r="E15" s="47" t="str">
        <f t="shared" si="5"/>
        <v>n/a</v>
      </c>
      <c r="F15" s="47">
        <f t="shared" si="5"/>
        <v>-240.00000000000009</v>
      </c>
      <c r="G15" s="36" t="s">
        <v>30</v>
      </c>
      <c r="H15" s="47">
        <f t="shared" si="7" ref="H15:H79">IF(AND(ISNUMBER(H14),ISNUMBER(F14)),(H14-F14)*10000,"n/a")</f>
        <v>70.00000000000006</v>
      </c>
      <c r="I15" s="47">
        <f t="shared" si="5"/>
        <v>129.99999999999997</v>
      </c>
      <c r="J15" s="48">
        <f t="shared" si="5"/>
        <v>-20.000000000000018</v>
      </c>
      <c r="K15" s="11"/>
    </row>
    <row r="16" ht="15" customHeight="1">
      <c r="A16" s="1"/>
      <c r="B16" s="4" t="s">
        <v>202</v>
      </c>
      <c r="C16" s="36" t="s">
        <v>30</v>
      </c>
      <c r="D16" s="36" t="s">
        <v>30</v>
      </c>
      <c r="E16" s="44">
        <f t="shared" si="6" ref="E16:I41">(1+E12)/(1+E14)-1</f>
        <v>-0.006641106766612337</v>
      </c>
      <c r="F16" s="44">
        <f t="shared" si="6"/>
        <v>0.01506488263676209</v>
      </c>
      <c r="G16" s="44">
        <f t="shared" si="6"/>
        <v>-0.013613413153241494</v>
      </c>
      <c r="H16" s="44">
        <f t="shared" si="6"/>
        <v>0.03153328091994956</v>
      </c>
      <c r="I16" s="44">
        <f t="shared" si="6"/>
        <v>-0.007091109626865766</v>
      </c>
      <c r="J16" s="42">
        <f>'Revenue summary'!J12</f>
        <v>-0.017189966178128523</v>
      </c>
      <c r="K16" s="11" t="s">
        <v>203</v>
      </c>
    </row>
    <row r="17" ht="15" customHeight="1">
      <c r="A17" s="1"/>
      <c r="B17" s="4" t="s">
        <v>199</v>
      </c>
      <c r="C17" s="36" t="s">
        <v>30</v>
      </c>
      <c r="D17" s="47" t="str">
        <f t="shared" si="5"/>
        <v>n/a</v>
      </c>
      <c r="E17" s="47" t="str">
        <f t="shared" si="5"/>
        <v>n/a</v>
      </c>
      <c r="F17" s="47">
        <f t="shared" si="5"/>
        <v>217.05989403374426</v>
      </c>
      <c r="G17" s="36" t="s">
        <v>30</v>
      </c>
      <c r="H17" s="47">
        <f t="shared" si="7"/>
        <v>164.6839828318747</v>
      </c>
      <c r="I17" s="47">
        <f t="shared" si="5"/>
        <v>-386.24390546815323</v>
      </c>
      <c r="J17" s="48">
        <f t="shared" si="5"/>
        <v>-100.98856551262757</v>
      </c>
      <c r="K17" s="11"/>
    </row>
    <row r="18" ht="15" customHeight="1">
      <c r="A18" s="1"/>
      <c r="B18" s="1" t="s">
        <v>204</v>
      </c>
      <c r="C18" s="13" t="s">
        <v>30</v>
      </c>
      <c r="D18" s="13" t="s">
        <v>30</v>
      </c>
      <c r="E18" s="33">
        <f t="shared" si="8" ref="E18:J43">E11/(1+E16)</f>
        <v>1104.334</v>
      </c>
      <c r="F18" s="33">
        <f t="shared" si="8"/>
        <v>1030.4759999999999</v>
      </c>
      <c r="G18" s="33">
        <f t="shared" si="8"/>
        <v>4224.51</v>
      </c>
      <c r="H18" s="33">
        <f t="shared" si="8"/>
        <v>1055.71</v>
      </c>
      <c r="I18" s="33">
        <f t="shared" si="8"/>
        <v>1172.3129999999999</v>
      </c>
      <c r="J18" s="43">
        <f t="shared" si="8"/>
        <v>1212.185</v>
      </c>
      <c r="K18" s="11"/>
    </row>
    <row r="19" ht="15" customHeight="1">
      <c r="A19" s="1"/>
      <c r="B19" s="3" t="s">
        <v>329</v>
      </c>
      <c r="C19" s="50">
        <f t="shared" si="9" ref="C19:J44">C11</f>
        <v>965</v>
      </c>
      <c r="D19" s="50">
        <f t="shared" si="9"/>
        <v>1059</v>
      </c>
      <c r="E19" s="50">
        <f t="shared" si="9"/>
        <v>1097</v>
      </c>
      <c r="F19" s="50">
        <f t="shared" si="9"/>
        <v>1046</v>
      </c>
      <c r="G19" s="50">
        <f t="shared" si="9"/>
        <v>4167</v>
      </c>
      <c r="H19" s="50">
        <f t="shared" si="9"/>
        <v>1089</v>
      </c>
      <c r="I19" s="50">
        <f t="shared" si="9"/>
        <v>1164</v>
      </c>
      <c r="J19" s="51">
        <f t="shared" si="9"/>
        <v>1191.3475808483652</v>
      </c>
      <c r="K19" s="11"/>
    </row>
    <row r="20" ht="15" customHeight="1">
      <c r="A20" s="1"/>
      <c r="B20" s="4" t="s">
        <v>166</v>
      </c>
      <c r="C20" s="44">
        <f t="shared" si="10" ref="C20:J20">C19/C108-1</f>
        <v>0.039870689655172376</v>
      </c>
      <c r="D20" s="44">
        <f t="shared" si="10"/>
        <v>0.07186234817813775</v>
      </c>
      <c r="E20" s="44">
        <f t="shared" si="10"/>
        <v>0.10362173038229372</v>
      </c>
      <c r="F20" s="44">
        <f t="shared" si="10"/>
        <v>0.1033755274261603</v>
      </c>
      <c r="G20" s="44">
        <f t="shared" si="10"/>
        <v>0.08009331259720054</v>
      </c>
      <c r="H20" s="44">
        <f t="shared" si="10"/>
        <v>0.12849740932642484</v>
      </c>
      <c r="I20" s="44">
        <f t="shared" si="10"/>
        <v>0.09915014164305958</v>
      </c>
      <c r="J20" s="38">
        <f t="shared" si="10"/>
        <v>0.08600508737316792</v>
      </c>
      <c r="K20" s="11"/>
    </row>
    <row r="21" ht="15" customHeight="1">
      <c r="A21" s="1"/>
      <c r="B21" s="1" t="s">
        <v>146</v>
      </c>
      <c r="C21" s="33">
        <f>C19-F108</f>
        <v>17</v>
      </c>
      <c r="D21" s="33">
        <f t="shared" si="4"/>
        <v>94</v>
      </c>
      <c r="E21" s="33">
        <f t="shared" si="4"/>
        <v>38</v>
      </c>
      <c r="F21" s="33">
        <f t="shared" si="4"/>
        <v>-51</v>
      </c>
      <c r="G21" s="13" t="s">
        <v>30</v>
      </c>
      <c r="H21" s="33">
        <f t="shared" si="11"/>
        <v>43</v>
      </c>
      <c r="I21" s="33">
        <f t="shared" si="4"/>
        <v>75</v>
      </c>
      <c r="J21" s="43">
        <f t="shared" si="4"/>
        <v>27.34758084836517</v>
      </c>
      <c r="K21" s="11"/>
    </row>
    <row r="22" ht="15" customHeight="1">
      <c r="A22" s="1"/>
      <c r="B22" s="4" t="s">
        <v>147</v>
      </c>
      <c r="C22" s="44">
        <f>C19/F108-1</f>
        <v>0.01793248945147674</v>
      </c>
      <c r="D22" s="44">
        <f t="shared" si="12" ref="D22:J68">D19/C19-1</f>
        <v>0.09740932642487055</v>
      </c>
      <c r="E22" s="44">
        <f t="shared" si="12"/>
        <v>0.035882908404154756</v>
      </c>
      <c r="F22" s="44">
        <f t="shared" si="12"/>
        <v>-0.046490428441203324</v>
      </c>
      <c r="G22" s="36" t="s">
        <v>30</v>
      </c>
      <c r="H22" s="44">
        <f t="shared" si="24" ref="H22:H68">H19/F19-1</f>
        <v>0.041108986615678855</v>
      </c>
      <c r="I22" s="44">
        <f t="shared" si="12"/>
        <v>0.06887052341597788</v>
      </c>
      <c r="J22" s="38">
        <f t="shared" si="12"/>
        <v>0.023494485264918596</v>
      </c>
      <c r="K22" s="11"/>
    </row>
    <row r="23" ht="15" customHeight="1">
      <c r="A23" s="1"/>
      <c r="B23" s="4" t="s">
        <v>206</v>
      </c>
      <c r="C23" s="44">
        <f t="shared" si="13" ref="C23:J23">C19/C65</f>
        <v>0.7658730158730159</v>
      </c>
      <c r="D23" s="44">
        <f t="shared" si="13"/>
        <v>0.7657266811279827</v>
      </c>
      <c r="E23" s="44">
        <f t="shared" si="13"/>
        <v>0.7260092653871608</v>
      </c>
      <c r="F23" s="44">
        <f t="shared" si="13"/>
        <v>0.7568740955137482</v>
      </c>
      <c r="G23" s="44">
        <f t="shared" si="13"/>
        <v>0.7527095375722543</v>
      </c>
      <c r="H23" s="44">
        <f t="shared" si="13"/>
        <v>0.7636746143057503</v>
      </c>
      <c r="I23" s="44">
        <f t="shared" si="13"/>
        <v>0.7765176784523016</v>
      </c>
      <c r="J23" s="38">
        <f t="shared" si="13"/>
        <v>0.7397664476795811</v>
      </c>
      <c r="K23" s="11"/>
    </row>
    <row r="24" ht="15" customHeight="1">
      <c r="A24" s="1"/>
      <c r="B24" s="4" t="s">
        <v>149</v>
      </c>
      <c r="C24" s="47">
        <f t="shared" si="14" ref="C24:J24">(C23-C108/C83)*10000</f>
        <v>89.39900049198646</v>
      </c>
      <c r="D24" s="47">
        <f t="shared" si="14"/>
        <v>22.027244046441965</v>
      </c>
      <c r="E24" s="47">
        <f t="shared" si="14"/>
        <v>190.39137364401216</v>
      </c>
      <c r="F24" s="47">
        <f t="shared" si="14"/>
        <v>92.4002611311725</v>
      </c>
      <c r="G24" s="47">
        <f t="shared" si="14"/>
        <v>99.29406651961736</v>
      </c>
      <c r="H24" s="47">
        <f t="shared" si="14"/>
        <v>-21.984015672655843</v>
      </c>
      <c r="I24" s="47">
        <f t="shared" si="14"/>
        <v>107.90997324318874</v>
      </c>
      <c r="J24" s="48">
        <f t="shared" si="14"/>
        <v>137.57182292420288</v>
      </c>
      <c r="K24" s="11"/>
    </row>
    <row r="25" ht="15" customHeight="1">
      <c r="A25" s="1"/>
      <c r="B25" s="1" t="s">
        <v>167</v>
      </c>
      <c r="C25" s="13" t="s">
        <v>30</v>
      </c>
      <c r="D25" s="13" t="s">
        <v>30</v>
      </c>
      <c r="E25" s="33">
        <f t="shared" si="15" ref="E25:J50">E18</f>
        <v>1104.334</v>
      </c>
      <c r="F25" s="33">
        <f t="shared" si="15"/>
        <v>1030.4759999999999</v>
      </c>
      <c r="G25" s="33">
        <f t="shared" si="15"/>
        <v>4224.51</v>
      </c>
      <c r="H25" s="33">
        <f t="shared" si="15"/>
        <v>1055.71</v>
      </c>
      <c r="I25" s="33">
        <f t="shared" si="15"/>
        <v>1172.3129999999999</v>
      </c>
      <c r="J25" s="43">
        <f t="shared" si="15"/>
        <v>1212.185</v>
      </c>
      <c r="K25" s="11" t="s">
        <v>207</v>
      </c>
    </row>
    <row r="26" ht="15" customHeight="1">
      <c r="A26" s="1"/>
      <c r="B26" s="1" t="s">
        <v>168</v>
      </c>
      <c r="C26" s="33">
        <f t="shared" si="16" ref="C26:J26">C107</f>
        <v>928</v>
      </c>
      <c r="D26" s="33">
        <f t="shared" si="16"/>
        <v>988</v>
      </c>
      <c r="E26" s="33">
        <f t="shared" si="16"/>
        <v>994</v>
      </c>
      <c r="F26" s="33">
        <f t="shared" si="16"/>
        <v>948</v>
      </c>
      <c r="G26" s="33">
        <f t="shared" si="16"/>
        <v>3858</v>
      </c>
      <c r="H26" s="33">
        <f t="shared" si="16"/>
        <v>965</v>
      </c>
      <c r="I26" s="33">
        <f t="shared" si="16"/>
        <v>1059</v>
      </c>
      <c r="J26" s="43">
        <f t="shared" si="16"/>
        <v>1097</v>
      </c>
      <c r="K26" s="11"/>
    </row>
    <row r="27" ht="15" customHeight="1">
      <c r="A27" s="1"/>
      <c r="B27" s="1" t="s">
        <v>169</v>
      </c>
      <c r="C27" s="33">
        <f t="shared" si="17" ref="C27:J110">C26</f>
        <v>928</v>
      </c>
      <c r="D27" s="33">
        <f t="shared" si="17"/>
        <v>988</v>
      </c>
      <c r="E27" s="33">
        <f t="shared" si="17"/>
        <v>994</v>
      </c>
      <c r="F27" s="33">
        <f t="shared" si="17"/>
        <v>948</v>
      </c>
      <c r="G27" s="33">
        <f t="shared" si="17"/>
        <v>3858</v>
      </c>
      <c r="H27" s="33">
        <f t="shared" si="17"/>
        <v>965</v>
      </c>
      <c r="I27" s="33">
        <f t="shared" si="17"/>
        <v>1059</v>
      </c>
      <c r="J27" s="43">
        <f t="shared" si="17"/>
        <v>1097</v>
      </c>
      <c r="K27" s="11" t="s">
        <v>209</v>
      </c>
    </row>
    <row r="28" ht="15" customHeight="1">
      <c r="A28" s="1"/>
      <c r="B28" s="4" t="s">
        <v>152</v>
      </c>
      <c r="C28" s="36" t="s">
        <v>30</v>
      </c>
      <c r="D28" s="36" t="s">
        <v>30</v>
      </c>
      <c r="E28" s="44">
        <f t="shared" si="18" ref="E28:J28">(E27/E108)*(E25/(E25))-1</f>
        <v>0</v>
      </c>
      <c r="F28" s="44">
        <f t="shared" si="18"/>
        <v>0</v>
      </c>
      <c r="G28" s="44">
        <f t="shared" si="18"/>
        <v>0</v>
      </c>
      <c r="H28" s="44">
        <f t="shared" si="18"/>
        <v>0</v>
      </c>
      <c r="I28" s="44">
        <f t="shared" si="18"/>
        <v>0</v>
      </c>
      <c r="J28" s="38">
        <f t="shared" si="18"/>
        <v>0</v>
      </c>
      <c r="K28" s="11" t="s">
        <v>210</v>
      </c>
    </row>
    <row r="29" ht="15" customHeight="1">
      <c r="A29" s="1"/>
      <c r="B29" s="4" t="s">
        <v>151</v>
      </c>
      <c r="C29" s="36" t="s">
        <v>30</v>
      </c>
      <c r="D29" s="47" t="str">
        <f t="shared" si="5"/>
        <v>n/a</v>
      </c>
      <c r="E29" s="47" t="str">
        <f t="shared" si="5"/>
        <v>n/a</v>
      </c>
      <c r="F29" s="47">
        <f t="shared" si="5"/>
        <v>0</v>
      </c>
      <c r="G29" s="36" t="s">
        <v>30</v>
      </c>
      <c r="H29" s="47">
        <f t="shared" si="7"/>
        <v>0</v>
      </c>
      <c r="I29" s="47">
        <f t="shared" si="5"/>
        <v>0</v>
      </c>
      <c r="J29" s="48">
        <f t="shared" si="5"/>
        <v>0</v>
      </c>
      <c r="K29" s="11"/>
    </row>
    <row r="30" ht="15" customHeight="1">
      <c r="A30" s="1"/>
      <c r="B30" s="4" t="s">
        <v>153</v>
      </c>
      <c r="C30" s="36" t="s">
        <v>30</v>
      </c>
      <c r="D30" s="36" t="s">
        <v>30</v>
      </c>
      <c r="E30" s="44">
        <f t="shared" si="19" ref="E30:J76">E19/E25-1</f>
        <v>-0.006641106766612337</v>
      </c>
      <c r="F30" s="44">
        <f t="shared" si="19"/>
        <v>0.01506488263676209</v>
      </c>
      <c r="G30" s="44">
        <f t="shared" si="19"/>
        <v>-0.013613413153241494</v>
      </c>
      <c r="H30" s="44">
        <f t="shared" si="19"/>
        <v>0.03153328091994956</v>
      </c>
      <c r="I30" s="44">
        <f t="shared" si="19"/>
        <v>-0.007091109626865766</v>
      </c>
      <c r="J30" s="38">
        <f t="shared" si="19"/>
        <v>-0.017189966178128513</v>
      </c>
      <c r="K30" s="11"/>
    </row>
    <row r="31" ht="15" customHeight="1">
      <c r="A31" s="1"/>
      <c r="B31" s="4" t="s">
        <v>151</v>
      </c>
      <c r="C31" s="36" t="s">
        <v>30</v>
      </c>
      <c r="D31" s="47" t="str">
        <f t="shared" si="5"/>
        <v>n/a</v>
      </c>
      <c r="E31" s="47" t="str">
        <f t="shared" si="5"/>
        <v>n/a</v>
      </c>
      <c r="F31" s="47">
        <f t="shared" si="5"/>
        <v>217.05989403374426</v>
      </c>
      <c r="G31" s="36" t="s">
        <v>30</v>
      </c>
      <c r="H31" s="47">
        <f t="shared" si="7"/>
        <v>164.6839828318747</v>
      </c>
      <c r="I31" s="47">
        <f t="shared" si="5"/>
        <v>-386.24390546815323</v>
      </c>
      <c r="J31" s="48">
        <f t="shared" si="5"/>
        <v>-100.98856551262747</v>
      </c>
      <c r="K31" s="11"/>
    </row>
    <row r="32" ht="15" customHeight="1">
      <c r="A32" s="1"/>
      <c r="B32" s="4" t="s">
        <v>211</v>
      </c>
      <c r="C32" s="36" t="s">
        <v>30</v>
      </c>
      <c r="D32" s="36" t="s">
        <v>30</v>
      </c>
      <c r="E32" s="44">
        <f t="shared" si="20" ref="E32:J78">(1+E20)/((1+E28)*(1+E30))-1</f>
        <v>0.11099999999999999</v>
      </c>
      <c r="F32" s="44">
        <f t="shared" si="20"/>
        <v>0.08699999999999997</v>
      </c>
      <c r="G32" s="44">
        <f t="shared" si="20"/>
        <v>0.09499999999999997</v>
      </c>
      <c r="H32" s="44">
        <f t="shared" si="20"/>
        <v>0.09400000000000008</v>
      </c>
      <c r="I32" s="44">
        <f t="shared" si="20"/>
        <v>0.10699999999999998</v>
      </c>
      <c r="J32" s="38">
        <f t="shared" si="20"/>
        <v>0.10499999999999998</v>
      </c>
      <c r="K32" s="11" t="s">
        <v>212</v>
      </c>
    </row>
    <row r="33" ht="15" customHeight="1">
      <c r="A33" s="1"/>
      <c r="B33" s="4" t="s">
        <v>151</v>
      </c>
      <c r="C33" s="36" t="s">
        <v>30</v>
      </c>
      <c r="D33" s="47" t="str">
        <f t="shared" si="5"/>
        <v>n/a</v>
      </c>
      <c r="E33" s="47" t="str">
        <f t="shared" si="5"/>
        <v>n/a</v>
      </c>
      <c r="F33" s="47">
        <f t="shared" si="5"/>
        <v>-240.00000000000023</v>
      </c>
      <c r="G33" s="36" t="s">
        <v>30</v>
      </c>
      <c r="H33" s="47">
        <f t="shared" si="7"/>
        <v>70.00000000000117</v>
      </c>
      <c r="I33" s="47">
        <f t="shared" si="5"/>
        <v>129.999999999999</v>
      </c>
      <c r="J33" s="48">
        <f t="shared" si="5"/>
        <v>-20.000000000000018</v>
      </c>
      <c r="K33" s="11"/>
    </row>
    <row r="34" ht="15" customHeight="1">
      <c r="A34" s="1"/>
      <c r="B34" s="1"/>
      <c r="C34" s="1"/>
      <c r="D34" s="1"/>
      <c r="E34" s="1"/>
      <c r="F34" s="1"/>
      <c r="G34" s="1"/>
      <c r="H34" s="1"/>
      <c r="I34" s="1"/>
      <c r="J34" s="35"/>
      <c r="K34" s="11"/>
    </row>
    <row r="35" ht="15" customHeight="1">
      <c r="A35" s="1"/>
      <c r="B35" s="3" t="s">
        <v>330</v>
      </c>
      <c r="C35" s="1"/>
      <c r="D35" s="1"/>
      <c r="E35" s="1"/>
      <c r="F35" s="1"/>
      <c r="G35" s="1"/>
      <c r="H35" s="1"/>
      <c r="I35" s="1"/>
      <c r="J35" s="35"/>
      <c r="K35" s="11"/>
    </row>
    <row r="36" ht="15" customHeight="1">
      <c r="A36" s="1"/>
      <c r="B36" s="1" t="s">
        <v>200</v>
      </c>
      <c r="C36" s="29">
        <v>295</v>
      </c>
      <c r="D36" s="29">
        <v>324</v>
      </c>
      <c r="E36" s="29">
        <v>414</v>
      </c>
      <c r="F36" s="29">
        <v>336</v>
      </c>
      <c r="G36" s="33">
        <f t="shared" si="21"/>
        <v>1369</v>
      </c>
      <c r="H36" s="29">
        <v>337</v>
      </c>
      <c r="I36" s="29">
        <v>335</v>
      </c>
      <c r="J36" s="43">
        <f>(J109)*(1+J39)*(1+J41)</f>
        <v>419.08985462232243</v>
      </c>
      <c r="K36" s="11" t="s">
        <v>194</v>
      </c>
    </row>
    <row r="37" ht="15" customHeight="1">
      <c r="A37" s="1"/>
      <c r="B37" s="4" t="s">
        <v>195</v>
      </c>
      <c r="C37" s="44">
        <f t="shared" si="22" ref="C37:J37">C36/C109-1</f>
        <v>-0.010067114093959773</v>
      </c>
      <c r="D37" s="44">
        <f t="shared" si="22"/>
        <v>0.05882352941176472</v>
      </c>
      <c r="E37" s="44">
        <f t="shared" si="22"/>
        <v>0.004854368932038833</v>
      </c>
      <c r="F37" s="44">
        <f t="shared" si="22"/>
        <v>0.050000000000000044</v>
      </c>
      <c r="G37" s="44">
        <f t="shared" si="22"/>
        <v>0.02470059880239517</v>
      </c>
      <c r="H37" s="44">
        <f t="shared" si="22"/>
        <v>0.14237288135593218</v>
      </c>
      <c r="I37" s="44">
        <f t="shared" si="22"/>
        <v>0.033950617283950546</v>
      </c>
      <c r="J37" s="38">
        <f t="shared" si="22"/>
        <v>0.012294334836527643</v>
      </c>
      <c r="K37" s="11"/>
    </row>
    <row r="38" ht="15" customHeight="1">
      <c r="A38" s="1"/>
      <c r="B38" s="1" t="s">
        <v>196</v>
      </c>
      <c r="C38" s="33">
        <f>C36-F109</f>
        <v>-25</v>
      </c>
      <c r="D38" s="33">
        <f t="shared" si="4"/>
        <v>29</v>
      </c>
      <c r="E38" s="33">
        <f t="shared" si="4"/>
        <v>90</v>
      </c>
      <c r="F38" s="33">
        <f t="shared" si="4"/>
        <v>-78</v>
      </c>
      <c r="G38" s="13" t="s">
        <v>30</v>
      </c>
      <c r="H38" s="33">
        <f t="shared" si="11"/>
        <v>1</v>
      </c>
      <c r="I38" s="33">
        <f t="shared" si="4"/>
        <v>-2</v>
      </c>
      <c r="J38" s="43">
        <f t="shared" si="4"/>
        <v>84.08985462232243</v>
      </c>
      <c r="K38" s="11"/>
    </row>
    <row r="39" ht="15" customHeight="1">
      <c r="A39" s="1"/>
      <c r="B39" s="4" t="s">
        <v>197</v>
      </c>
      <c r="C39" s="36" t="s">
        <v>30</v>
      </c>
      <c r="D39" s="36" t="s">
        <v>30</v>
      </c>
      <c r="E39" s="54">
        <v>-0.025</v>
      </c>
      <c r="F39" s="54">
        <v>0.019</v>
      </c>
      <c r="G39" s="54">
        <v>0.014</v>
      </c>
      <c r="H39" s="54">
        <v>0.079</v>
      </c>
      <c r="I39" s="54">
        <v>0.021</v>
      </c>
      <c r="J39" s="37">
        <v>0.03</v>
      </c>
      <c r="K39" s="11" t="s">
        <v>201</v>
      </c>
    </row>
    <row r="40" ht="15" customHeight="1">
      <c r="A40" s="1"/>
      <c r="B40" s="4" t="s">
        <v>199</v>
      </c>
      <c r="C40" s="36" t="s">
        <v>30</v>
      </c>
      <c r="D40" s="47" t="str">
        <f t="shared" si="5"/>
        <v>n/a</v>
      </c>
      <c r="E40" s="47" t="str">
        <f t="shared" si="5"/>
        <v>n/a</v>
      </c>
      <c r="F40" s="47">
        <f t="shared" si="5"/>
        <v>440</v>
      </c>
      <c r="G40" s="36" t="s">
        <v>30</v>
      </c>
      <c r="H40" s="47">
        <f t="shared" si="7"/>
        <v>600</v>
      </c>
      <c r="I40" s="47">
        <f t="shared" si="5"/>
        <v>-580</v>
      </c>
      <c r="J40" s="48">
        <f t="shared" si="5"/>
        <v>89.99999999999997</v>
      </c>
      <c r="K40" s="11"/>
    </row>
    <row r="41" ht="15" customHeight="1">
      <c r="A41" s="1"/>
      <c r="B41" s="4" t="s">
        <v>202</v>
      </c>
      <c r="C41" s="36" t="s">
        <v>30</v>
      </c>
      <c r="D41" s="36" t="s">
        <v>30</v>
      </c>
      <c r="E41" s="44">
        <f t="shared" si="6"/>
        <v>0.030619865571321903</v>
      </c>
      <c r="F41" s="44">
        <f t="shared" si="6"/>
        <v>0.03042198233562332</v>
      </c>
      <c r="G41" s="44">
        <f t="shared" si="6"/>
        <v>0.01055285877948231</v>
      </c>
      <c r="H41" s="44">
        <f t="shared" si="6"/>
        <v>0.05873297623348672</v>
      </c>
      <c r="I41" s="44">
        <f t="shared" si="6"/>
        <v>0.012684248074388504</v>
      </c>
      <c r="J41" s="42">
        <f>'Revenue summary'!J12</f>
        <v>-0.017189966178128523</v>
      </c>
      <c r="K41" s="11" t="s">
        <v>203</v>
      </c>
    </row>
    <row r="42" ht="15" customHeight="1">
      <c r="A42" s="1"/>
      <c r="B42" s="4" t="s">
        <v>199</v>
      </c>
      <c r="C42" s="36" t="s">
        <v>30</v>
      </c>
      <c r="D42" s="47" t="str">
        <f t="shared" si="5"/>
        <v>n/a</v>
      </c>
      <c r="E42" s="47" t="str">
        <f t="shared" si="5"/>
        <v>n/a</v>
      </c>
      <c r="F42" s="47">
        <f t="shared" si="5"/>
        <v>-1.9788323569858157</v>
      </c>
      <c r="G42" s="36" t="s">
        <v>30</v>
      </c>
      <c r="H42" s="47">
        <f t="shared" si="7"/>
        <v>283.10993897863403</v>
      </c>
      <c r="I42" s="47">
        <f t="shared" si="5"/>
        <v>-460.4872815909822</v>
      </c>
      <c r="J42" s="48">
        <f t="shared" si="5"/>
        <v>-298.74214252517027</v>
      </c>
      <c r="K42" s="11"/>
    </row>
    <row r="43" ht="15" customHeight="1">
      <c r="A43" s="1"/>
      <c r="B43" s="1" t="s">
        <v>204</v>
      </c>
      <c r="C43" s="13" t="s">
        <v>30</v>
      </c>
      <c r="D43" s="13" t="s">
        <v>30</v>
      </c>
      <c r="E43" s="33">
        <f t="shared" si="8"/>
        <v>401.7</v>
      </c>
      <c r="F43" s="33">
        <f t="shared" si="8"/>
        <v>326.0799999999999</v>
      </c>
      <c r="G43" s="33">
        <f t="shared" si="8"/>
        <v>1354.7040000000002</v>
      </c>
      <c r="H43" s="33">
        <f t="shared" si="8"/>
        <v>318.305</v>
      </c>
      <c r="I43" s="33">
        <f t="shared" si="8"/>
        <v>330.804</v>
      </c>
      <c r="J43" s="43">
        <f t="shared" si="8"/>
        <v>426.42</v>
      </c>
      <c r="K43" s="11"/>
    </row>
    <row r="44" ht="15" customHeight="1">
      <c r="A44" s="1"/>
      <c r="B44" s="3" t="s">
        <v>331</v>
      </c>
      <c r="C44" s="50">
        <f t="shared" si="9"/>
        <v>295</v>
      </c>
      <c r="D44" s="50">
        <f t="shared" si="9"/>
        <v>324</v>
      </c>
      <c r="E44" s="50">
        <f t="shared" si="9"/>
        <v>414</v>
      </c>
      <c r="F44" s="50">
        <f t="shared" si="9"/>
        <v>336</v>
      </c>
      <c r="G44" s="50">
        <f t="shared" si="9"/>
        <v>1369</v>
      </c>
      <c r="H44" s="50">
        <f t="shared" si="9"/>
        <v>337</v>
      </c>
      <c r="I44" s="50">
        <f t="shared" si="9"/>
        <v>335</v>
      </c>
      <c r="J44" s="51">
        <f t="shared" si="9"/>
        <v>419.08985462232243</v>
      </c>
      <c r="K44" s="11"/>
    </row>
    <row r="45" ht="15" customHeight="1">
      <c r="A45" s="1"/>
      <c r="B45" s="4" t="s">
        <v>166</v>
      </c>
      <c r="C45" s="44">
        <f t="shared" si="23" ref="C45:J45">C44/C110-1</f>
        <v>-0.010067114093959773</v>
      </c>
      <c r="D45" s="44">
        <f t="shared" si="23"/>
        <v>0.05882352941176472</v>
      </c>
      <c r="E45" s="44">
        <f t="shared" si="23"/>
        <v>0.004854368932038833</v>
      </c>
      <c r="F45" s="44">
        <f t="shared" si="23"/>
        <v>0.050000000000000044</v>
      </c>
      <c r="G45" s="44">
        <f t="shared" si="23"/>
        <v>0.02470059880239517</v>
      </c>
      <c r="H45" s="44">
        <f t="shared" si="23"/>
        <v>0.14237288135593218</v>
      </c>
      <c r="I45" s="44">
        <f t="shared" si="23"/>
        <v>0.033950617283950546</v>
      </c>
      <c r="J45" s="38">
        <f t="shared" si="23"/>
        <v>0.012294334836527643</v>
      </c>
      <c r="K45" s="11"/>
    </row>
    <row r="46" ht="15" customHeight="1">
      <c r="A46" s="1"/>
      <c r="B46" s="1" t="s">
        <v>146</v>
      </c>
      <c r="C46" s="33">
        <f>C44-F110</f>
        <v>-25</v>
      </c>
      <c r="D46" s="33">
        <f t="shared" si="4"/>
        <v>29</v>
      </c>
      <c r="E46" s="33">
        <f t="shared" si="4"/>
        <v>90</v>
      </c>
      <c r="F46" s="33">
        <f t="shared" si="4"/>
        <v>-78</v>
      </c>
      <c r="G46" s="13" t="s">
        <v>30</v>
      </c>
      <c r="H46" s="33">
        <f t="shared" si="11"/>
        <v>1</v>
      </c>
      <c r="I46" s="33">
        <f t="shared" si="4"/>
        <v>-2</v>
      </c>
      <c r="J46" s="43">
        <f t="shared" si="4"/>
        <v>84.08985462232243</v>
      </c>
      <c r="K46" s="11"/>
    </row>
    <row r="47" ht="15" customHeight="1">
      <c r="A47" s="1"/>
      <c r="B47" s="4" t="s">
        <v>147</v>
      </c>
      <c r="C47" s="44">
        <f>C44/F110-1</f>
        <v>-0.078125</v>
      </c>
      <c r="D47" s="44">
        <f t="shared" si="12"/>
        <v>0.09830508474576272</v>
      </c>
      <c r="E47" s="44">
        <f t="shared" si="12"/>
        <v>0.2777777777777777</v>
      </c>
      <c r="F47" s="44">
        <f t="shared" si="12"/>
        <v>-0.18840579710144922</v>
      </c>
      <c r="G47" s="36" t="s">
        <v>30</v>
      </c>
      <c r="H47" s="44">
        <f t="shared" si="24"/>
        <v>0.0029761904761904656</v>
      </c>
      <c r="I47" s="44">
        <f t="shared" si="12"/>
        <v>-0.005934718100890191</v>
      </c>
      <c r="J47" s="38">
        <f t="shared" si="12"/>
        <v>0.2510144914099177</v>
      </c>
      <c r="K47" s="11"/>
    </row>
    <row r="48" ht="15" customHeight="1">
      <c r="A48" s="1"/>
      <c r="B48" s="4" t="s">
        <v>206</v>
      </c>
      <c r="C48" s="44">
        <f t="shared" si="25" ref="C48:J48">C44/C65</f>
        <v>0.23412698412698413</v>
      </c>
      <c r="D48" s="44">
        <f t="shared" si="25"/>
        <v>0.23427331887201736</v>
      </c>
      <c r="E48" s="44">
        <f t="shared" si="25"/>
        <v>0.2739907346128392</v>
      </c>
      <c r="F48" s="44">
        <f t="shared" si="25"/>
        <v>0.24312590448625182</v>
      </c>
      <c r="G48" s="44">
        <f t="shared" si="25"/>
        <v>0.24729046242774566</v>
      </c>
      <c r="H48" s="44">
        <f t="shared" si="25"/>
        <v>0.23632538569424966</v>
      </c>
      <c r="I48" s="44">
        <f t="shared" si="25"/>
        <v>0.22348232154769845</v>
      </c>
      <c r="J48" s="38">
        <f t="shared" si="25"/>
        <v>0.2602335523204189</v>
      </c>
      <c r="K48" s="11"/>
    </row>
    <row r="49" ht="15" customHeight="1">
      <c r="A49" s="1"/>
      <c r="B49" s="4" t="s">
        <v>149</v>
      </c>
      <c r="C49" s="47">
        <f t="shared" si="26" ref="C49:J49">(C48-C110/C83)*10000</f>
        <v>-89.3990004919859</v>
      </c>
      <c r="D49" s="47">
        <f t="shared" si="26"/>
        <v>-22.027244046441684</v>
      </c>
      <c r="E49" s="47">
        <f t="shared" si="26"/>
        <v>-190.39137364401216</v>
      </c>
      <c r="F49" s="47">
        <f t="shared" si="26"/>
        <v>-92.4002611311725</v>
      </c>
      <c r="G49" s="47">
        <f t="shared" si="26"/>
        <v>-99.2940665196168</v>
      </c>
      <c r="H49" s="47">
        <f t="shared" si="26"/>
        <v>21.98401567265529</v>
      </c>
      <c r="I49" s="47">
        <f t="shared" si="26"/>
        <v>-107.90997324318901</v>
      </c>
      <c r="J49" s="48">
        <f t="shared" si="26"/>
        <v>-137.57182292420288</v>
      </c>
      <c r="K49" s="11"/>
    </row>
    <row r="50" ht="15" customHeight="1">
      <c r="A50" s="1"/>
      <c r="B50" s="1" t="s">
        <v>167</v>
      </c>
      <c r="C50" s="13" t="s">
        <v>30</v>
      </c>
      <c r="D50" s="13" t="s">
        <v>30</v>
      </c>
      <c r="E50" s="33">
        <f t="shared" si="15"/>
        <v>401.7</v>
      </c>
      <c r="F50" s="33">
        <f t="shared" si="15"/>
        <v>326.0799999999999</v>
      </c>
      <c r="G50" s="33">
        <f t="shared" si="15"/>
        <v>1354.7040000000002</v>
      </c>
      <c r="H50" s="33">
        <f t="shared" si="15"/>
        <v>318.305</v>
      </c>
      <c r="I50" s="33">
        <f t="shared" si="15"/>
        <v>330.804</v>
      </c>
      <c r="J50" s="43">
        <f t="shared" si="15"/>
        <v>426.42</v>
      </c>
      <c r="K50" s="11" t="s">
        <v>207</v>
      </c>
    </row>
    <row r="51" ht="15" customHeight="1">
      <c r="A51" s="1"/>
      <c r="B51" s="1" t="s">
        <v>168</v>
      </c>
      <c r="C51" s="33">
        <f t="shared" si="27" ref="C51:J51">C109</f>
        <v>298</v>
      </c>
      <c r="D51" s="33">
        <f t="shared" si="27"/>
        <v>306</v>
      </c>
      <c r="E51" s="33">
        <f t="shared" si="27"/>
        <v>412</v>
      </c>
      <c r="F51" s="33">
        <f t="shared" si="27"/>
        <v>320</v>
      </c>
      <c r="G51" s="33">
        <f t="shared" si="27"/>
        <v>1336</v>
      </c>
      <c r="H51" s="33">
        <f t="shared" si="27"/>
        <v>295</v>
      </c>
      <c r="I51" s="33">
        <f t="shared" si="27"/>
        <v>324</v>
      </c>
      <c r="J51" s="43">
        <f t="shared" si="27"/>
        <v>414</v>
      </c>
      <c r="K51" s="11"/>
    </row>
    <row r="52" ht="15" customHeight="1">
      <c r="A52" s="1"/>
      <c r="B52" s="1" t="s">
        <v>169</v>
      </c>
      <c r="C52" s="33">
        <f t="shared" si="17"/>
        <v>298</v>
      </c>
      <c r="D52" s="33">
        <f t="shared" si="17"/>
        <v>306</v>
      </c>
      <c r="E52" s="33">
        <f t="shared" si="17"/>
        <v>412</v>
      </c>
      <c r="F52" s="33">
        <f t="shared" si="17"/>
        <v>320</v>
      </c>
      <c r="G52" s="33">
        <f t="shared" si="17"/>
        <v>1336</v>
      </c>
      <c r="H52" s="33">
        <f t="shared" si="17"/>
        <v>295</v>
      </c>
      <c r="I52" s="33">
        <f t="shared" si="17"/>
        <v>324</v>
      </c>
      <c r="J52" s="43">
        <f t="shared" si="17"/>
        <v>414</v>
      </c>
      <c r="K52" s="11" t="s">
        <v>209</v>
      </c>
    </row>
    <row r="53" ht="15" customHeight="1">
      <c r="A53" s="1"/>
      <c r="B53" s="4" t="s">
        <v>152</v>
      </c>
      <c r="C53" s="36" t="s">
        <v>30</v>
      </c>
      <c r="D53" s="36" t="s">
        <v>30</v>
      </c>
      <c r="E53" s="44">
        <f t="shared" si="28" ref="E53:J53">(E52/E110)*(E50/(E50))-1</f>
        <v>0</v>
      </c>
      <c r="F53" s="44">
        <f t="shared" si="28"/>
        <v>0</v>
      </c>
      <c r="G53" s="44">
        <f t="shared" si="28"/>
        <v>0</v>
      </c>
      <c r="H53" s="44">
        <f t="shared" si="28"/>
        <v>0</v>
      </c>
      <c r="I53" s="44">
        <f t="shared" si="28"/>
        <v>0</v>
      </c>
      <c r="J53" s="38">
        <f t="shared" si="28"/>
        <v>0</v>
      </c>
      <c r="K53" s="11" t="s">
        <v>210</v>
      </c>
    </row>
    <row r="54" ht="15" customHeight="1">
      <c r="A54" s="1"/>
      <c r="B54" s="4" t="s">
        <v>151</v>
      </c>
      <c r="C54" s="36" t="s">
        <v>30</v>
      </c>
      <c r="D54" s="47" t="str">
        <f t="shared" si="5"/>
        <v>n/a</v>
      </c>
      <c r="E54" s="47" t="str">
        <f t="shared" si="5"/>
        <v>n/a</v>
      </c>
      <c r="F54" s="47">
        <f t="shared" si="5"/>
        <v>0</v>
      </c>
      <c r="G54" s="36" t="s">
        <v>30</v>
      </c>
      <c r="H54" s="47">
        <f t="shared" si="7"/>
        <v>0</v>
      </c>
      <c r="I54" s="47">
        <f t="shared" si="5"/>
        <v>0</v>
      </c>
      <c r="J54" s="48">
        <f t="shared" si="5"/>
        <v>0</v>
      </c>
      <c r="K54" s="11"/>
    </row>
    <row r="55" ht="15" customHeight="1">
      <c r="A55" s="1"/>
      <c r="B55" s="4" t="s">
        <v>153</v>
      </c>
      <c r="C55" s="36" t="s">
        <v>30</v>
      </c>
      <c r="D55" s="36" t="s">
        <v>30</v>
      </c>
      <c r="E55" s="44">
        <f t="shared" si="19"/>
        <v>0.030619865571321903</v>
      </c>
      <c r="F55" s="44">
        <f t="shared" si="19"/>
        <v>0.03042198233562332</v>
      </c>
      <c r="G55" s="44">
        <f t="shared" si="19"/>
        <v>0.01055285877948231</v>
      </c>
      <c r="H55" s="44">
        <f t="shared" si="19"/>
        <v>0.05873297623348672</v>
      </c>
      <c r="I55" s="44">
        <f t="shared" si="19"/>
        <v>0.012684248074388504</v>
      </c>
      <c r="J55" s="38">
        <f t="shared" si="19"/>
        <v>-0.017189966178128513</v>
      </c>
      <c r="K55" s="11"/>
    </row>
    <row r="56" ht="15" customHeight="1">
      <c r="A56" s="1"/>
      <c r="B56" s="4" t="s">
        <v>151</v>
      </c>
      <c r="C56" s="36" t="s">
        <v>30</v>
      </c>
      <c r="D56" s="47" t="str">
        <f t="shared" si="5"/>
        <v>n/a</v>
      </c>
      <c r="E56" s="47" t="str">
        <f t="shared" si="5"/>
        <v>n/a</v>
      </c>
      <c r="F56" s="47">
        <f t="shared" si="5"/>
        <v>-1.9788323569858157</v>
      </c>
      <c r="G56" s="36" t="s">
        <v>30</v>
      </c>
      <c r="H56" s="47">
        <f t="shared" si="7"/>
        <v>283.10993897863403</v>
      </c>
      <c r="I56" s="47">
        <f t="shared" si="5"/>
        <v>-460.4872815909822</v>
      </c>
      <c r="J56" s="48">
        <f t="shared" si="5"/>
        <v>-298.74214252517015</v>
      </c>
      <c r="K56" s="11"/>
    </row>
    <row r="57" ht="15" customHeight="1">
      <c r="A57" s="1"/>
      <c r="B57" s="4" t="s">
        <v>211</v>
      </c>
      <c r="C57" s="36" t="s">
        <v>30</v>
      </c>
      <c r="D57" s="36" t="s">
        <v>30</v>
      </c>
      <c r="E57" s="44">
        <f t="shared" si="20"/>
        <v>-0.025000000000000022</v>
      </c>
      <c r="F57" s="44">
        <f t="shared" si="20"/>
        <v>0.018999999999999906</v>
      </c>
      <c r="G57" s="44">
        <f t="shared" si="20"/>
        <v>0.014000000000000012</v>
      </c>
      <c r="H57" s="44">
        <f t="shared" si="20"/>
        <v>0.07899999999999996</v>
      </c>
      <c r="I57" s="44">
        <f t="shared" si="20"/>
        <v>0.020999999999999908</v>
      </c>
      <c r="J57" s="38">
        <f t="shared" si="20"/>
        <v>0.030000000000000027</v>
      </c>
      <c r="K57" s="11" t="s">
        <v>212</v>
      </c>
    </row>
    <row r="58" ht="15" customHeight="1">
      <c r="A58" s="1"/>
      <c r="B58" s="4" t="s">
        <v>151</v>
      </c>
      <c r="C58" s="36" t="s">
        <v>30</v>
      </c>
      <c r="D58" s="47" t="str">
        <f t="shared" si="5"/>
        <v>n/a</v>
      </c>
      <c r="E58" s="47" t="str">
        <f t="shared" si="5"/>
        <v>n/a</v>
      </c>
      <c r="F58" s="47">
        <f t="shared" si="5"/>
        <v>439.99999999999926</v>
      </c>
      <c r="G58" s="36" t="s">
        <v>30</v>
      </c>
      <c r="H58" s="47">
        <f t="shared" si="7"/>
        <v>600.0000000000006</v>
      </c>
      <c r="I58" s="47">
        <f t="shared" si="5"/>
        <v>-580.0000000000006</v>
      </c>
      <c r="J58" s="48">
        <f t="shared" si="5"/>
        <v>90.0000000000012</v>
      </c>
      <c r="K58" s="11"/>
    </row>
    <row r="59" ht="15" customHeight="1">
      <c r="A59" s="1"/>
      <c r="B59" s="1"/>
      <c r="C59" s="1"/>
      <c r="D59" s="1"/>
      <c r="E59" s="1"/>
      <c r="F59" s="1"/>
      <c r="G59" s="1"/>
      <c r="H59" s="1"/>
      <c r="I59" s="1"/>
      <c r="J59" s="35"/>
      <c r="K59" s="11"/>
    </row>
    <row r="60" ht="15" customHeight="1">
      <c r="A60" s="1"/>
      <c r="B60" s="3" t="s">
        <v>332</v>
      </c>
      <c r="C60" s="1"/>
      <c r="D60" s="1"/>
      <c r="E60" s="1"/>
      <c r="F60" s="1"/>
      <c r="G60" s="1"/>
      <c r="H60" s="1"/>
      <c r="I60" s="1"/>
      <c r="J60" s="35"/>
      <c r="K60" s="11"/>
    </row>
    <row r="61" ht="15" customHeight="1">
      <c r="A61" s="1"/>
      <c r="B61" s="3" t="s">
        <v>333</v>
      </c>
      <c r="C61" s="50">
        <f t="shared" si="29" ref="C61:J61">C11+C36</f>
        <v>1260</v>
      </c>
      <c r="D61" s="50">
        <f t="shared" si="29"/>
        <v>1383</v>
      </c>
      <c r="E61" s="50">
        <f t="shared" si="29"/>
        <v>1511</v>
      </c>
      <c r="F61" s="50">
        <f t="shared" si="29"/>
        <v>1382</v>
      </c>
      <c r="G61" s="50">
        <f t="shared" si="29"/>
        <v>5536</v>
      </c>
      <c r="H61" s="50">
        <f t="shared" si="29"/>
        <v>1426</v>
      </c>
      <c r="I61" s="50">
        <f t="shared" si="29"/>
        <v>1499</v>
      </c>
      <c r="J61" s="51">
        <f t="shared" si="29"/>
        <v>1610.4374354706877</v>
      </c>
      <c r="K61" s="11"/>
    </row>
    <row r="62" ht="15" customHeight="1">
      <c r="A62" s="1"/>
      <c r="B62" s="4" t="s">
        <v>195</v>
      </c>
      <c r="C62" s="44">
        <f t="shared" si="30" ref="C62:J62">C61/C82-1</f>
        <v>0.027732463295269127</v>
      </c>
      <c r="D62" s="44">
        <f t="shared" si="30"/>
        <v>0.06877897990726423</v>
      </c>
      <c r="E62" s="44">
        <f t="shared" si="30"/>
        <v>0.07467994310099568</v>
      </c>
      <c r="F62" s="44">
        <f t="shared" si="30"/>
        <v>0.08990536277602534</v>
      </c>
      <c r="G62" s="44">
        <f t="shared" si="30"/>
        <v>0.065845206006931</v>
      </c>
      <c r="H62" s="44">
        <f t="shared" si="30"/>
        <v>0.13174603174603172</v>
      </c>
      <c r="I62" s="44">
        <f t="shared" si="30"/>
        <v>0.08387563268257403</v>
      </c>
      <c r="J62" s="38">
        <f t="shared" si="30"/>
        <v>0.06580902413678857</v>
      </c>
      <c r="K62" s="11"/>
    </row>
    <row r="63" ht="15" customHeight="1">
      <c r="A63" s="1"/>
      <c r="B63" s="1" t="s">
        <v>196</v>
      </c>
      <c r="C63" s="33">
        <f>C61-F82</f>
        <v>-8</v>
      </c>
      <c r="D63" s="33">
        <f t="shared" si="4"/>
        <v>123</v>
      </c>
      <c r="E63" s="33">
        <f t="shared" si="4"/>
        <v>128</v>
      </c>
      <c r="F63" s="33">
        <f t="shared" si="4"/>
        <v>-129</v>
      </c>
      <c r="G63" s="13" t="s">
        <v>30</v>
      </c>
      <c r="H63" s="33">
        <f t="shared" si="11"/>
        <v>44</v>
      </c>
      <c r="I63" s="33">
        <f t="shared" si="4"/>
        <v>73</v>
      </c>
      <c r="J63" s="43">
        <f t="shared" si="4"/>
        <v>111.43743547068766</v>
      </c>
      <c r="K63" s="11"/>
    </row>
    <row r="64" ht="15" customHeight="1">
      <c r="A64" s="1"/>
      <c r="B64" s="1" t="s">
        <v>204</v>
      </c>
      <c r="C64" s="13" t="s">
        <v>30</v>
      </c>
      <c r="D64" s="13" t="s">
        <v>30</v>
      </c>
      <c r="E64" s="33">
        <f t="shared" si="31" ref="E64:J71">E18+E43</f>
        <v>1506.034</v>
      </c>
      <c r="F64" s="33">
        <f t="shared" si="31"/>
        <v>1356.5559999999998</v>
      </c>
      <c r="G64" s="33">
        <f t="shared" si="31"/>
        <v>5579.214</v>
      </c>
      <c r="H64" s="33">
        <f t="shared" si="31"/>
        <v>1374.015</v>
      </c>
      <c r="I64" s="33">
        <f t="shared" si="31"/>
        <v>1503.1169999999997</v>
      </c>
      <c r="J64" s="43">
        <f t="shared" si="31"/>
        <v>1638.605</v>
      </c>
      <c r="K64" s="11"/>
    </row>
    <row r="65" ht="15" customHeight="1">
      <c r="A65" s="1"/>
      <c r="B65" s="3" t="s">
        <v>334</v>
      </c>
      <c r="C65" s="50">
        <f t="shared" si="32" ref="C65:J65">C61</f>
        <v>1260</v>
      </c>
      <c r="D65" s="50">
        <f t="shared" si="32"/>
        <v>1383</v>
      </c>
      <c r="E65" s="50">
        <f t="shared" si="32"/>
        <v>1511</v>
      </c>
      <c r="F65" s="50">
        <f t="shared" si="32"/>
        <v>1382</v>
      </c>
      <c r="G65" s="50">
        <f t="shared" si="32"/>
        <v>5536</v>
      </c>
      <c r="H65" s="50">
        <f t="shared" si="32"/>
        <v>1426</v>
      </c>
      <c r="I65" s="50">
        <f t="shared" si="32"/>
        <v>1499</v>
      </c>
      <c r="J65" s="51">
        <f t="shared" si="32"/>
        <v>1610.4374354706877</v>
      </c>
      <c r="K65" s="11" t="s">
        <v>225</v>
      </c>
    </row>
    <row r="66" ht="15" customHeight="1">
      <c r="A66" s="1"/>
      <c r="B66" s="4" t="s">
        <v>166</v>
      </c>
      <c r="C66" s="44">
        <f t="shared" si="33" ref="C66:J66">C65/C83-1</f>
        <v>0.027732463295269127</v>
      </c>
      <c r="D66" s="44">
        <f t="shared" si="33"/>
        <v>0.06877897990726423</v>
      </c>
      <c r="E66" s="44">
        <f t="shared" si="33"/>
        <v>0.07467994310099568</v>
      </c>
      <c r="F66" s="44">
        <f t="shared" si="33"/>
        <v>0.08990536277602534</v>
      </c>
      <c r="G66" s="44">
        <f t="shared" si="33"/>
        <v>0.065845206006931</v>
      </c>
      <c r="H66" s="44">
        <f t="shared" si="33"/>
        <v>0.13174603174603172</v>
      </c>
      <c r="I66" s="44">
        <f t="shared" si="33"/>
        <v>0.08387563268257403</v>
      </c>
      <c r="J66" s="38">
        <f t="shared" si="33"/>
        <v>0.06580902413678857</v>
      </c>
      <c r="K66" s="11"/>
    </row>
    <row r="67" ht="15" customHeight="1">
      <c r="A67" s="1"/>
      <c r="B67" s="1" t="s">
        <v>146</v>
      </c>
      <c r="C67" s="33">
        <f>C65-F83</f>
        <v>-8</v>
      </c>
      <c r="D67" s="33">
        <f t="shared" si="4"/>
        <v>123</v>
      </c>
      <c r="E67" s="33">
        <f t="shared" si="4"/>
        <v>128</v>
      </c>
      <c r="F67" s="33">
        <f t="shared" si="4"/>
        <v>-129</v>
      </c>
      <c r="G67" s="13" t="s">
        <v>30</v>
      </c>
      <c r="H67" s="33">
        <f t="shared" si="11"/>
        <v>44</v>
      </c>
      <c r="I67" s="33">
        <f t="shared" si="4"/>
        <v>73</v>
      </c>
      <c r="J67" s="43">
        <f t="shared" si="4"/>
        <v>111.43743547068766</v>
      </c>
      <c r="K67" s="11"/>
    </row>
    <row r="68" ht="15" customHeight="1">
      <c r="A68" s="1"/>
      <c r="B68" s="4" t="s">
        <v>147</v>
      </c>
      <c r="C68" s="44">
        <f>C65/F83-1</f>
        <v>-0.006309148264984188</v>
      </c>
      <c r="D68" s="44">
        <f t="shared" si="12"/>
        <v>0.09761904761904772</v>
      </c>
      <c r="E68" s="44">
        <f t="shared" si="12"/>
        <v>0.0925524222704266</v>
      </c>
      <c r="F68" s="44">
        <f t="shared" si="12"/>
        <v>-0.08537392455327597</v>
      </c>
      <c r="G68" s="36" t="s">
        <v>30</v>
      </c>
      <c r="H68" s="44">
        <f t="shared" si="24"/>
        <v>0.03183791606367592</v>
      </c>
      <c r="I68" s="44">
        <f t="shared" si="12"/>
        <v>0.05119214586255261</v>
      </c>
      <c r="J68" s="38">
        <f t="shared" si="12"/>
        <v>0.07434118443674964</v>
      </c>
      <c r="K68" s="11"/>
    </row>
    <row r="69" ht="15" customHeight="1">
      <c r="A69" s="1"/>
      <c r="B69" s="4" t="s">
        <v>226</v>
      </c>
      <c r="C69" s="41">
        <f>C65/'Revenue summary'!C74</f>
        <v>0.1216451052326704</v>
      </c>
      <c r="D69" s="41">
        <f>D65/'Revenue summary'!D74</f>
        <v>0.12412493268712978</v>
      </c>
      <c r="E69" s="41">
        <f>E65/'Revenue summary'!E74</f>
        <v>0.13290526871316738</v>
      </c>
      <c r="F69" s="41">
        <f>F65/'Revenue summary'!F74</f>
        <v>0.12060389213718474</v>
      </c>
      <c r="G69" s="41">
        <f>G65/'Revenue summary'!G74</f>
        <v>0.1248872044757264</v>
      </c>
      <c r="H69" s="41">
        <f>H65/'Revenue summary'!H74</f>
        <v>0.12773199570046578</v>
      </c>
      <c r="I69" s="41">
        <f>I65/'Revenue summary'!I74</f>
        <v>0.11903438418168824</v>
      </c>
      <c r="J69" s="42">
        <f>J65/'Revenue summary'!J74</f>
        <v>0.1246337994086665</v>
      </c>
      <c r="K69" s="11"/>
    </row>
    <row r="70" ht="15" customHeight="1">
      <c r="A70" s="1"/>
      <c r="B70" s="4" t="s">
        <v>149</v>
      </c>
      <c r="C70" s="45">
        <f>(C69-C83/'Revenue summary'!C92)*10000</f>
        <v>-13.978494040216976</v>
      </c>
      <c r="D70" s="45">
        <f>(D69-D83/'Revenue summary'!D92)*10000</f>
        <v>-5.73920545981918</v>
      </c>
      <c r="E70" s="45">
        <f>(E69-E83/'Revenue summary'!E92)*10000</f>
        <v>7.002851682684497</v>
      </c>
      <c r="F70" s="45">
        <f>(F69-F83/'Revenue summary'!F92)*10000</f>
        <v>50.58056525739513</v>
      </c>
      <c r="G70" s="45">
        <f>(G69-G83/'Revenue summary'!G92)*10000</f>
        <v>10.731401133902835</v>
      </c>
      <c r="H70" s="45">
        <f>(H69-H83/'Revenue summary'!H92)*10000</f>
        <v>60.868904677953836</v>
      </c>
      <c r="I70" s="45">
        <f>(I69-I83/'Revenue summary'!I92)*10000</f>
        <v>-50.90548505441536</v>
      </c>
      <c r="J70" s="46">
        <f>(J69-J83/'Revenue summary'!J92)*10000</f>
        <v>-82.71469304500873</v>
      </c>
      <c r="K70" s="11"/>
    </row>
    <row r="71" ht="15" customHeight="1">
      <c r="A71" s="1"/>
      <c r="B71" s="1" t="s">
        <v>167</v>
      </c>
      <c r="C71" s="13" t="s">
        <v>30</v>
      </c>
      <c r="D71" s="13" t="s">
        <v>30</v>
      </c>
      <c r="E71" s="33">
        <f t="shared" si="31"/>
        <v>1506.034</v>
      </c>
      <c r="F71" s="33">
        <f t="shared" si="31"/>
        <v>1356.5559999999998</v>
      </c>
      <c r="G71" s="33">
        <f t="shared" si="31"/>
        <v>5579.214</v>
      </c>
      <c r="H71" s="33">
        <f t="shared" si="31"/>
        <v>1374.015</v>
      </c>
      <c r="I71" s="33">
        <f t="shared" si="31"/>
        <v>1503.1169999999997</v>
      </c>
      <c r="J71" s="43">
        <f t="shared" si="31"/>
        <v>1638.605</v>
      </c>
      <c r="K71" s="11"/>
    </row>
    <row r="72" ht="15" customHeight="1">
      <c r="A72" s="1"/>
      <c r="B72" s="1" t="s">
        <v>168</v>
      </c>
      <c r="C72" s="33">
        <f t="shared" si="34" ref="C72:J73">C26+C51</f>
        <v>1226</v>
      </c>
      <c r="D72" s="33">
        <f t="shared" si="34"/>
        <v>1294</v>
      </c>
      <c r="E72" s="33">
        <f t="shared" si="34"/>
        <v>1406</v>
      </c>
      <c r="F72" s="33">
        <f t="shared" si="34"/>
        <v>1268</v>
      </c>
      <c r="G72" s="33">
        <f t="shared" si="34"/>
        <v>5194</v>
      </c>
      <c r="H72" s="33">
        <f t="shared" si="34"/>
        <v>1260</v>
      </c>
      <c r="I72" s="33">
        <f t="shared" si="34"/>
        <v>1383</v>
      </c>
      <c r="J72" s="43">
        <f t="shared" si="34"/>
        <v>1511</v>
      </c>
      <c r="K72" s="11"/>
    </row>
    <row r="73" ht="15" customHeight="1">
      <c r="A73" s="1"/>
      <c r="B73" s="1" t="s">
        <v>169</v>
      </c>
      <c r="C73" s="33">
        <f t="shared" si="34"/>
        <v>1226</v>
      </c>
      <c r="D73" s="33">
        <f t="shared" si="34"/>
        <v>1294</v>
      </c>
      <c r="E73" s="33">
        <f t="shared" si="34"/>
        <v>1406</v>
      </c>
      <c r="F73" s="33">
        <f t="shared" si="34"/>
        <v>1268</v>
      </c>
      <c r="G73" s="33">
        <f t="shared" si="34"/>
        <v>5194</v>
      </c>
      <c r="H73" s="33">
        <f t="shared" si="34"/>
        <v>1260</v>
      </c>
      <c r="I73" s="33">
        <f t="shared" si="34"/>
        <v>1383</v>
      </c>
      <c r="J73" s="43">
        <f t="shared" si="34"/>
        <v>1511</v>
      </c>
      <c r="K73" s="11"/>
    </row>
    <row r="74" ht="15" customHeight="1">
      <c r="A74" s="1"/>
      <c r="B74" s="4" t="s">
        <v>152</v>
      </c>
      <c r="C74" s="36" t="s">
        <v>30</v>
      </c>
      <c r="D74" s="36" t="s">
        <v>30</v>
      </c>
      <c r="E74" s="44">
        <f t="shared" si="35" ref="E74:J74">(E73/E83)*(E71/(E71))-1</f>
        <v>0</v>
      </c>
      <c r="F74" s="44">
        <f t="shared" si="35"/>
        <v>0</v>
      </c>
      <c r="G74" s="44">
        <f t="shared" si="35"/>
        <v>0</v>
      </c>
      <c r="H74" s="44">
        <f t="shared" si="35"/>
        <v>0</v>
      </c>
      <c r="I74" s="44">
        <f t="shared" si="35"/>
        <v>0</v>
      </c>
      <c r="J74" s="38">
        <f t="shared" si="35"/>
        <v>0</v>
      </c>
      <c r="K74" s="11"/>
    </row>
    <row r="75" ht="15" customHeight="1">
      <c r="A75" s="1"/>
      <c r="B75" s="4" t="s">
        <v>151</v>
      </c>
      <c r="C75" s="36" t="s">
        <v>30</v>
      </c>
      <c r="D75" s="36" t="s">
        <v>30</v>
      </c>
      <c r="E75" s="36" t="s">
        <v>30</v>
      </c>
      <c r="F75" s="47">
        <f t="shared" si="5"/>
        <v>0</v>
      </c>
      <c r="G75" s="36" t="s">
        <v>30</v>
      </c>
      <c r="H75" s="47">
        <f t="shared" si="7"/>
        <v>0</v>
      </c>
      <c r="I75" s="47">
        <f t="shared" si="5"/>
        <v>0</v>
      </c>
      <c r="J75" s="48">
        <f t="shared" si="5"/>
        <v>0</v>
      </c>
      <c r="K75" s="11"/>
    </row>
    <row r="76" ht="15" customHeight="1">
      <c r="A76" s="1"/>
      <c r="B76" s="4" t="s">
        <v>153</v>
      </c>
      <c r="C76" s="36" t="s">
        <v>30</v>
      </c>
      <c r="D76" s="36" t="s">
        <v>30</v>
      </c>
      <c r="E76" s="44">
        <f t="shared" si="19"/>
        <v>0.003297402316282394</v>
      </c>
      <c r="F76" s="44">
        <f t="shared" si="19"/>
        <v>0.018756321154453026</v>
      </c>
      <c r="G76" s="44">
        <f t="shared" si="19"/>
        <v>-0.007745535482238219</v>
      </c>
      <c r="H76" s="44">
        <f t="shared" si="19"/>
        <v>0.0378343758983708</v>
      </c>
      <c r="I76" s="44">
        <f t="shared" si="19"/>
        <v>-0.002738975076457595</v>
      </c>
      <c r="J76" s="38">
        <f t="shared" si="19"/>
        <v>-0.017189966178128513</v>
      </c>
      <c r="K76" s="11"/>
    </row>
    <row r="77" ht="15" customHeight="1">
      <c r="A77" s="1"/>
      <c r="B77" s="4" t="s">
        <v>151</v>
      </c>
      <c r="C77" s="36" t="s">
        <v>30</v>
      </c>
      <c r="D77" s="36" t="s">
        <v>30</v>
      </c>
      <c r="E77" s="36" t="s">
        <v>30</v>
      </c>
      <c r="F77" s="47">
        <f t="shared" si="5"/>
        <v>154.58918838170632</v>
      </c>
      <c r="G77" s="36" t="s">
        <v>30</v>
      </c>
      <c r="H77" s="47">
        <f t="shared" si="7"/>
        <v>190.78054743917772</v>
      </c>
      <c r="I77" s="47">
        <f t="shared" si="5"/>
        <v>-405.73350974828395</v>
      </c>
      <c r="J77" s="48">
        <f t="shared" si="5"/>
        <v>-144.50991101670917</v>
      </c>
      <c r="K77" s="11"/>
    </row>
    <row r="78" ht="15" customHeight="1">
      <c r="A78" s="1"/>
      <c r="B78" s="4" t="s">
        <v>150</v>
      </c>
      <c r="C78" s="36" t="s">
        <v>30</v>
      </c>
      <c r="D78" s="36" t="s">
        <v>30</v>
      </c>
      <c r="E78" s="44">
        <f t="shared" si="20"/>
        <v>0.07114793741109526</v>
      </c>
      <c r="F78" s="44">
        <f t="shared" si="20"/>
        <v>0.06983911671924292</v>
      </c>
      <c r="G78" s="44">
        <f t="shared" si="20"/>
        <v>0.07416519060454374</v>
      </c>
      <c r="H78" s="44">
        <f t="shared" si="20"/>
        <v>0.09048809523809531</v>
      </c>
      <c r="I78" s="44">
        <f t="shared" si="20"/>
        <v>0.08685249457700617</v>
      </c>
      <c r="J78" s="38">
        <f t="shared" si="20"/>
        <v>0.0844506949040369</v>
      </c>
      <c r="K78" s="11" t="s">
        <v>227</v>
      </c>
    </row>
    <row r="79" ht="15" customHeight="1">
      <c r="A79" s="1"/>
      <c r="B79" s="4" t="s">
        <v>151</v>
      </c>
      <c r="C79" s="36" t="s">
        <v>30</v>
      </c>
      <c r="D79" s="36" t="s">
        <v>30</v>
      </c>
      <c r="E79" s="36" t="s">
        <v>30</v>
      </c>
      <c r="F79" s="47">
        <f t="shared" si="5"/>
        <v>-13.088206918523415</v>
      </c>
      <c r="G79" s="36" t="s">
        <v>30</v>
      </c>
      <c r="H79" s="47">
        <f t="shared" si="7"/>
        <v>206.4897851885239</v>
      </c>
      <c r="I79" s="47">
        <f t="shared" si="5"/>
        <v>-36.35600661089144</v>
      </c>
      <c r="J79" s="48">
        <f t="shared" si="5"/>
        <v>-24.017996729692737</v>
      </c>
      <c r="K79" s="11"/>
    </row>
    <row r="80" ht="15" customHeight="1">
      <c r="A80" s="1"/>
      <c r="B80" s="4" t="s">
        <v>174</v>
      </c>
      <c r="C80" s="36" t="s">
        <v>30</v>
      </c>
      <c r="D80" s="36" t="s">
        <v>30</v>
      </c>
      <c r="E80" s="54">
        <v>0.071</v>
      </c>
      <c r="F80" s="54">
        <v>0.07</v>
      </c>
      <c r="G80" s="54">
        <v>0.07400000000000001</v>
      </c>
      <c r="H80" s="54">
        <v>0.09</v>
      </c>
      <c r="I80" s="54">
        <v>0.087</v>
      </c>
      <c r="J80" s="55" t="s">
        <v>30</v>
      </c>
      <c r="K80" s="11" t="s">
        <v>228</v>
      </c>
    </row>
    <row r="81" ht="15" customHeight="1">
      <c r="A81" s="1"/>
      <c r="B81" s="4" t="s">
        <v>229</v>
      </c>
      <c r="C81" s="36" t="s">
        <v>30</v>
      </c>
      <c r="D81" s="36" t="s">
        <v>30</v>
      </c>
      <c r="E81" s="47">
        <f t="shared" si="36" ref="E81:I81">(E78-E80)*10000</f>
        <v>1.479374110952697</v>
      </c>
      <c r="F81" s="47">
        <f t="shared" si="36"/>
        <v>-1.608832807570848</v>
      </c>
      <c r="G81" s="47">
        <f t="shared" si="36"/>
        <v>1.6519060454373014</v>
      </c>
      <c r="H81" s="47">
        <f t="shared" si="36"/>
        <v>4.880952380953152</v>
      </c>
      <c r="I81" s="47">
        <f t="shared" si="36"/>
        <v>-1.4750542299382663</v>
      </c>
      <c r="J81" s="55" t="s">
        <v>30</v>
      </c>
      <c r="K81" s="11" t="s">
        <v>230</v>
      </c>
    </row>
    <row r="82" ht="15" customHeight="1">
      <c r="A82" s="1"/>
      <c r="B82" s="3" t="s">
        <v>335</v>
      </c>
      <c r="C82" s="50">
        <f t="shared" si="37" ref="C82:J83">C107+C109</f>
        <v>1226</v>
      </c>
      <c r="D82" s="50">
        <f t="shared" si="37"/>
        <v>1294</v>
      </c>
      <c r="E82" s="50">
        <f t="shared" si="37"/>
        <v>1406</v>
      </c>
      <c r="F82" s="50">
        <f t="shared" si="37"/>
        <v>1268</v>
      </c>
      <c r="G82" s="50">
        <f t="shared" si="37"/>
        <v>5194</v>
      </c>
      <c r="H82" s="50">
        <f t="shared" si="37"/>
        <v>1260</v>
      </c>
      <c r="I82" s="50">
        <f t="shared" si="37"/>
        <v>1383</v>
      </c>
      <c r="J82" s="51">
        <f t="shared" si="37"/>
        <v>1511</v>
      </c>
      <c r="K82" s="11"/>
    </row>
    <row r="83" ht="15" customHeight="1">
      <c r="A83" s="1"/>
      <c r="B83" s="3" t="s">
        <v>336</v>
      </c>
      <c r="C83" s="50">
        <f t="shared" si="37"/>
        <v>1226</v>
      </c>
      <c r="D83" s="50">
        <f t="shared" si="37"/>
        <v>1294</v>
      </c>
      <c r="E83" s="50">
        <f t="shared" si="37"/>
        <v>1406</v>
      </c>
      <c r="F83" s="50">
        <f t="shared" si="37"/>
        <v>1268</v>
      </c>
      <c r="G83" s="50">
        <f t="shared" si="37"/>
        <v>5194</v>
      </c>
      <c r="H83" s="50">
        <f t="shared" si="37"/>
        <v>1260</v>
      </c>
      <c r="I83" s="50">
        <f t="shared" si="37"/>
        <v>1383</v>
      </c>
      <c r="J83" s="51">
        <f t="shared" si="37"/>
        <v>1511</v>
      </c>
      <c r="K83" s="11"/>
    </row>
    <row r="84" ht="15" customHeight="1">
      <c r="A84" s="1"/>
      <c r="B84" s="1"/>
      <c r="C84" s="1"/>
      <c r="D84" s="1"/>
      <c r="E84" s="1"/>
      <c r="F84" s="1"/>
      <c r="G84" s="1"/>
      <c r="H84" s="1"/>
      <c r="I84" s="1"/>
      <c r="J84" s="35"/>
      <c r="K84" s="11"/>
    </row>
    <row r="85" ht="15" customHeight="1">
      <c r="A85" s="1"/>
      <c r="B85" s="3" t="s">
        <v>337</v>
      </c>
      <c r="C85" s="1"/>
      <c r="D85" s="1"/>
      <c r="E85" s="1"/>
      <c r="F85" s="1"/>
      <c r="G85" s="1"/>
      <c r="H85" s="1"/>
      <c r="I85" s="1"/>
      <c r="J85" s="35"/>
      <c r="K85" s="11"/>
    </row>
    <row r="86" ht="15" customHeight="1">
      <c r="A86" s="1"/>
      <c r="B86" s="1" t="s">
        <v>235</v>
      </c>
      <c r="C86" s="33">
        <f t="shared" si="38" ref="C86:J86">C65</f>
        <v>1260</v>
      </c>
      <c r="D86" s="33">
        <f t="shared" si="38"/>
        <v>1383</v>
      </c>
      <c r="E86" s="33">
        <f t="shared" si="38"/>
        <v>1511</v>
      </c>
      <c r="F86" s="33">
        <f t="shared" si="38"/>
        <v>1382</v>
      </c>
      <c r="G86" s="33">
        <f t="shared" si="38"/>
        <v>5536</v>
      </c>
      <c r="H86" s="33">
        <f t="shared" si="38"/>
        <v>1426</v>
      </c>
      <c r="I86" s="33">
        <f t="shared" si="38"/>
        <v>1499</v>
      </c>
      <c r="J86" s="43">
        <f t="shared" si="38"/>
        <v>1610.4374354706877</v>
      </c>
      <c r="K86" s="11"/>
    </row>
    <row r="87" ht="15" customHeight="1">
      <c r="A87" s="1"/>
      <c r="B87" s="1" t="s">
        <v>236</v>
      </c>
      <c r="C87" s="29">
        <v>569</v>
      </c>
      <c r="D87" s="29">
        <v>631</v>
      </c>
      <c r="E87" s="29">
        <v>714</v>
      </c>
      <c r="F87" s="33">
        <f t="shared" si="39" ref="F87:F109">G87-C87-D87-E87</f>
        <v>701</v>
      </c>
      <c r="G87" s="29">
        <v>2615</v>
      </c>
      <c r="H87" s="29">
        <v>644</v>
      </c>
      <c r="I87" s="29">
        <v>650</v>
      </c>
      <c r="J87" s="43">
        <f>J86*(I87/I86+E87/E86-D87/D86)</f>
        <v>724.5400553576094</v>
      </c>
      <c r="K87" s="11" t="s">
        <v>237</v>
      </c>
    </row>
    <row r="88" ht="15" customHeight="1">
      <c r="A88" s="1"/>
      <c r="B88" s="1" t="s">
        <v>238</v>
      </c>
      <c r="C88" s="29">
        <v>42</v>
      </c>
      <c r="D88" s="29">
        <v>43</v>
      </c>
      <c r="E88" s="29">
        <v>42</v>
      </c>
      <c r="F88" s="33">
        <f t="shared" si="39"/>
        <v>49</v>
      </c>
      <c r="G88" s="29">
        <v>176</v>
      </c>
      <c r="H88" s="29">
        <v>41</v>
      </c>
      <c r="I88" s="29">
        <v>48</v>
      </c>
      <c r="J88" s="43">
        <f>J86*(I88/I86+E88/E86-D88/D86)</f>
        <v>46.260909933781</v>
      </c>
      <c r="K88" s="11" t="s">
        <v>237</v>
      </c>
    </row>
    <row r="89" ht="15" customHeight="1">
      <c r="A89" s="1"/>
      <c r="B89" s="1" t="s">
        <v>239</v>
      </c>
      <c r="C89" s="29">
        <v>351</v>
      </c>
      <c r="D89" s="29">
        <v>363</v>
      </c>
      <c r="E89" s="29">
        <v>364</v>
      </c>
      <c r="F89" s="33">
        <f t="shared" si="39"/>
        <v>377</v>
      </c>
      <c r="G89" s="29">
        <v>1455</v>
      </c>
      <c r="H89" s="29">
        <v>376</v>
      </c>
      <c r="I89" s="29">
        <v>419</v>
      </c>
      <c r="J89" s="43">
        <f>J86*(I89/I86+E89/E86-D89/D86)</f>
        <v>415.40728121239613</v>
      </c>
      <c r="K89" s="11" t="s">
        <v>237</v>
      </c>
    </row>
    <row r="90" ht="15" customHeight="1">
      <c r="A90" s="1"/>
      <c r="B90" s="3" t="s">
        <v>240</v>
      </c>
      <c r="C90" s="50">
        <f t="shared" si="40" ref="C90:J104">C86-C87-C88-C89</f>
        <v>298</v>
      </c>
      <c r="D90" s="50">
        <f t="shared" si="40"/>
        <v>346</v>
      </c>
      <c r="E90" s="50">
        <f t="shared" si="40"/>
        <v>391</v>
      </c>
      <c r="F90" s="50">
        <f t="shared" si="40"/>
        <v>255</v>
      </c>
      <c r="G90" s="50">
        <f t="shared" si="40"/>
        <v>1290</v>
      </c>
      <c r="H90" s="50">
        <f t="shared" si="40"/>
        <v>365</v>
      </c>
      <c r="I90" s="50">
        <f t="shared" si="40"/>
        <v>382</v>
      </c>
      <c r="J90" s="51">
        <f t="shared" si="40"/>
        <v>424.2291889669011</v>
      </c>
      <c r="K90" s="11" t="s">
        <v>241</v>
      </c>
    </row>
    <row r="91" ht="15" customHeight="1">
      <c r="A91" s="1"/>
      <c r="B91" s="4" t="s">
        <v>145</v>
      </c>
      <c r="C91" s="44">
        <f t="shared" si="41" ref="C91:J91">C90/C104-1</f>
        <v>0.11610486891385774</v>
      </c>
      <c r="D91" s="44">
        <f t="shared" si="41"/>
        <v>0.09841269841269851</v>
      </c>
      <c r="E91" s="44">
        <f t="shared" si="41"/>
        <v>0.02894736842105261</v>
      </c>
      <c r="F91" s="44">
        <f t="shared" si="41"/>
        <v>-0.059040590405904037</v>
      </c>
      <c r="G91" s="44">
        <f t="shared" si="41"/>
        <v>0.04622871046228716</v>
      </c>
      <c r="H91" s="44">
        <f t="shared" si="41"/>
        <v>0.22483221476510074</v>
      </c>
      <c r="I91" s="44">
        <f t="shared" si="41"/>
        <v>0.10404624277456653</v>
      </c>
      <c r="J91" s="38">
        <f t="shared" si="41"/>
        <v>0.08498513802276508</v>
      </c>
      <c r="K91" s="11"/>
    </row>
    <row r="92" ht="15" customHeight="1">
      <c r="A92" s="1"/>
      <c r="B92" s="4" t="s">
        <v>242</v>
      </c>
      <c r="C92" s="44">
        <f t="shared" si="42" ref="C92:J92">1-C87/C86</f>
        <v>0.5484126984126985</v>
      </c>
      <c r="D92" s="44">
        <f t="shared" si="42"/>
        <v>0.5437454808387563</v>
      </c>
      <c r="E92" s="44">
        <f t="shared" si="42"/>
        <v>0.5274652547981469</v>
      </c>
      <c r="F92" s="44">
        <f t="shared" si="42"/>
        <v>0.4927641099855282</v>
      </c>
      <c r="G92" s="44">
        <f t="shared" si="42"/>
        <v>0.5276372832369942</v>
      </c>
      <c r="H92" s="44">
        <f t="shared" si="42"/>
        <v>0.5483870967741935</v>
      </c>
      <c r="I92" s="44">
        <f t="shared" si="42"/>
        <v>0.5663775850567045</v>
      </c>
      <c r="J92" s="38">
        <f t="shared" si="42"/>
        <v>0.550097359016095</v>
      </c>
      <c r="K92" s="11"/>
    </row>
    <row r="93" ht="15" customHeight="1">
      <c r="A93" s="1"/>
      <c r="B93" s="4" t="s">
        <v>149</v>
      </c>
      <c r="C93" s="47">
        <f t="shared" si="43" ref="C93:J93">(C92-(1-C101/C100))*10000</f>
        <v>247.58538543204088</v>
      </c>
      <c r="D93" s="47">
        <f t="shared" si="43"/>
        <v>4.688193240731664</v>
      </c>
      <c r="E93" s="47">
        <f t="shared" si="43"/>
        <v>-144.97760849079276</v>
      </c>
      <c r="F93" s="47">
        <f t="shared" si="43"/>
        <v>-143.3368181257899</v>
      </c>
      <c r="G93" s="47">
        <f t="shared" si="43"/>
        <v>-18.197826082118063</v>
      </c>
      <c r="H93" s="47">
        <f t="shared" si="43"/>
        <v>-0.25601638504957336</v>
      </c>
      <c r="I93" s="47">
        <f t="shared" si="43"/>
        <v>226.32104217948256</v>
      </c>
      <c r="J93" s="48">
        <f t="shared" si="43"/>
        <v>226.32104217948145</v>
      </c>
      <c r="K93" s="11" t="s">
        <v>338</v>
      </c>
    </row>
    <row r="94" ht="15" customHeight="1">
      <c r="A94" s="1"/>
      <c r="B94" s="4" t="s">
        <v>244</v>
      </c>
      <c r="C94" s="44">
        <f t="shared" si="44" ref="C94:J94">C88/C86</f>
        <v>0.03333333333333333</v>
      </c>
      <c r="D94" s="44">
        <f t="shared" si="44"/>
        <v>0.03109182935647144</v>
      </c>
      <c r="E94" s="44">
        <f t="shared" si="44"/>
        <v>0.027796161482461945</v>
      </c>
      <c r="F94" s="44">
        <f t="shared" si="44"/>
        <v>0.03545586107091172</v>
      </c>
      <c r="G94" s="44">
        <f t="shared" si="44"/>
        <v>0.031791907514450865</v>
      </c>
      <c r="H94" s="44">
        <f t="shared" si="44"/>
        <v>0.028751753155680224</v>
      </c>
      <c r="I94" s="44">
        <f t="shared" si="44"/>
        <v>0.032021347565043365</v>
      </c>
      <c r="J94" s="38">
        <f t="shared" si="44"/>
        <v>0.02872567969103387</v>
      </c>
      <c r="K94" s="11"/>
    </row>
    <row r="95" ht="15" customHeight="1">
      <c r="A95" s="1"/>
      <c r="B95" s="4" t="s">
        <v>149</v>
      </c>
      <c r="C95" s="47">
        <f t="shared" si="45" ref="C95:J95">(C94-(C102/C100))*10000</f>
        <v>-1.087547580206627</v>
      </c>
      <c r="D95" s="47">
        <f t="shared" si="45"/>
        <v>-29.112618336367518</v>
      </c>
      <c r="E95" s="47">
        <f t="shared" si="45"/>
        <v>-49.20765971307611</v>
      </c>
      <c r="F95" s="47">
        <f t="shared" si="45"/>
        <v>-0.33097919624559824</v>
      </c>
      <c r="G95" s="47">
        <f t="shared" si="45"/>
        <v>-20.933446996423204</v>
      </c>
      <c r="H95" s="47">
        <f t="shared" si="45"/>
        <v>-45.815801776531096</v>
      </c>
      <c r="I95" s="47">
        <f t="shared" si="45"/>
        <v>9.295182085719244</v>
      </c>
      <c r="J95" s="48">
        <f t="shared" si="45"/>
        <v>9.295182085719244</v>
      </c>
      <c r="K95" s="11" t="s">
        <v>339</v>
      </c>
    </row>
    <row r="96" ht="15" customHeight="1">
      <c r="A96" s="1"/>
      <c r="B96" s="4" t="s">
        <v>246</v>
      </c>
      <c r="C96" s="44">
        <f t="shared" si="46" ref="C96:J96">C89/C86</f>
        <v>0.2785714285714286</v>
      </c>
      <c r="D96" s="44">
        <f t="shared" si="46"/>
        <v>0.26247288503253796</v>
      </c>
      <c r="E96" s="44">
        <f t="shared" si="46"/>
        <v>0.24090006618133686</v>
      </c>
      <c r="F96" s="44">
        <f t="shared" si="46"/>
        <v>0.2727930535455861</v>
      </c>
      <c r="G96" s="44">
        <f t="shared" si="46"/>
        <v>0.2628251445086705</v>
      </c>
      <c r="H96" s="44">
        <f t="shared" si="46"/>
        <v>0.26367461430575034</v>
      </c>
      <c r="I96" s="44">
        <f t="shared" si="46"/>
        <v>0.27951967978652437</v>
      </c>
      <c r="J96" s="38">
        <f t="shared" si="46"/>
        <v>0.25794686093532326</v>
      </c>
      <c r="K96" s="11"/>
    </row>
    <row r="97" ht="15" customHeight="1">
      <c r="A97" s="1"/>
      <c r="B97" s="4" t="s">
        <v>149</v>
      </c>
      <c r="C97" s="47">
        <f t="shared" si="47" ref="C97:J97">(C96-(C103/C100))*10000</f>
        <v>61.407597296667674</v>
      </c>
      <c r="D97" s="47">
        <f t="shared" si="47"/>
        <v>-33.69464271944289</v>
      </c>
      <c r="E97" s="47">
        <f t="shared" si="47"/>
        <v>19.242482581505183</v>
      </c>
      <c r="F97" s="47">
        <f t="shared" si="47"/>
        <v>149.06618214355794</v>
      </c>
      <c r="G97" s="47">
        <f t="shared" si="47"/>
        <v>46.42626218335499</v>
      </c>
      <c r="H97" s="47">
        <f t="shared" si="47"/>
        <v>-148.9681426567824</v>
      </c>
      <c r="I97" s="47">
        <f t="shared" si="47"/>
        <v>170.46794753986404</v>
      </c>
      <c r="J97" s="48">
        <f t="shared" si="47"/>
        <v>170.46794753986404</v>
      </c>
      <c r="K97" s="11" t="s">
        <v>339</v>
      </c>
    </row>
    <row r="98" ht="15" customHeight="1">
      <c r="A98" s="1"/>
      <c r="B98" s="4" t="s">
        <v>247</v>
      </c>
      <c r="C98" s="44">
        <f t="shared" si="48" ref="C98:J98">C90/C86</f>
        <v>0.2365079365079365</v>
      </c>
      <c r="D98" s="44">
        <f t="shared" si="48"/>
        <v>0.2501807664497469</v>
      </c>
      <c r="E98" s="44">
        <f t="shared" si="48"/>
        <v>0.25876902713434813</v>
      </c>
      <c r="F98" s="44">
        <f t="shared" si="48"/>
        <v>0.18451519536903038</v>
      </c>
      <c r="G98" s="44">
        <f t="shared" si="48"/>
        <v>0.23302023121387283</v>
      </c>
      <c r="H98" s="44">
        <f t="shared" si="48"/>
        <v>0.255960729312763</v>
      </c>
      <c r="I98" s="44">
        <f t="shared" si="48"/>
        <v>0.25483655770513675</v>
      </c>
      <c r="J98" s="38">
        <f t="shared" si="48"/>
        <v>0.26342481838973786</v>
      </c>
      <c r="K98" s="11"/>
    </row>
    <row r="99" ht="15" customHeight="1">
      <c r="A99" s="1"/>
      <c r="B99" s="4" t="s">
        <v>149</v>
      </c>
      <c r="C99" s="47">
        <f t="shared" si="49" ref="C99:J99">(C98-(C104/C100))*10000</f>
        <v>187.2653357155804</v>
      </c>
      <c r="D99" s="47">
        <f t="shared" si="49"/>
        <v>67.4954542965417</v>
      </c>
      <c r="E99" s="47">
        <f t="shared" si="49"/>
        <v>-115.01243135922157</v>
      </c>
      <c r="F99" s="47">
        <f t="shared" si="49"/>
        <v>-292.07202107310314</v>
      </c>
      <c r="G99" s="47">
        <f t="shared" si="49"/>
        <v>-43.69064126904993</v>
      </c>
      <c r="H99" s="47">
        <f t="shared" si="49"/>
        <v>194.5279280482648</v>
      </c>
      <c r="I99" s="47">
        <f t="shared" si="49"/>
        <v>46.557912553898404</v>
      </c>
      <c r="J99" s="48">
        <f t="shared" si="49"/>
        <v>46.557912553897296</v>
      </c>
      <c r="K99" s="11" t="s">
        <v>339</v>
      </c>
    </row>
    <row r="100" ht="15" customHeight="1">
      <c r="A100" s="1"/>
      <c r="B100" s="1" t="s">
        <v>248</v>
      </c>
      <c r="C100" s="33">
        <f t="shared" si="50" ref="C100:J100">C83</f>
        <v>1226</v>
      </c>
      <c r="D100" s="33">
        <f t="shared" si="50"/>
        <v>1294</v>
      </c>
      <c r="E100" s="33">
        <f t="shared" si="50"/>
        <v>1406</v>
      </c>
      <c r="F100" s="33">
        <f t="shared" si="50"/>
        <v>1268</v>
      </c>
      <c r="G100" s="33">
        <f t="shared" si="50"/>
        <v>5194</v>
      </c>
      <c r="H100" s="33">
        <f t="shared" si="50"/>
        <v>1260</v>
      </c>
      <c r="I100" s="33">
        <f t="shared" si="50"/>
        <v>1383</v>
      </c>
      <c r="J100" s="43">
        <f t="shared" si="50"/>
        <v>1511</v>
      </c>
      <c r="K100" s="11"/>
    </row>
    <row r="101" ht="15" customHeight="1">
      <c r="A101" s="1"/>
      <c r="B101" s="1" t="s">
        <v>249</v>
      </c>
      <c r="C101" s="29">
        <v>584</v>
      </c>
      <c r="D101" s="29">
        <v>591</v>
      </c>
      <c r="E101" s="29">
        <v>644</v>
      </c>
      <c r="F101" s="33">
        <f t="shared" si="39"/>
        <v>625</v>
      </c>
      <c r="G101" s="29">
        <v>2444</v>
      </c>
      <c r="H101" s="33">
        <f t="shared" si="51" ref="H101:J103">C87</f>
        <v>569</v>
      </c>
      <c r="I101" s="33">
        <f t="shared" si="51"/>
        <v>631</v>
      </c>
      <c r="J101" s="43">
        <f t="shared" si="51"/>
        <v>714</v>
      </c>
      <c r="K101" s="11" t="s">
        <v>250</v>
      </c>
    </row>
    <row r="102" ht="15" customHeight="1">
      <c r="A102" s="1"/>
      <c r="B102" s="1" t="s">
        <v>251</v>
      </c>
      <c r="C102" s="29">
        <v>41</v>
      </c>
      <c r="D102" s="29">
        <v>44</v>
      </c>
      <c r="E102" s="29">
        <v>46</v>
      </c>
      <c r="F102" s="33">
        <f t="shared" si="39"/>
        <v>45</v>
      </c>
      <c r="G102" s="29">
        <v>176</v>
      </c>
      <c r="H102" s="33">
        <f t="shared" si="51"/>
        <v>42</v>
      </c>
      <c r="I102" s="33">
        <f t="shared" si="51"/>
        <v>43</v>
      </c>
      <c r="J102" s="43">
        <f t="shared" si="51"/>
        <v>42</v>
      </c>
      <c r="K102" s="11" t="s">
        <v>250</v>
      </c>
    </row>
    <row r="103" ht="15" customHeight="1">
      <c r="A103" s="1"/>
      <c r="B103" s="1" t="s">
        <v>252</v>
      </c>
      <c r="C103" s="29">
        <v>334</v>
      </c>
      <c r="D103" s="29">
        <v>344</v>
      </c>
      <c r="E103" s="29">
        <v>336</v>
      </c>
      <c r="F103" s="33">
        <f t="shared" si="39"/>
        <v>327</v>
      </c>
      <c r="G103" s="29">
        <v>1341</v>
      </c>
      <c r="H103" s="33">
        <f t="shared" si="51"/>
        <v>351</v>
      </c>
      <c r="I103" s="33">
        <f t="shared" si="51"/>
        <v>363</v>
      </c>
      <c r="J103" s="43">
        <f t="shared" si="51"/>
        <v>364</v>
      </c>
      <c r="K103" s="11" t="s">
        <v>250</v>
      </c>
    </row>
    <row r="104" ht="15" customHeight="1">
      <c r="A104" s="1"/>
      <c r="B104" s="3" t="s">
        <v>253</v>
      </c>
      <c r="C104" s="50">
        <f t="shared" si="40"/>
        <v>267</v>
      </c>
      <c r="D104" s="50">
        <f t="shared" si="40"/>
        <v>315</v>
      </c>
      <c r="E104" s="50">
        <f t="shared" si="40"/>
        <v>380</v>
      </c>
      <c r="F104" s="50">
        <f t="shared" si="40"/>
        <v>271</v>
      </c>
      <c r="G104" s="50">
        <f t="shared" si="40"/>
        <v>1233</v>
      </c>
      <c r="H104" s="50">
        <f t="shared" si="40"/>
        <v>298</v>
      </c>
      <c r="I104" s="50">
        <f t="shared" si="40"/>
        <v>346</v>
      </c>
      <c r="J104" s="51">
        <f t="shared" si="40"/>
        <v>391</v>
      </c>
      <c r="K104" s="11"/>
    </row>
    <row r="105" ht="15" customHeight="1">
      <c r="A105" s="1"/>
      <c r="B105" s="1"/>
      <c r="C105" s="1"/>
      <c r="D105" s="1"/>
      <c r="E105" s="1"/>
      <c r="F105" s="1"/>
      <c r="G105" s="1"/>
      <c r="H105" s="1"/>
      <c r="I105" s="1"/>
      <c r="J105" s="35"/>
      <c r="K105" s="11"/>
    </row>
    <row r="106" ht="15" customHeight="1">
      <c r="A106" s="1"/>
      <c r="B106" s="3" t="s">
        <v>254</v>
      </c>
      <c r="C106" s="1"/>
      <c r="D106" s="1"/>
      <c r="E106" s="1"/>
      <c r="F106" s="1"/>
      <c r="G106" s="1"/>
      <c r="H106" s="1"/>
      <c r="I106" s="1"/>
      <c r="J106" s="35"/>
      <c r="K106" s="11"/>
    </row>
    <row r="107" ht="15" customHeight="1">
      <c r="A107" s="1"/>
      <c r="B107" s="1" t="s">
        <v>340</v>
      </c>
      <c r="C107" s="29">
        <v>928</v>
      </c>
      <c r="D107" s="29">
        <v>988</v>
      </c>
      <c r="E107" s="29">
        <v>994</v>
      </c>
      <c r="F107" s="33">
        <f t="shared" si="39"/>
        <v>948</v>
      </c>
      <c r="G107" s="29">
        <v>3858</v>
      </c>
      <c r="H107" s="33">
        <f t="shared" si="52" ref="H107:J107">C11</f>
        <v>965</v>
      </c>
      <c r="I107" s="33">
        <f t="shared" si="52"/>
        <v>1059</v>
      </c>
      <c r="J107" s="43">
        <f t="shared" si="52"/>
        <v>1097</v>
      </c>
      <c r="K107" s="11" t="s">
        <v>256</v>
      </c>
    </row>
    <row r="108" ht="15" customHeight="1">
      <c r="A108" s="1"/>
      <c r="B108" s="3" t="s">
        <v>341</v>
      </c>
      <c r="C108" s="50">
        <f t="shared" si="17"/>
        <v>928</v>
      </c>
      <c r="D108" s="50">
        <f t="shared" si="17"/>
        <v>988</v>
      </c>
      <c r="E108" s="50">
        <f t="shared" si="17"/>
        <v>994</v>
      </c>
      <c r="F108" s="50">
        <f t="shared" si="17"/>
        <v>948</v>
      </c>
      <c r="G108" s="50">
        <f t="shared" si="17"/>
        <v>3858</v>
      </c>
      <c r="H108" s="50">
        <f t="shared" si="17"/>
        <v>965</v>
      </c>
      <c r="I108" s="50">
        <f t="shared" si="17"/>
        <v>1059</v>
      </c>
      <c r="J108" s="51">
        <f t="shared" si="17"/>
        <v>1097</v>
      </c>
      <c r="K108" s="11"/>
    </row>
    <row r="109" ht="15" customHeight="1">
      <c r="A109" s="1"/>
      <c r="B109" s="1" t="s">
        <v>342</v>
      </c>
      <c r="C109" s="29">
        <v>298</v>
      </c>
      <c r="D109" s="29">
        <v>306</v>
      </c>
      <c r="E109" s="29">
        <v>412</v>
      </c>
      <c r="F109" s="33">
        <f t="shared" si="39"/>
        <v>320</v>
      </c>
      <c r="G109" s="29">
        <v>1336</v>
      </c>
      <c r="H109" s="33">
        <f t="shared" si="53" ref="H109:J109">C36</f>
        <v>295</v>
      </c>
      <c r="I109" s="33">
        <f t="shared" si="53"/>
        <v>324</v>
      </c>
      <c r="J109" s="43">
        <f t="shared" si="53"/>
        <v>414</v>
      </c>
      <c r="K109" s="11" t="s">
        <v>256</v>
      </c>
    </row>
    <row r="110" ht="15" customHeight="1">
      <c r="A110" s="1"/>
      <c r="B110" s="3" t="s">
        <v>343</v>
      </c>
      <c r="C110" s="50">
        <f t="shared" si="17"/>
        <v>298</v>
      </c>
      <c r="D110" s="50">
        <f t="shared" si="17"/>
        <v>306</v>
      </c>
      <c r="E110" s="50">
        <f t="shared" si="17"/>
        <v>412</v>
      </c>
      <c r="F110" s="50">
        <f t="shared" si="17"/>
        <v>320</v>
      </c>
      <c r="G110" s="50">
        <f t="shared" si="17"/>
        <v>1336</v>
      </c>
      <c r="H110" s="50">
        <f t="shared" si="17"/>
        <v>295</v>
      </c>
      <c r="I110" s="50">
        <f t="shared" si="17"/>
        <v>324</v>
      </c>
      <c r="J110" s="51">
        <f t="shared" si="17"/>
        <v>414</v>
      </c>
      <c r="K110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5CF95A8-2B61-C617-4C65-513ECC02B44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344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24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 t="shared" si="79" ref="H7:H247"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4" t="s">
        <v>191</v>
      </c>
      <c r="C9" s="13"/>
      <c r="D9" s="13"/>
      <c r="E9" s="13"/>
      <c r="F9" s="13"/>
      <c r="G9" s="13"/>
      <c r="H9" s="13"/>
      <c r="I9" s="13"/>
      <c r="J9" s="52"/>
      <c r="K9" s="11"/>
    </row>
    <row r="10" ht="15" customHeight="1">
      <c r="A10" s="1"/>
      <c r="B10" s="3" t="s">
        <v>345</v>
      </c>
      <c r="C10" s="1"/>
      <c r="D10" s="1"/>
      <c r="E10" s="1"/>
      <c r="F10" s="1"/>
      <c r="G10" s="1"/>
      <c r="H10" s="1"/>
      <c r="I10" s="1"/>
      <c r="J10" s="35"/>
      <c r="K10" s="11"/>
    </row>
    <row r="11" ht="15" customHeight="1">
      <c r="A11" s="1"/>
      <c r="B11" s="1" t="s">
        <v>193</v>
      </c>
      <c r="C11" s="29">
        <v>304</v>
      </c>
      <c r="D11" s="29">
        <v>340</v>
      </c>
      <c r="E11" s="29">
        <v>350</v>
      </c>
      <c r="F11" s="29">
        <v>340</v>
      </c>
      <c r="G11" s="33">
        <f t="shared" si="6" ref="G11:G246">SUM(C11:F11)</f>
        <v>1334</v>
      </c>
      <c r="H11" s="29">
        <v>339</v>
      </c>
      <c r="I11" s="29">
        <v>377</v>
      </c>
      <c r="J11" s="43">
        <f>(J318)*(1+J14)</f>
        <v>385.00000000000006</v>
      </c>
      <c r="K11" s="11" t="s">
        <v>194</v>
      </c>
    </row>
    <row r="12" ht="15" customHeight="1">
      <c r="A12" s="1"/>
      <c r="B12" s="4" t="s">
        <v>195</v>
      </c>
      <c r="C12" s="44">
        <f t="shared" si="3" ref="C12:J12">C11/C318-1</f>
        <v>0.12177121771217703</v>
      </c>
      <c r="D12" s="44">
        <f t="shared" si="3"/>
        <v>0.1643835616438356</v>
      </c>
      <c r="E12" s="44">
        <f t="shared" si="3"/>
        <v>0.21527777777777768</v>
      </c>
      <c r="F12" s="44">
        <f t="shared" si="3"/>
        <v>0.12211221122112215</v>
      </c>
      <c r="G12" s="44">
        <f t="shared" si="3"/>
        <v>0.15597920277296362</v>
      </c>
      <c r="H12" s="44">
        <f t="shared" si="3"/>
        <v>0.11513157894736836</v>
      </c>
      <c r="I12" s="44">
        <f t="shared" si="3"/>
        <v>0.10882352941176476</v>
      </c>
      <c r="J12" s="38">
        <f t="shared" si="3"/>
        <v>0.10000000000000009</v>
      </c>
      <c r="K12" s="11"/>
    </row>
    <row r="13" ht="15" customHeight="1">
      <c r="A13" s="1"/>
      <c r="B13" s="1" t="s">
        <v>196</v>
      </c>
      <c r="C13" s="33">
        <f>C11-F318</f>
        <v>1</v>
      </c>
      <c r="D13" s="33">
        <f t="shared" si="4" ref="D13:J274">D11-C11</f>
        <v>36</v>
      </c>
      <c r="E13" s="33">
        <f t="shared" si="4"/>
        <v>10</v>
      </c>
      <c r="F13" s="33">
        <f t="shared" si="4"/>
        <v>-10</v>
      </c>
      <c r="G13" s="13" t="s">
        <v>30</v>
      </c>
      <c r="H13" s="33">
        <f t="shared" si="8" ref="H13:H274">H11-F11</f>
        <v>-1</v>
      </c>
      <c r="I13" s="33">
        <f t="shared" si="4"/>
        <v>38</v>
      </c>
      <c r="J13" s="43">
        <f t="shared" si="4"/>
        <v>8.000000000000057</v>
      </c>
      <c r="K13" s="11"/>
    </row>
    <row r="14" ht="15" customHeight="1">
      <c r="A14" s="1"/>
      <c r="B14" s="4" t="s">
        <v>197</v>
      </c>
      <c r="C14" s="36" t="s">
        <v>30</v>
      </c>
      <c r="D14" s="36" t="s">
        <v>30</v>
      </c>
      <c r="E14" s="54">
        <v>0.211</v>
      </c>
      <c r="F14" s="54">
        <v>0.128</v>
      </c>
      <c r="G14" s="54">
        <v>0.157</v>
      </c>
      <c r="H14" s="54">
        <v>0.115</v>
      </c>
      <c r="I14" s="54">
        <v>0.107</v>
      </c>
      <c r="J14" s="37">
        <v>0.1</v>
      </c>
      <c r="K14" s="11" t="s">
        <v>201</v>
      </c>
    </row>
    <row r="15" ht="15" customHeight="1">
      <c r="A15" s="1"/>
      <c r="B15" s="4" t="s">
        <v>199</v>
      </c>
      <c r="C15" s="36" t="s">
        <v>30</v>
      </c>
      <c r="D15" s="47" t="str">
        <f t="shared" si="5" ref="D15:J289">IF(AND(ISNUMBER(D14),ISNUMBER(C14)),(D14-C14)*10000,"n/a")</f>
        <v>n/a</v>
      </c>
      <c r="E15" s="47" t="str">
        <f t="shared" si="5"/>
        <v>n/a</v>
      </c>
      <c r="F15" s="47">
        <f t="shared" si="5"/>
        <v>-829.9999999999999</v>
      </c>
      <c r="G15" s="36" t="s">
        <v>30</v>
      </c>
      <c r="H15" s="47">
        <f t="shared" si="9" ref="H15:H289">IF(AND(ISNUMBER(H14),ISNUMBER(F14)),(H14-F14)*10000,"n/a")</f>
        <v>-129.99999999999997</v>
      </c>
      <c r="I15" s="47">
        <f t="shared" si="5"/>
        <v>-80.00000000000007</v>
      </c>
      <c r="J15" s="48">
        <f t="shared" si="5"/>
        <v>-69.99999999999993</v>
      </c>
      <c r="K15" s="11"/>
    </row>
    <row r="16" ht="15" customHeight="1">
      <c r="A16" s="1"/>
      <c r="B16" s="1" t="s">
        <v>200</v>
      </c>
      <c r="C16" s="29">
        <v>281</v>
      </c>
      <c r="D16" s="29">
        <v>333</v>
      </c>
      <c r="E16" s="29">
        <v>336</v>
      </c>
      <c r="F16" s="29">
        <v>365</v>
      </c>
      <c r="G16" s="33">
        <f t="shared" si="6"/>
        <v>1315</v>
      </c>
      <c r="H16" s="29">
        <v>345</v>
      </c>
      <c r="I16" s="29">
        <v>366</v>
      </c>
      <c r="J16" s="43">
        <f>(J319)*(1+J19)*(1+J21)</f>
        <v>356.64210507328073</v>
      </c>
      <c r="K16" s="11" t="s">
        <v>194</v>
      </c>
    </row>
    <row r="17" ht="15" customHeight="1">
      <c r="A17" s="1"/>
      <c r="B17" s="4" t="s">
        <v>195</v>
      </c>
      <c r="C17" s="44">
        <f t="shared" si="7" ref="C17:J17">C16/C319-1</f>
        <v>-0.03436426116838487</v>
      </c>
      <c r="D17" s="44">
        <f t="shared" si="7"/>
        <v>0.05714285714285716</v>
      </c>
      <c r="E17" s="44">
        <f t="shared" si="7"/>
        <v>0.08737864077669899</v>
      </c>
      <c r="F17" s="44">
        <f t="shared" si="7"/>
        <v>0.1370716510903427</v>
      </c>
      <c r="G17" s="44">
        <f t="shared" si="7"/>
        <v>0.06391585760517793</v>
      </c>
      <c r="H17" s="44">
        <f t="shared" si="7"/>
        <v>0.22775800711743766</v>
      </c>
      <c r="I17" s="44">
        <f t="shared" si="7"/>
        <v>0.0990990990990992</v>
      </c>
      <c r="J17" s="38">
        <f t="shared" si="7"/>
        <v>0.06143483652762116</v>
      </c>
      <c r="K17" s="11"/>
    </row>
    <row r="18" ht="15" customHeight="1">
      <c r="A18" s="1"/>
      <c r="B18" s="1" t="s">
        <v>196</v>
      </c>
      <c r="C18" s="33">
        <f>C16-F319</f>
        <v>-40</v>
      </c>
      <c r="D18" s="33">
        <f t="shared" si="4"/>
        <v>52</v>
      </c>
      <c r="E18" s="33">
        <f t="shared" si="4"/>
        <v>3</v>
      </c>
      <c r="F18" s="33">
        <f t="shared" si="4"/>
        <v>29</v>
      </c>
      <c r="G18" s="13" t="s">
        <v>30</v>
      </c>
      <c r="H18" s="33">
        <f t="shared" si="8"/>
        <v>-20</v>
      </c>
      <c r="I18" s="33">
        <f t="shared" si="4"/>
        <v>21</v>
      </c>
      <c r="J18" s="43">
        <f t="shared" si="4"/>
        <v>-9.357894926719268</v>
      </c>
      <c r="K18" s="11"/>
    </row>
    <row r="19" ht="15" customHeight="1">
      <c r="A19" s="1"/>
      <c r="B19" s="4" t="s">
        <v>197</v>
      </c>
      <c r="C19" s="36" t="s">
        <v>30</v>
      </c>
      <c r="D19" s="36" t="s">
        <v>30</v>
      </c>
      <c r="E19" s="54">
        <v>0.055</v>
      </c>
      <c r="F19" s="54">
        <v>0.102</v>
      </c>
      <c r="G19" s="54">
        <v>0.05</v>
      </c>
      <c r="H19" s="54">
        <v>0.135</v>
      </c>
      <c r="I19" s="54">
        <v>0.083</v>
      </c>
      <c r="J19" s="37">
        <v>0.08</v>
      </c>
      <c r="K19" s="11" t="s">
        <v>201</v>
      </c>
    </row>
    <row r="20" ht="15" customHeight="1">
      <c r="A20" s="1"/>
      <c r="B20" s="4" t="s">
        <v>199</v>
      </c>
      <c r="C20" s="36" t="s">
        <v>30</v>
      </c>
      <c r="D20" s="47" t="str">
        <f t="shared" si="5"/>
        <v>n/a</v>
      </c>
      <c r="E20" s="47" t="str">
        <f t="shared" si="5"/>
        <v>n/a</v>
      </c>
      <c r="F20" s="47">
        <f t="shared" si="5"/>
        <v>469.99999999999994</v>
      </c>
      <c r="G20" s="36" t="s">
        <v>30</v>
      </c>
      <c r="H20" s="47">
        <f t="shared" si="9"/>
        <v>330.00000000000017</v>
      </c>
      <c r="I20" s="47">
        <f t="shared" si="5"/>
        <v>-520</v>
      </c>
      <c r="J20" s="48">
        <f t="shared" si="5"/>
        <v>-30.00000000000003</v>
      </c>
      <c r="K20" s="11"/>
    </row>
    <row r="21" ht="15" customHeight="1">
      <c r="A21" s="1"/>
      <c r="B21" s="4" t="s">
        <v>202</v>
      </c>
      <c r="C21" s="36" t="s">
        <v>30</v>
      </c>
      <c r="D21" s="36" t="s">
        <v>30</v>
      </c>
      <c r="E21" s="44">
        <f t="shared" si="10" ref="E21:I224">(1+E17)/(1+E19)-1</f>
        <v>0.03069065476464372</v>
      </c>
      <c r="F21" s="44">
        <f t="shared" si="10"/>
        <v>0.0318254547099297</v>
      </c>
      <c r="G21" s="44">
        <f t="shared" si="10"/>
        <v>0.013253197719216958</v>
      </c>
      <c r="H21" s="44">
        <f t="shared" si="10"/>
        <v>0.08172511640302882</v>
      </c>
      <c r="I21" s="44">
        <f t="shared" si="10"/>
        <v>0.014865280793258773</v>
      </c>
      <c r="J21" s="42">
        <f>'Revenue summary'!J12</f>
        <v>-0.017189966178128523</v>
      </c>
      <c r="K21" s="11" t="s">
        <v>203</v>
      </c>
    </row>
    <row r="22" ht="15" customHeight="1">
      <c r="A22" s="1"/>
      <c r="B22" s="4" t="s">
        <v>199</v>
      </c>
      <c r="C22" s="36" t="s">
        <v>30</v>
      </c>
      <c r="D22" s="47" t="str">
        <f t="shared" si="5"/>
        <v>n/a</v>
      </c>
      <c r="E22" s="47" t="str">
        <f t="shared" si="5"/>
        <v>n/a</v>
      </c>
      <c r="F22" s="47">
        <f t="shared" si="5"/>
        <v>11.347999452859803</v>
      </c>
      <c r="G22" s="36" t="s">
        <v>30</v>
      </c>
      <c r="H22" s="47">
        <f t="shared" si="9"/>
        <v>498.9966169309912</v>
      </c>
      <c r="I22" s="47">
        <f t="shared" si="5"/>
        <v>-668.5983560977005</v>
      </c>
      <c r="J22" s="48">
        <f t="shared" si="5"/>
        <v>-320.552469713873</v>
      </c>
      <c r="K22" s="11"/>
    </row>
    <row r="23" ht="15" customHeight="1">
      <c r="A23" s="1"/>
      <c r="B23" s="1" t="s">
        <v>204</v>
      </c>
      <c r="C23" s="13" t="s">
        <v>30</v>
      </c>
      <c r="D23" s="13" t="s">
        <v>30</v>
      </c>
      <c r="E23" s="33">
        <f t="shared" si="11" ref="E23:J226">E16/(1+E21)</f>
        <v>325.99499999999995</v>
      </c>
      <c r="F23" s="33">
        <f t="shared" si="11"/>
        <v>353.742</v>
      </c>
      <c r="G23" s="33">
        <f t="shared" si="11"/>
        <v>1297.8000000000002</v>
      </c>
      <c r="H23" s="33">
        <f t="shared" si="11"/>
        <v>318.935</v>
      </c>
      <c r="I23" s="33">
        <f t="shared" si="11"/>
        <v>360.63899999999995</v>
      </c>
      <c r="J23" s="43">
        <f t="shared" si="11"/>
        <v>362.88</v>
      </c>
      <c r="K23" s="11"/>
    </row>
    <row r="24" ht="15" customHeight="1">
      <c r="A24" s="1"/>
      <c r="B24" s="3" t="s">
        <v>346</v>
      </c>
      <c r="C24" s="50">
        <f t="shared" si="12" ref="C24:J227">C11+C16</f>
        <v>585</v>
      </c>
      <c r="D24" s="50">
        <f t="shared" si="12"/>
        <v>673</v>
      </c>
      <c r="E24" s="50">
        <f t="shared" si="12"/>
        <v>686</v>
      </c>
      <c r="F24" s="50">
        <f t="shared" si="12"/>
        <v>705</v>
      </c>
      <c r="G24" s="50">
        <f t="shared" si="12"/>
        <v>2649</v>
      </c>
      <c r="H24" s="50">
        <f t="shared" si="12"/>
        <v>684</v>
      </c>
      <c r="I24" s="50">
        <f t="shared" si="12"/>
        <v>743</v>
      </c>
      <c r="J24" s="51">
        <f t="shared" si="12"/>
        <v>741.6421050732808</v>
      </c>
      <c r="K24" s="11"/>
    </row>
    <row r="25" ht="15" customHeight="1">
      <c r="A25" s="1"/>
      <c r="B25" s="4" t="s">
        <v>166</v>
      </c>
      <c r="C25" s="44">
        <f t="shared" si="13" ref="C25:J25">C24/C320-1</f>
        <v>0.040925266903914626</v>
      </c>
      <c r="D25" s="44">
        <f t="shared" si="13"/>
        <v>0.10873146622734753</v>
      </c>
      <c r="E25" s="44">
        <f t="shared" si="13"/>
        <v>0.14907872696817415</v>
      </c>
      <c r="F25" s="44">
        <f t="shared" si="13"/>
        <v>0.1298076923076923</v>
      </c>
      <c r="G25" s="44">
        <f t="shared" si="13"/>
        <v>0.10836820083682008</v>
      </c>
      <c r="H25" s="44">
        <f t="shared" si="13"/>
        <v>0.1692307692307693</v>
      </c>
      <c r="I25" s="44">
        <f t="shared" si="13"/>
        <v>0.1040118870728084</v>
      </c>
      <c r="J25" s="38">
        <f t="shared" si="13"/>
        <v>0.08111094034005961</v>
      </c>
      <c r="K25" s="11"/>
    </row>
    <row r="26" ht="15" customHeight="1">
      <c r="A26" s="1"/>
      <c r="B26" s="1" t="s">
        <v>146</v>
      </c>
      <c r="C26" s="33">
        <f>C24-F320</f>
        <v>-39</v>
      </c>
      <c r="D26" s="33">
        <f t="shared" si="4"/>
        <v>88</v>
      </c>
      <c r="E26" s="33">
        <f t="shared" si="4"/>
        <v>13</v>
      </c>
      <c r="F26" s="33">
        <f t="shared" si="4"/>
        <v>19</v>
      </c>
      <c r="G26" s="13" t="s">
        <v>30</v>
      </c>
      <c r="H26" s="33">
        <f t="shared" si="8"/>
        <v>-21</v>
      </c>
      <c r="I26" s="33">
        <f t="shared" si="4"/>
        <v>59</v>
      </c>
      <c r="J26" s="43">
        <f t="shared" si="4"/>
        <v>-1.3578949267191547</v>
      </c>
      <c r="K26" s="11"/>
    </row>
    <row r="27" ht="15" customHeight="1">
      <c r="A27" s="1"/>
      <c r="B27" s="4" t="s">
        <v>147</v>
      </c>
      <c r="C27" s="44">
        <f>C24/F320-1</f>
        <v>-0.0625</v>
      </c>
      <c r="D27" s="44">
        <f t="shared" si="14" ref="D27:J275">D24/C24-1</f>
        <v>0.15042735042735034</v>
      </c>
      <c r="E27" s="44">
        <f t="shared" si="14"/>
        <v>0.019316493313521477</v>
      </c>
      <c r="F27" s="44">
        <f t="shared" si="14"/>
        <v>0.0276967930029155</v>
      </c>
      <c r="G27" s="36" t="s">
        <v>30</v>
      </c>
      <c r="H27" s="44">
        <f t="shared" si="28" ref="H27:H275">H24/F24-1</f>
        <v>-0.029787234042553234</v>
      </c>
      <c r="I27" s="44">
        <f t="shared" si="14"/>
        <v>0.08625730994152048</v>
      </c>
      <c r="J27" s="38">
        <f t="shared" si="14"/>
        <v>-0.0018275840198104243</v>
      </c>
      <c r="K27" s="11"/>
    </row>
    <row r="28" ht="15" customHeight="1">
      <c r="A28" s="1"/>
      <c r="B28" s="4" t="s">
        <v>206</v>
      </c>
      <c r="C28" s="44">
        <f t="shared" si="15" ref="C28:J28">C24/C272</f>
        <v>0.1195097037793667</v>
      </c>
      <c r="D28" s="44">
        <f t="shared" si="15"/>
        <v>0.1253492270441423</v>
      </c>
      <c r="E28" s="44">
        <f t="shared" si="15"/>
        <v>0.12591776798825258</v>
      </c>
      <c r="F28" s="44">
        <f t="shared" si="15"/>
        <v>0.12422907488986784</v>
      </c>
      <c r="G28" s="44">
        <f t="shared" si="15"/>
        <v>0.12386028896058353</v>
      </c>
      <c r="H28" s="44">
        <f t="shared" si="15"/>
        <v>0.12348799422278389</v>
      </c>
      <c r="I28" s="44">
        <f t="shared" si="15"/>
        <v>0.12694344780454467</v>
      </c>
      <c r="J28" s="38">
        <f t="shared" si="15"/>
        <v>0.12667921978179564</v>
      </c>
      <c r="K28" s="11"/>
    </row>
    <row r="29" ht="15" customHeight="1">
      <c r="A29" s="1"/>
      <c r="B29" s="4" t="s">
        <v>149</v>
      </c>
      <c r="C29" s="47">
        <f t="shared" si="16" ref="C29:J29">(C28-C320/C294)*10000</f>
        <v>-66.97347646638235</v>
      </c>
      <c r="D29" s="47">
        <f t="shared" si="16"/>
        <v>-28.721502266646215</v>
      </c>
      <c r="E29" s="47">
        <f t="shared" si="16"/>
        <v>1.5412779444595737</v>
      </c>
      <c r="F29" s="47">
        <f t="shared" si="16"/>
        <v>7.136354599391048</v>
      </c>
      <c r="G29" s="47">
        <f t="shared" si="16"/>
        <v>-20.219400502665824</v>
      </c>
      <c r="H29" s="47">
        <f t="shared" si="16"/>
        <v>39.782904434171876</v>
      </c>
      <c r="I29" s="47">
        <f t="shared" si="16"/>
        <v>15.942207604023595</v>
      </c>
      <c r="J29" s="48">
        <f t="shared" si="16"/>
        <v>7.614517935430609</v>
      </c>
      <c r="K29" s="11"/>
    </row>
    <row r="30" ht="15" customHeight="1">
      <c r="A30" s="1"/>
      <c r="B30" s="1" t="s">
        <v>167</v>
      </c>
      <c r="C30" s="13" t="s">
        <v>30</v>
      </c>
      <c r="D30" s="13" t="s">
        <v>30</v>
      </c>
      <c r="E30" s="33">
        <f t="shared" si="17" ref="E30:J233">E11+E23</f>
        <v>675.9949999999999</v>
      </c>
      <c r="F30" s="33">
        <f t="shared" si="17"/>
        <v>693.742</v>
      </c>
      <c r="G30" s="33">
        <f t="shared" si="17"/>
        <v>2631.8</v>
      </c>
      <c r="H30" s="33">
        <f t="shared" si="17"/>
        <v>657.935</v>
      </c>
      <c r="I30" s="33">
        <f t="shared" si="17"/>
        <v>737.6389999999999</v>
      </c>
      <c r="J30" s="43">
        <f t="shared" si="17"/>
        <v>747.8800000000001</v>
      </c>
      <c r="K30" s="11" t="s">
        <v>207</v>
      </c>
    </row>
    <row r="31" ht="15" customHeight="1">
      <c r="A31" s="1"/>
      <c r="B31" s="1" t="s">
        <v>208</v>
      </c>
      <c r="C31" s="33">
        <f t="shared" si="18" ref="C31:J32">C318</f>
        <v>271</v>
      </c>
      <c r="D31" s="33">
        <f t="shared" si="18"/>
        <v>292</v>
      </c>
      <c r="E31" s="33">
        <f t="shared" si="18"/>
        <v>288</v>
      </c>
      <c r="F31" s="33">
        <f t="shared" si="18"/>
        <v>303</v>
      </c>
      <c r="G31" s="33">
        <f t="shared" si="18"/>
        <v>1154</v>
      </c>
      <c r="H31" s="33">
        <f t="shared" si="18"/>
        <v>304</v>
      </c>
      <c r="I31" s="33">
        <f t="shared" si="18"/>
        <v>340</v>
      </c>
      <c r="J31" s="43">
        <f t="shared" si="18"/>
        <v>350</v>
      </c>
      <c r="K31" s="11"/>
    </row>
    <row r="32" ht="15" customHeight="1">
      <c r="A32" s="1"/>
      <c r="B32" s="1" t="s">
        <v>168</v>
      </c>
      <c r="C32" s="33">
        <f t="shared" si="18"/>
        <v>291</v>
      </c>
      <c r="D32" s="33">
        <f t="shared" si="18"/>
        <v>315</v>
      </c>
      <c r="E32" s="33">
        <f t="shared" si="18"/>
        <v>309</v>
      </c>
      <c r="F32" s="33">
        <f t="shared" si="18"/>
        <v>321</v>
      </c>
      <c r="G32" s="33">
        <f t="shared" si="18"/>
        <v>1236</v>
      </c>
      <c r="H32" s="33">
        <f t="shared" si="18"/>
        <v>281</v>
      </c>
      <c r="I32" s="33">
        <f t="shared" si="18"/>
        <v>333</v>
      </c>
      <c r="J32" s="43">
        <f t="shared" si="18"/>
        <v>336</v>
      </c>
      <c r="K32" s="11"/>
    </row>
    <row r="33" ht="15" customHeight="1">
      <c r="A33" s="1"/>
      <c r="B33" s="1" t="s">
        <v>169</v>
      </c>
      <c r="C33" s="33">
        <f t="shared" si="19" ref="C33:J338">C31+C32</f>
        <v>562</v>
      </c>
      <c r="D33" s="33">
        <f t="shared" si="19"/>
        <v>607</v>
      </c>
      <c r="E33" s="33">
        <f t="shared" si="19"/>
        <v>597</v>
      </c>
      <c r="F33" s="33">
        <f t="shared" si="19"/>
        <v>624</v>
      </c>
      <c r="G33" s="33">
        <f t="shared" si="19"/>
        <v>2390</v>
      </c>
      <c r="H33" s="33">
        <f t="shared" si="19"/>
        <v>585</v>
      </c>
      <c r="I33" s="33">
        <f t="shared" si="19"/>
        <v>673</v>
      </c>
      <c r="J33" s="43">
        <f t="shared" si="19"/>
        <v>686</v>
      </c>
      <c r="K33" s="11" t="s">
        <v>209</v>
      </c>
    </row>
    <row r="34" ht="15" customHeight="1">
      <c r="A34" s="1"/>
      <c r="B34" s="4" t="s">
        <v>152</v>
      </c>
      <c r="C34" s="36" t="s">
        <v>30</v>
      </c>
      <c r="D34" s="36" t="s">
        <v>30</v>
      </c>
      <c r="E34" s="44">
        <f t="shared" si="20" ref="E34:J34">(E33/E320)*(E30/(E30))-1</f>
        <v>0</v>
      </c>
      <c r="F34" s="44">
        <f t="shared" si="20"/>
        <v>0</v>
      </c>
      <c r="G34" s="44">
        <f t="shared" si="20"/>
        <v>0</v>
      </c>
      <c r="H34" s="44">
        <f t="shared" si="20"/>
        <v>0</v>
      </c>
      <c r="I34" s="44">
        <f t="shared" si="20"/>
        <v>0</v>
      </c>
      <c r="J34" s="38">
        <f t="shared" si="20"/>
        <v>0</v>
      </c>
      <c r="K34" s="11" t="s">
        <v>210</v>
      </c>
    </row>
    <row r="35" ht="15" customHeight="1">
      <c r="A35" s="1"/>
      <c r="B35" s="4" t="s">
        <v>151</v>
      </c>
      <c r="C35" s="36" t="s">
        <v>30</v>
      </c>
      <c r="D35" s="47" t="str">
        <f t="shared" si="5"/>
        <v>n/a</v>
      </c>
      <c r="E35" s="47" t="str">
        <f t="shared" si="5"/>
        <v>n/a</v>
      </c>
      <c r="F35" s="47">
        <f t="shared" si="5"/>
        <v>0</v>
      </c>
      <c r="G35" s="36" t="s">
        <v>30</v>
      </c>
      <c r="H35" s="47">
        <f t="shared" si="9"/>
        <v>0</v>
      </c>
      <c r="I35" s="47">
        <f t="shared" si="5"/>
        <v>0</v>
      </c>
      <c r="J35" s="48">
        <f t="shared" si="5"/>
        <v>0</v>
      </c>
      <c r="K35" s="11"/>
    </row>
    <row r="36" ht="15" customHeight="1">
      <c r="A36" s="1"/>
      <c r="B36" s="4" t="s">
        <v>153</v>
      </c>
      <c r="C36" s="36" t="s">
        <v>30</v>
      </c>
      <c r="D36" s="36" t="s">
        <v>30</v>
      </c>
      <c r="E36" s="44">
        <f t="shared" si="21" ref="E36:J239">E24/E30-1</f>
        <v>0.014800405328441846</v>
      </c>
      <c r="F36" s="44">
        <f t="shared" si="21"/>
        <v>0.01622793488069063</v>
      </c>
      <c r="G36" s="44">
        <f t="shared" si="21"/>
        <v>0.006535451022114058</v>
      </c>
      <c r="H36" s="44">
        <f t="shared" si="21"/>
        <v>0.03961637547782093</v>
      </c>
      <c r="I36" s="44">
        <f t="shared" si="21"/>
        <v>0.007267782750098872</v>
      </c>
      <c r="J36" s="38">
        <f t="shared" si="21"/>
        <v>-0.00834076981162657</v>
      </c>
      <c r="K36" s="11"/>
    </row>
    <row r="37" ht="15" customHeight="1">
      <c r="A37" s="1"/>
      <c r="B37" s="4" t="s">
        <v>151</v>
      </c>
      <c r="C37" s="36" t="s">
        <v>30</v>
      </c>
      <c r="D37" s="47" t="str">
        <f t="shared" si="5"/>
        <v>n/a</v>
      </c>
      <c r="E37" s="47" t="str">
        <f t="shared" si="5"/>
        <v>n/a</v>
      </c>
      <c r="F37" s="47">
        <f t="shared" si="5"/>
        <v>14.275295522487852</v>
      </c>
      <c r="G37" s="36" t="s">
        <v>30</v>
      </c>
      <c r="H37" s="47">
        <f t="shared" si="9"/>
        <v>233.884405971303</v>
      </c>
      <c r="I37" s="47">
        <f t="shared" si="5"/>
        <v>-323.4859272772206</v>
      </c>
      <c r="J37" s="48">
        <f t="shared" si="5"/>
        <v>-156.0855256172544</v>
      </c>
      <c r="K37" s="11"/>
    </row>
    <row r="38" ht="15" customHeight="1">
      <c r="A38" s="1"/>
      <c r="B38" s="4" t="s">
        <v>211</v>
      </c>
      <c r="C38" s="36" t="s">
        <v>30</v>
      </c>
      <c r="D38" s="36" t="s">
        <v>30</v>
      </c>
      <c r="E38" s="44">
        <f t="shared" si="22" ref="E38:J241">(1+E25)/((1+E34)*(1+E36))-1</f>
        <v>0.1323199329983249</v>
      </c>
      <c r="F38" s="44">
        <f t="shared" si="22"/>
        <v>0.11176602564102556</v>
      </c>
      <c r="G38" s="44">
        <f t="shared" si="22"/>
        <v>0.1011715481171549</v>
      </c>
      <c r="H38" s="44">
        <f t="shared" si="22"/>
        <v>0.12467521367521361</v>
      </c>
      <c r="I38" s="44">
        <f t="shared" si="22"/>
        <v>0.09604606240713198</v>
      </c>
      <c r="J38" s="38">
        <f t="shared" si="22"/>
        <v>0.09020408163265325</v>
      </c>
      <c r="K38" s="11" t="s">
        <v>212</v>
      </c>
    </row>
    <row r="39" ht="15" customHeight="1">
      <c r="A39" s="1"/>
      <c r="B39" s="4" t="s">
        <v>151</v>
      </c>
      <c r="C39" s="36" t="s">
        <v>30</v>
      </c>
      <c r="D39" s="47" t="str">
        <f t="shared" si="5"/>
        <v>n/a</v>
      </c>
      <c r="E39" s="47" t="str">
        <f t="shared" si="5"/>
        <v>n/a</v>
      </c>
      <c r="F39" s="47">
        <f t="shared" si="5"/>
        <v>-205.5390735729934</v>
      </c>
      <c r="G39" s="36" t="s">
        <v>30</v>
      </c>
      <c r="H39" s="47">
        <f t="shared" si="9"/>
        <v>129.09188034188057</v>
      </c>
      <c r="I39" s="47">
        <f t="shared" si="5"/>
        <v>-286.2915126808163</v>
      </c>
      <c r="J39" s="48">
        <f t="shared" si="5"/>
        <v>-58.41980774478728</v>
      </c>
      <c r="K39" s="11"/>
    </row>
    <row r="40" ht="15" customHeight="1">
      <c r="A40" s="1"/>
      <c r="B40" s="4" t="s">
        <v>213</v>
      </c>
      <c r="C40" s="44">
        <f t="shared" si="23" ref="C40:J243">C11/C24</f>
        <v>0.5196581196581197</v>
      </c>
      <c r="D40" s="44">
        <f t="shared" si="23"/>
        <v>0.5052005943536404</v>
      </c>
      <c r="E40" s="44">
        <f t="shared" si="23"/>
        <v>0.5102040816326531</v>
      </c>
      <c r="F40" s="44">
        <f t="shared" si="23"/>
        <v>0.48226950354609927</v>
      </c>
      <c r="G40" s="44">
        <f t="shared" si="23"/>
        <v>0.5035862589656475</v>
      </c>
      <c r="H40" s="44">
        <f t="shared" si="23"/>
        <v>0.4956140350877193</v>
      </c>
      <c r="I40" s="44">
        <f t="shared" si="23"/>
        <v>0.5074024226110363</v>
      </c>
      <c r="J40" s="38">
        <f t="shared" si="23"/>
        <v>0.5191183151096291</v>
      </c>
      <c r="K40" s="11"/>
    </row>
    <row r="41" ht="15" customHeight="1">
      <c r="A41" s="1"/>
      <c r="B41" s="4" t="s">
        <v>214</v>
      </c>
      <c r="C41" s="47">
        <f t="shared" si="24" ref="C41:J41">(C40-C318/C320)*10000</f>
        <v>374.5171396416952</v>
      </c>
      <c r="D41" s="47">
        <f t="shared" si="24"/>
        <v>241.46228620526733</v>
      </c>
      <c r="E41" s="47">
        <f t="shared" si="24"/>
        <v>277.92021331145554</v>
      </c>
      <c r="F41" s="47">
        <f t="shared" si="24"/>
        <v>-33.074195308238075</v>
      </c>
      <c r="G41" s="47">
        <f t="shared" si="24"/>
        <v>207.41070681128627</v>
      </c>
      <c r="H41" s="47">
        <f t="shared" si="24"/>
        <v>-240.44084570400415</v>
      </c>
      <c r="I41" s="47">
        <f t="shared" si="24"/>
        <v>22.01828257395899</v>
      </c>
      <c r="J41" s="48">
        <f t="shared" si="24"/>
        <v>89.14233476976064</v>
      </c>
      <c r="K41" s="11"/>
    </row>
    <row r="42" ht="15" customHeight="1">
      <c r="A42" s="1"/>
      <c r="B42" s="1"/>
      <c r="C42" s="1"/>
      <c r="D42" s="1"/>
      <c r="E42" s="1"/>
      <c r="F42" s="1"/>
      <c r="G42" s="1"/>
      <c r="H42" s="1"/>
      <c r="I42" s="1"/>
      <c r="J42" s="35"/>
      <c r="K42" s="11"/>
    </row>
    <row r="43" ht="15" customHeight="1">
      <c r="A43" s="1"/>
      <c r="B43" s="3" t="s">
        <v>347</v>
      </c>
      <c r="C43" s="1"/>
      <c r="D43" s="1"/>
      <c r="E43" s="1"/>
      <c r="F43" s="1"/>
      <c r="G43" s="1"/>
      <c r="H43" s="1"/>
      <c r="I43" s="1"/>
      <c r="J43" s="35"/>
      <c r="K43" s="11"/>
    </row>
    <row r="44" ht="15" customHeight="1">
      <c r="A44" s="1"/>
      <c r="B44" s="1" t="s">
        <v>193</v>
      </c>
      <c r="C44" s="29">
        <v>299</v>
      </c>
      <c r="D44" s="29">
        <v>322</v>
      </c>
      <c r="E44" s="29">
        <v>322</v>
      </c>
      <c r="F44" s="29">
        <v>340</v>
      </c>
      <c r="G44" s="33">
        <f t="shared" si="6"/>
        <v>1283</v>
      </c>
      <c r="H44" s="29">
        <v>378</v>
      </c>
      <c r="I44" s="29">
        <v>420</v>
      </c>
      <c r="J44" s="43">
        <f>(J321)*(1+J47)</f>
        <v>434.4</v>
      </c>
      <c r="K44" s="11" t="s">
        <v>348</v>
      </c>
    </row>
    <row r="45" ht="15" customHeight="1">
      <c r="A45" s="1"/>
      <c r="B45" s="4" t="s">
        <v>195</v>
      </c>
      <c r="C45" s="44">
        <f t="shared" si="25" ref="C45:J45">C44/C321-1</f>
        <v>0.11152416356877315</v>
      </c>
      <c r="D45" s="44">
        <f t="shared" si="25"/>
        <v>0.12195121951219523</v>
      </c>
      <c r="E45" s="44">
        <f t="shared" si="25"/>
        <v>0.12982456140350873</v>
      </c>
      <c r="F45" s="44">
        <f t="shared" si="25"/>
        <v>0.1333333333333333</v>
      </c>
      <c r="G45" s="44">
        <f t="shared" si="25"/>
        <v>0.12445223488168278</v>
      </c>
      <c r="H45" s="44">
        <f t="shared" si="25"/>
        <v>0.1351351351351351</v>
      </c>
      <c r="I45" s="44">
        <f t="shared" si="25"/>
        <v>0.16022099447513805</v>
      </c>
      <c r="J45" s="38">
        <f t="shared" si="25"/>
        <v>0.19999999999999996</v>
      </c>
      <c r="K45" s="11" t="s">
        <v>349</v>
      </c>
    </row>
    <row r="46" ht="15" customHeight="1">
      <c r="A46" s="1"/>
      <c r="B46" s="1" t="s">
        <v>196</v>
      </c>
      <c r="C46" s="33">
        <f>C44-F321</f>
        <v>-1</v>
      </c>
      <c r="D46" s="33">
        <f t="shared" si="4"/>
        <v>23</v>
      </c>
      <c r="E46" s="33">
        <f t="shared" si="4"/>
        <v>0</v>
      </c>
      <c r="F46" s="33">
        <f t="shared" si="4"/>
        <v>18</v>
      </c>
      <c r="G46" s="13" t="s">
        <v>30</v>
      </c>
      <c r="H46" s="33">
        <f t="shared" si="8"/>
        <v>38</v>
      </c>
      <c r="I46" s="33">
        <f t="shared" si="4"/>
        <v>42</v>
      </c>
      <c r="J46" s="43">
        <f t="shared" si="4"/>
        <v>14.399999999999977</v>
      </c>
      <c r="K46" s="11" t="s">
        <v>273</v>
      </c>
    </row>
    <row r="47" ht="15" customHeight="1">
      <c r="A47" s="1"/>
      <c r="B47" s="4" t="s">
        <v>197</v>
      </c>
      <c r="C47" s="36" t="s">
        <v>30</v>
      </c>
      <c r="D47" s="36" t="s">
        <v>30</v>
      </c>
      <c r="E47" s="54">
        <v>0.132</v>
      </c>
      <c r="F47" s="54">
        <v>0.131</v>
      </c>
      <c r="G47" s="54">
        <v>0.124</v>
      </c>
      <c r="H47" s="54">
        <v>0.13699999999999998</v>
      </c>
      <c r="I47" s="54">
        <v>0.159</v>
      </c>
      <c r="J47" s="37">
        <v>0.2</v>
      </c>
      <c r="K47" s="11" t="s">
        <v>350</v>
      </c>
    </row>
    <row r="48" ht="15" customHeight="1">
      <c r="A48" s="1"/>
      <c r="B48" s="4" t="s">
        <v>199</v>
      </c>
      <c r="C48" s="36" t="s">
        <v>30</v>
      </c>
      <c r="D48" s="47" t="str">
        <f t="shared" si="5"/>
        <v>n/a</v>
      </c>
      <c r="E48" s="47" t="str">
        <f t="shared" si="5"/>
        <v>n/a</v>
      </c>
      <c r="F48" s="47">
        <f t="shared" si="5"/>
        <v>-10.000000000000009</v>
      </c>
      <c r="G48" s="36" t="s">
        <v>30</v>
      </c>
      <c r="H48" s="47">
        <f t="shared" si="9"/>
        <v>59.99999999999977</v>
      </c>
      <c r="I48" s="47">
        <f t="shared" si="5"/>
        <v>220.0000000000002</v>
      </c>
      <c r="J48" s="48">
        <f t="shared" si="5"/>
        <v>410.0000000000001</v>
      </c>
      <c r="K48" s="11"/>
    </row>
    <row r="49" ht="15" customHeight="1">
      <c r="A49" s="1"/>
      <c r="B49" s="1" t="s">
        <v>200</v>
      </c>
      <c r="C49" s="29">
        <v>330</v>
      </c>
      <c r="D49" s="29">
        <v>378</v>
      </c>
      <c r="E49" s="29">
        <v>383</v>
      </c>
      <c r="F49" s="29">
        <v>390</v>
      </c>
      <c r="G49" s="33">
        <f t="shared" si="6"/>
        <v>1481</v>
      </c>
      <c r="H49" s="29">
        <v>410</v>
      </c>
      <c r="I49" s="29">
        <v>441</v>
      </c>
      <c r="J49" s="43">
        <f>(J322)*(1+J52)*(1+J54)</f>
        <v>445.92056854565953</v>
      </c>
      <c r="K49" s="11" t="s">
        <v>348</v>
      </c>
    </row>
    <row r="50" ht="15" customHeight="1">
      <c r="A50" s="1"/>
      <c r="B50" s="4" t="s">
        <v>195</v>
      </c>
      <c r="C50" s="44">
        <f t="shared" si="26" ref="C50:J50">C49/C322-1</f>
        <v>0.037735849056603765</v>
      </c>
      <c r="D50" s="44">
        <f t="shared" si="26"/>
        <v>0.11176470588235299</v>
      </c>
      <c r="E50" s="44">
        <f t="shared" si="26"/>
        <v>0.17846153846153845</v>
      </c>
      <c r="F50" s="44">
        <f t="shared" si="26"/>
        <v>0.13702623906705536</v>
      </c>
      <c r="G50" s="44">
        <f t="shared" si="26"/>
        <v>0.1168929110105581</v>
      </c>
      <c r="H50" s="44">
        <f t="shared" si="26"/>
        <v>0.19883040935672525</v>
      </c>
      <c r="I50" s="44">
        <f t="shared" si="26"/>
        <v>0.12213740458015265</v>
      </c>
      <c r="J50" s="38">
        <f t="shared" si="26"/>
        <v>0.12040343855693347</v>
      </c>
      <c r="K50" s="11" t="s">
        <v>349</v>
      </c>
    </row>
    <row r="51" ht="15" customHeight="1">
      <c r="A51" s="1"/>
      <c r="B51" s="1" t="s">
        <v>196</v>
      </c>
      <c r="C51" s="33">
        <f>C49-F322</f>
        <v>-13</v>
      </c>
      <c r="D51" s="33">
        <f t="shared" si="4"/>
        <v>48</v>
      </c>
      <c r="E51" s="33">
        <f t="shared" si="4"/>
        <v>5</v>
      </c>
      <c r="F51" s="33">
        <f t="shared" si="4"/>
        <v>7</v>
      </c>
      <c r="G51" s="13" t="s">
        <v>30</v>
      </c>
      <c r="H51" s="33">
        <f t="shared" si="8"/>
        <v>20</v>
      </c>
      <c r="I51" s="33">
        <f t="shared" si="4"/>
        <v>31</v>
      </c>
      <c r="J51" s="43">
        <f t="shared" si="4"/>
        <v>4.920568545659535</v>
      </c>
      <c r="K51" s="11" t="s">
        <v>273</v>
      </c>
    </row>
    <row r="52" ht="15" customHeight="1">
      <c r="A52" s="1"/>
      <c r="B52" s="4" t="s">
        <v>197</v>
      </c>
      <c r="C52" s="36" t="s">
        <v>30</v>
      </c>
      <c r="D52" s="36" t="s">
        <v>30</v>
      </c>
      <c r="E52" s="54">
        <v>0.141</v>
      </c>
      <c r="F52" s="54">
        <v>0.119</v>
      </c>
      <c r="G52" s="54">
        <v>0.109</v>
      </c>
      <c r="H52" s="54">
        <v>0.112</v>
      </c>
      <c r="I52" s="54">
        <v>0.111</v>
      </c>
      <c r="J52" s="37">
        <v>0.14</v>
      </c>
      <c r="K52" s="11" t="s">
        <v>351</v>
      </c>
    </row>
    <row r="53" ht="15" customHeight="1">
      <c r="A53" s="1"/>
      <c r="B53" s="4" t="s">
        <v>199</v>
      </c>
      <c r="C53" s="36" t="s">
        <v>30</v>
      </c>
      <c r="D53" s="47" t="str">
        <f t="shared" si="5"/>
        <v>n/a</v>
      </c>
      <c r="E53" s="47" t="str">
        <f t="shared" si="5"/>
        <v>n/a</v>
      </c>
      <c r="F53" s="47">
        <f t="shared" si="5"/>
        <v>-219.99999999999991</v>
      </c>
      <c r="G53" s="36" t="s">
        <v>30</v>
      </c>
      <c r="H53" s="47">
        <f t="shared" si="9"/>
        <v>-69.99999999999993</v>
      </c>
      <c r="I53" s="47">
        <f t="shared" si="5"/>
        <v>-10.000000000000009</v>
      </c>
      <c r="J53" s="48">
        <f t="shared" si="5"/>
        <v>290.0000000000001</v>
      </c>
      <c r="K53" s="11"/>
    </row>
    <row r="54" ht="15" customHeight="1">
      <c r="A54" s="1"/>
      <c r="B54" s="4" t="s">
        <v>202</v>
      </c>
      <c r="C54" s="36" t="s">
        <v>30</v>
      </c>
      <c r="D54" s="36" t="s">
        <v>30</v>
      </c>
      <c r="E54" s="44">
        <f t="shared" si="10"/>
        <v>0.0328321984763702</v>
      </c>
      <c r="F54" s="44">
        <f t="shared" si="10"/>
        <v>0.016109239559477517</v>
      </c>
      <c r="G54" s="44">
        <f t="shared" si="10"/>
        <v>0.007117142480214778</v>
      </c>
      <c r="H54" s="44">
        <f t="shared" si="10"/>
        <v>0.07808490050065209</v>
      </c>
      <c r="I54" s="44">
        <f t="shared" si="10"/>
        <v>0.010024666588796194</v>
      </c>
      <c r="J54" s="42">
        <f>'Revenue summary'!J12</f>
        <v>-0.017189966178128523</v>
      </c>
      <c r="K54" s="11" t="s">
        <v>203</v>
      </c>
    </row>
    <row r="55" ht="15" customHeight="1">
      <c r="A55" s="1"/>
      <c r="B55" s="4" t="s">
        <v>199</v>
      </c>
      <c r="C55" s="36" t="s">
        <v>30</v>
      </c>
      <c r="D55" s="47" t="str">
        <f t="shared" si="5"/>
        <v>n/a</v>
      </c>
      <c r="E55" s="47" t="str">
        <f t="shared" si="5"/>
        <v>n/a</v>
      </c>
      <c r="F55" s="47">
        <f t="shared" si="5"/>
        <v>-167.22958916892682</v>
      </c>
      <c r="G55" s="36" t="s">
        <v>30</v>
      </c>
      <c r="H55" s="47">
        <f t="shared" si="9"/>
        <v>619.7566094117457</v>
      </c>
      <c r="I55" s="47">
        <f t="shared" si="5"/>
        <v>-680.6023391185589</v>
      </c>
      <c r="J55" s="48">
        <f t="shared" si="5"/>
        <v>-272.14632766924717</v>
      </c>
      <c r="K55" s="11"/>
    </row>
    <row r="56" ht="15" customHeight="1">
      <c r="A56" s="1"/>
      <c r="B56" s="1" t="s">
        <v>204</v>
      </c>
      <c r="C56" s="13" t="s">
        <v>30</v>
      </c>
      <c r="D56" s="13" t="s">
        <v>30</v>
      </c>
      <c r="E56" s="33">
        <f t="shared" si="11"/>
        <v>370.82500000000005</v>
      </c>
      <c r="F56" s="33">
        <f t="shared" si="11"/>
        <v>383.817</v>
      </c>
      <c r="G56" s="33">
        <f t="shared" si="11"/>
        <v>1470.5339999999999</v>
      </c>
      <c r="H56" s="33">
        <f t="shared" si="11"/>
        <v>380.30400000000003</v>
      </c>
      <c r="I56" s="33">
        <f t="shared" si="11"/>
        <v>436.62300000000005</v>
      </c>
      <c r="J56" s="43">
        <f t="shared" si="11"/>
        <v>453.72</v>
      </c>
      <c r="K56" s="11"/>
    </row>
    <row r="57" ht="15" customHeight="1">
      <c r="A57" s="1"/>
      <c r="B57" s="3" t="s">
        <v>352</v>
      </c>
      <c r="C57" s="50">
        <f t="shared" si="12"/>
        <v>629</v>
      </c>
      <c r="D57" s="50">
        <f t="shared" si="12"/>
        <v>700</v>
      </c>
      <c r="E57" s="50">
        <f t="shared" si="12"/>
        <v>705</v>
      </c>
      <c r="F57" s="50">
        <f t="shared" si="12"/>
        <v>730</v>
      </c>
      <c r="G57" s="50">
        <f t="shared" si="12"/>
        <v>2764</v>
      </c>
      <c r="H57" s="50">
        <f t="shared" si="12"/>
        <v>788</v>
      </c>
      <c r="I57" s="50">
        <f t="shared" si="12"/>
        <v>861</v>
      </c>
      <c r="J57" s="51">
        <f t="shared" si="12"/>
        <v>880.3205685456595</v>
      </c>
      <c r="K57" s="11"/>
    </row>
    <row r="58" ht="15" customHeight="1">
      <c r="A58" s="1"/>
      <c r="B58" s="4" t="s">
        <v>166</v>
      </c>
      <c r="C58" s="44">
        <f t="shared" si="27" ref="C58:J58">C57/C323-1</f>
        <v>0.07155025553662697</v>
      </c>
      <c r="D58" s="44">
        <f t="shared" si="27"/>
        <v>0.11642743221690588</v>
      </c>
      <c r="E58" s="44">
        <f t="shared" si="27"/>
        <v>0.15573770491803285</v>
      </c>
      <c r="F58" s="44">
        <f t="shared" si="27"/>
        <v>0.13530326594090192</v>
      </c>
      <c r="G58" s="44">
        <f t="shared" si="27"/>
        <v>0.12038913660316175</v>
      </c>
      <c r="H58" s="44">
        <f t="shared" si="27"/>
        <v>0.16740740740740745</v>
      </c>
      <c r="I58" s="44">
        <f t="shared" si="27"/>
        <v>0.14039735099337758</v>
      </c>
      <c r="J58" s="38">
        <f t="shared" si="27"/>
        <v>0.15831653756007835</v>
      </c>
      <c r="K58" s="11"/>
    </row>
    <row r="59" ht="15" customHeight="1">
      <c r="A59" s="1"/>
      <c r="B59" s="1" t="s">
        <v>146</v>
      </c>
      <c r="C59" s="33">
        <f>C57-F323</f>
        <v>-14</v>
      </c>
      <c r="D59" s="33">
        <f t="shared" si="4"/>
        <v>71</v>
      </c>
      <c r="E59" s="33">
        <f t="shared" si="4"/>
        <v>5</v>
      </c>
      <c r="F59" s="33">
        <f t="shared" si="4"/>
        <v>25</v>
      </c>
      <c r="G59" s="13" t="s">
        <v>30</v>
      </c>
      <c r="H59" s="33">
        <f t="shared" si="8"/>
        <v>58</v>
      </c>
      <c r="I59" s="33">
        <f t="shared" si="4"/>
        <v>73</v>
      </c>
      <c r="J59" s="43">
        <f t="shared" si="4"/>
        <v>19.320568545659512</v>
      </c>
      <c r="K59" s="11"/>
    </row>
    <row r="60" ht="15" customHeight="1">
      <c r="A60" s="1"/>
      <c r="B60" s="4" t="s">
        <v>147</v>
      </c>
      <c r="C60" s="44">
        <f>C57/F323-1</f>
        <v>-0.021772939346811793</v>
      </c>
      <c r="D60" s="44">
        <f t="shared" si="14"/>
        <v>0.11287758346581866</v>
      </c>
      <c r="E60" s="44">
        <f t="shared" si="14"/>
        <v>0.0071428571428571175</v>
      </c>
      <c r="F60" s="44">
        <f t="shared" si="14"/>
        <v>0.03546099290780136</v>
      </c>
      <c r="G60" s="36" t="s">
        <v>30</v>
      </c>
      <c r="H60" s="44">
        <f t="shared" si="28"/>
        <v>0.07945205479452055</v>
      </c>
      <c r="I60" s="44">
        <f t="shared" si="14"/>
        <v>0.09263959390862953</v>
      </c>
      <c r="J60" s="38">
        <f t="shared" si="14"/>
        <v>0.022439684722020292</v>
      </c>
      <c r="K60" s="11"/>
    </row>
    <row r="61" ht="15" customHeight="1">
      <c r="A61" s="1"/>
      <c r="B61" s="4" t="s">
        <v>206</v>
      </c>
      <c r="C61" s="44">
        <f t="shared" si="29" ref="C61:J61">C57/C272</f>
        <v>0.1284984678243105</v>
      </c>
      <c r="D61" s="44">
        <f t="shared" si="29"/>
        <v>0.1303780964797914</v>
      </c>
      <c r="E61" s="44">
        <f t="shared" si="29"/>
        <v>0.12940528634361234</v>
      </c>
      <c r="F61" s="44">
        <f t="shared" si="29"/>
        <v>0.12863436123348018</v>
      </c>
      <c r="G61" s="44">
        <f t="shared" si="29"/>
        <v>0.12923738719783046</v>
      </c>
      <c r="H61" s="44">
        <f t="shared" si="29"/>
        <v>0.14226394656075103</v>
      </c>
      <c r="I61" s="44">
        <f t="shared" si="29"/>
        <v>0.14710404920553563</v>
      </c>
      <c r="J61" s="38">
        <f t="shared" si="29"/>
        <v>0.15036676318453074</v>
      </c>
      <c r="K61" s="11"/>
    </row>
    <row r="62" ht="15" customHeight="1">
      <c r="A62" s="1"/>
      <c r="B62" s="4" t="s">
        <v>149</v>
      </c>
      <c r="C62" s="47">
        <f t="shared" si="30" ref="C62:J62">(C61-C323/C294)*10000</f>
        <v>-33.227762807871706</v>
      </c>
      <c r="D62" s="47">
        <f t="shared" si="30"/>
        <v>-20.68037867483635</v>
      </c>
      <c r="E62" s="47">
        <f t="shared" si="30"/>
        <v>9.030744202923602</v>
      </c>
      <c r="F62" s="47">
        <f t="shared" si="30"/>
        <v>13.580350260375962</v>
      </c>
      <c r="G62" s="47">
        <f t="shared" si="30"/>
        <v>-7.004617434947235</v>
      </c>
      <c r="H62" s="47">
        <f t="shared" si="30"/>
        <v>43.68134507635596</v>
      </c>
      <c r="I62" s="47">
        <f t="shared" si="30"/>
        <v>64.81959430903488</v>
      </c>
      <c r="J62" s="48">
        <f t="shared" si="30"/>
        <v>108.66028970140135</v>
      </c>
      <c r="K62" s="11"/>
    </row>
    <row r="63" ht="15" customHeight="1">
      <c r="A63" s="1"/>
      <c r="B63" s="1" t="s">
        <v>167</v>
      </c>
      <c r="C63" s="13" t="s">
        <v>30</v>
      </c>
      <c r="D63" s="13" t="s">
        <v>30</v>
      </c>
      <c r="E63" s="33">
        <f t="shared" si="17"/>
        <v>692.825</v>
      </c>
      <c r="F63" s="33">
        <f t="shared" si="17"/>
        <v>723.817</v>
      </c>
      <c r="G63" s="33">
        <f t="shared" si="17"/>
        <v>2753.5339999999997</v>
      </c>
      <c r="H63" s="33">
        <f t="shared" si="17"/>
        <v>758.3040000000001</v>
      </c>
      <c r="I63" s="33">
        <f t="shared" si="17"/>
        <v>856.623</v>
      </c>
      <c r="J63" s="43">
        <f t="shared" si="17"/>
        <v>888.12</v>
      </c>
      <c r="K63" s="11" t="s">
        <v>207</v>
      </c>
    </row>
    <row r="64" ht="15" customHeight="1">
      <c r="A64" s="1"/>
      <c r="B64" s="1" t="s">
        <v>208</v>
      </c>
      <c r="C64" s="33">
        <f t="shared" si="31" ref="C64:J65">C321</f>
        <v>269</v>
      </c>
      <c r="D64" s="33">
        <f t="shared" si="31"/>
        <v>287</v>
      </c>
      <c r="E64" s="33">
        <f t="shared" si="31"/>
        <v>285</v>
      </c>
      <c r="F64" s="33">
        <f t="shared" si="31"/>
        <v>300</v>
      </c>
      <c r="G64" s="33">
        <f t="shared" si="31"/>
        <v>1141</v>
      </c>
      <c r="H64" s="33">
        <f t="shared" si="31"/>
        <v>333</v>
      </c>
      <c r="I64" s="33">
        <f t="shared" si="31"/>
        <v>362</v>
      </c>
      <c r="J64" s="43">
        <f t="shared" si="31"/>
        <v>362</v>
      </c>
      <c r="K64" s="11"/>
    </row>
    <row r="65" ht="15" customHeight="1">
      <c r="A65" s="1"/>
      <c r="B65" s="1" t="s">
        <v>168</v>
      </c>
      <c r="C65" s="33">
        <f t="shared" si="31"/>
        <v>318</v>
      </c>
      <c r="D65" s="33">
        <f t="shared" si="31"/>
        <v>340</v>
      </c>
      <c r="E65" s="33">
        <f t="shared" si="31"/>
        <v>325</v>
      </c>
      <c r="F65" s="33">
        <f t="shared" si="31"/>
        <v>343</v>
      </c>
      <c r="G65" s="33">
        <f t="shared" si="31"/>
        <v>1326</v>
      </c>
      <c r="H65" s="33">
        <f t="shared" si="31"/>
        <v>342</v>
      </c>
      <c r="I65" s="33">
        <f t="shared" si="31"/>
        <v>393</v>
      </c>
      <c r="J65" s="43">
        <f t="shared" si="31"/>
        <v>398</v>
      </c>
      <c r="K65" s="11"/>
    </row>
    <row r="66" ht="15" customHeight="1">
      <c r="A66" s="1"/>
      <c r="B66" s="1" t="s">
        <v>169</v>
      </c>
      <c r="C66" s="33">
        <f t="shared" si="19"/>
        <v>587</v>
      </c>
      <c r="D66" s="33">
        <f t="shared" si="19"/>
        <v>627</v>
      </c>
      <c r="E66" s="33">
        <f t="shared" si="19"/>
        <v>610</v>
      </c>
      <c r="F66" s="33">
        <f t="shared" si="19"/>
        <v>643</v>
      </c>
      <c r="G66" s="33">
        <f t="shared" si="19"/>
        <v>2467</v>
      </c>
      <c r="H66" s="33">
        <f t="shared" si="19"/>
        <v>675</v>
      </c>
      <c r="I66" s="33">
        <f t="shared" si="19"/>
        <v>755</v>
      </c>
      <c r="J66" s="43">
        <f t="shared" si="19"/>
        <v>760</v>
      </c>
      <c r="K66" s="11" t="s">
        <v>209</v>
      </c>
    </row>
    <row r="67" ht="15" customHeight="1">
      <c r="A67" s="1"/>
      <c r="B67" s="4" t="s">
        <v>152</v>
      </c>
      <c r="C67" s="36" t="s">
        <v>30</v>
      </c>
      <c r="D67" s="36" t="s">
        <v>30</v>
      </c>
      <c r="E67" s="44">
        <f t="shared" si="32" ref="E67:J67">(E66/E323)*(E63/(E63))-1</f>
        <v>0</v>
      </c>
      <c r="F67" s="44">
        <f t="shared" si="32"/>
        <v>0</v>
      </c>
      <c r="G67" s="44">
        <f t="shared" si="32"/>
        <v>0</v>
      </c>
      <c r="H67" s="44">
        <f t="shared" si="32"/>
        <v>0</v>
      </c>
      <c r="I67" s="44">
        <f t="shared" si="32"/>
        <v>0</v>
      </c>
      <c r="J67" s="38">
        <f t="shared" si="32"/>
        <v>0</v>
      </c>
      <c r="K67" s="11" t="s">
        <v>210</v>
      </c>
    </row>
    <row r="68" ht="15" customHeight="1">
      <c r="A68" s="1"/>
      <c r="B68" s="4" t="s">
        <v>151</v>
      </c>
      <c r="C68" s="36" t="s">
        <v>30</v>
      </c>
      <c r="D68" s="47" t="str">
        <f t="shared" si="5"/>
        <v>n/a</v>
      </c>
      <c r="E68" s="47" t="str">
        <f t="shared" si="5"/>
        <v>n/a</v>
      </c>
      <c r="F68" s="47">
        <f t="shared" si="5"/>
        <v>0</v>
      </c>
      <c r="G68" s="36" t="s">
        <v>30</v>
      </c>
      <c r="H68" s="47">
        <f t="shared" si="9"/>
        <v>0</v>
      </c>
      <c r="I68" s="47">
        <f t="shared" si="5"/>
        <v>0</v>
      </c>
      <c r="J68" s="48">
        <f t="shared" si="5"/>
        <v>0</v>
      </c>
      <c r="K68" s="11"/>
    </row>
    <row r="69" ht="15" customHeight="1">
      <c r="A69" s="1"/>
      <c r="B69" s="4" t="s">
        <v>153</v>
      </c>
      <c r="C69" s="36" t="s">
        <v>30</v>
      </c>
      <c r="D69" s="36" t="s">
        <v>30</v>
      </c>
      <c r="E69" s="44">
        <f t="shared" si="21"/>
        <v>0.01757298018980258</v>
      </c>
      <c r="F69" s="44">
        <f t="shared" si="21"/>
        <v>0.008542214399495984</v>
      </c>
      <c r="G69" s="44">
        <f t="shared" si="21"/>
        <v>0.00380093363655587</v>
      </c>
      <c r="H69" s="44">
        <f t="shared" si="21"/>
        <v>0.039161075241591625</v>
      </c>
      <c r="I69" s="44">
        <f t="shared" si="21"/>
        <v>0.00510959897177643</v>
      </c>
      <c r="J69" s="38">
        <f t="shared" si="21"/>
        <v>-0.008781956778746713</v>
      </c>
      <c r="K69" s="11"/>
    </row>
    <row r="70" ht="15" customHeight="1">
      <c r="A70" s="1"/>
      <c r="B70" s="4" t="s">
        <v>151</v>
      </c>
      <c r="C70" s="36" t="s">
        <v>30</v>
      </c>
      <c r="D70" s="47" t="str">
        <f t="shared" si="5"/>
        <v>n/a</v>
      </c>
      <c r="E70" s="47" t="str">
        <f t="shared" si="5"/>
        <v>n/a</v>
      </c>
      <c r="F70" s="47">
        <f t="shared" si="5"/>
        <v>-90.30765790306594</v>
      </c>
      <c r="G70" s="36" t="s">
        <v>30</v>
      </c>
      <c r="H70" s="47">
        <f t="shared" si="9"/>
        <v>306.1886084209564</v>
      </c>
      <c r="I70" s="47">
        <f t="shared" si="5"/>
        <v>-340.51476269815197</v>
      </c>
      <c r="J70" s="48">
        <f t="shared" si="5"/>
        <v>-138.91555750523145</v>
      </c>
      <c r="K70" s="11"/>
    </row>
    <row r="71" ht="15" customHeight="1">
      <c r="A71" s="1"/>
      <c r="B71" s="4" t="s">
        <v>211</v>
      </c>
      <c r="C71" s="36" t="s">
        <v>30</v>
      </c>
      <c r="D71" s="36" t="s">
        <v>30</v>
      </c>
      <c r="E71" s="44">
        <f t="shared" si="22"/>
        <v>0.13577868852459019</v>
      </c>
      <c r="F71" s="44">
        <f t="shared" si="22"/>
        <v>0.12568740279937773</v>
      </c>
      <c r="G71" s="44">
        <f t="shared" si="22"/>
        <v>0.11614673692744226</v>
      </c>
      <c r="H71" s="44">
        <f t="shared" si="22"/>
        <v>0.1234133333333336</v>
      </c>
      <c r="I71" s="44">
        <f t="shared" si="22"/>
        <v>0.13460000000000005</v>
      </c>
      <c r="J71" s="38">
        <f t="shared" si="22"/>
        <v>0.16857894736842116</v>
      </c>
      <c r="K71" s="11" t="s">
        <v>212</v>
      </c>
    </row>
    <row r="72" ht="15" customHeight="1">
      <c r="A72" s="1"/>
      <c r="B72" s="4" t="s">
        <v>151</v>
      </c>
      <c r="C72" s="36" t="s">
        <v>30</v>
      </c>
      <c r="D72" s="47" t="str">
        <f t="shared" si="5"/>
        <v>n/a</v>
      </c>
      <c r="E72" s="47" t="str">
        <f t="shared" si="5"/>
        <v>n/a</v>
      </c>
      <c r="F72" s="47">
        <f t="shared" si="5"/>
        <v>-100.91285725212451</v>
      </c>
      <c r="G72" s="36" t="s">
        <v>30</v>
      </c>
      <c r="H72" s="47">
        <f t="shared" si="9"/>
        <v>-22.740694660441374</v>
      </c>
      <c r="I72" s="47">
        <f t="shared" si="5"/>
        <v>111.86666666666456</v>
      </c>
      <c r="J72" s="48">
        <f t="shared" si="5"/>
        <v>339.7894736842111</v>
      </c>
      <c r="K72" s="11"/>
    </row>
    <row r="73" ht="15" customHeight="1">
      <c r="A73" s="1"/>
      <c r="B73" s="4" t="s">
        <v>213</v>
      </c>
      <c r="C73" s="44">
        <f t="shared" si="23"/>
        <v>0.4753577106518283</v>
      </c>
      <c r="D73" s="44">
        <f t="shared" si="23"/>
        <v>0.46</v>
      </c>
      <c r="E73" s="44">
        <f t="shared" si="23"/>
        <v>0.45673758865248226</v>
      </c>
      <c r="F73" s="44">
        <f t="shared" si="23"/>
        <v>0.4657534246575342</v>
      </c>
      <c r="G73" s="44">
        <f t="shared" si="23"/>
        <v>0.4641823444283647</v>
      </c>
      <c r="H73" s="44">
        <f t="shared" si="23"/>
        <v>0.4796954314720812</v>
      </c>
      <c r="I73" s="44">
        <f t="shared" si="23"/>
        <v>0.4878048780487805</v>
      </c>
      <c r="J73" s="38">
        <f t="shared" si="23"/>
        <v>0.4934566060607375</v>
      </c>
      <c r="K73" s="11"/>
    </row>
    <row r="74" ht="15" customHeight="1">
      <c r="A74" s="1"/>
      <c r="B74" s="4" t="s">
        <v>214</v>
      </c>
      <c r="C74" s="47">
        <f t="shared" si="33" ref="C74:J74">(C73-C321/C323)*10000</f>
        <v>170.95359714860646</v>
      </c>
      <c r="D74" s="47">
        <f t="shared" si="33"/>
        <v>22.647527910685806</v>
      </c>
      <c r="E74" s="47">
        <f t="shared" si="33"/>
        <v>-104.75526101616117</v>
      </c>
      <c r="F74" s="47">
        <f t="shared" si="33"/>
        <v>-8.09561345576193</v>
      </c>
      <c r="G74" s="47">
        <f t="shared" si="33"/>
        <v>16.772775455110576</v>
      </c>
      <c r="H74" s="47">
        <f t="shared" si="33"/>
        <v>-136.37901861252132</v>
      </c>
      <c r="I74" s="47">
        <f t="shared" si="33"/>
        <v>83.34679373283804</v>
      </c>
      <c r="J74" s="48">
        <f t="shared" si="33"/>
        <v>171.40816587053297</v>
      </c>
      <c r="K74" s="11"/>
    </row>
    <row r="75" ht="15" customHeight="1">
      <c r="A75" s="1"/>
      <c r="B75" s="1" t="s">
        <v>353</v>
      </c>
      <c r="C75" s="13"/>
      <c r="D75" s="13"/>
      <c r="E75" s="13"/>
      <c r="F75" s="13"/>
      <c r="G75" s="13"/>
      <c r="H75" s="29">
        <v>34</v>
      </c>
      <c r="I75" s="29">
        <v>40</v>
      </c>
      <c r="J75" s="58">
        <v>40</v>
      </c>
      <c r="K75" s="11" t="s">
        <v>354</v>
      </c>
    </row>
    <row r="76" ht="15" customHeight="1">
      <c r="A76" s="1"/>
      <c r="B76" s="1" t="s">
        <v>355</v>
      </c>
      <c r="C76" s="13"/>
      <c r="D76" s="13"/>
      <c r="E76" s="13"/>
      <c r="F76" s="13"/>
      <c r="G76" s="13"/>
      <c r="H76" s="29">
        <v>12</v>
      </c>
      <c r="I76" s="29">
        <v>15</v>
      </c>
      <c r="J76" s="58">
        <v>15</v>
      </c>
      <c r="K76" s="11" t="s">
        <v>356</v>
      </c>
    </row>
    <row r="77" ht="15" customHeight="1">
      <c r="A77" s="1"/>
      <c r="B77" s="1"/>
      <c r="C77" s="1"/>
      <c r="D77" s="1"/>
      <c r="E77" s="1"/>
      <c r="F77" s="1"/>
      <c r="G77" s="1"/>
      <c r="H77" s="1"/>
      <c r="I77" s="1"/>
      <c r="J77" s="35"/>
      <c r="K77" s="11"/>
    </row>
    <row r="78" ht="15" customHeight="1">
      <c r="A78" s="1"/>
      <c r="B78" s="3" t="s">
        <v>357</v>
      </c>
      <c r="C78" s="1"/>
      <c r="D78" s="1"/>
      <c r="E78" s="1"/>
      <c r="F78" s="1"/>
      <c r="G78" s="1"/>
      <c r="H78" s="1"/>
      <c r="I78" s="1"/>
      <c r="J78" s="35"/>
      <c r="K78" s="11"/>
    </row>
    <row r="79" ht="15" customHeight="1">
      <c r="A79" s="1"/>
      <c r="B79" s="1" t="s">
        <v>193</v>
      </c>
      <c r="C79" s="29">
        <v>262</v>
      </c>
      <c r="D79" s="29">
        <v>282</v>
      </c>
      <c r="E79" s="29">
        <v>280</v>
      </c>
      <c r="F79" s="29">
        <v>283</v>
      </c>
      <c r="G79" s="33">
        <f t="shared" si="6"/>
        <v>1107</v>
      </c>
      <c r="H79" s="29">
        <v>292</v>
      </c>
      <c r="I79" s="29">
        <v>313</v>
      </c>
      <c r="J79" s="43">
        <f>(J324)*(1+J82)</f>
        <v>310.8</v>
      </c>
      <c r="K79" s="11" t="s">
        <v>194</v>
      </c>
    </row>
    <row r="80" ht="15" customHeight="1">
      <c r="A80" s="1"/>
      <c r="B80" s="4" t="s">
        <v>195</v>
      </c>
      <c r="C80" s="44">
        <f t="shared" si="34" ref="C80:J80">C79/C324-1</f>
        <v>0.10548523206751059</v>
      </c>
      <c r="D80" s="44">
        <f t="shared" si="34"/>
        <v>0.15573770491803285</v>
      </c>
      <c r="E80" s="44">
        <f t="shared" si="34"/>
        <v>0.11111111111111116</v>
      </c>
      <c r="F80" s="44">
        <f t="shared" si="34"/>
        <v>0.11857707509881421</v>
      </c>
      <c r="G80" s="44">
        <f t="shared" si="34"/>
        <v>0.12271805273833669</v>
      </c>
      <c r="H80" s="44">
        <f t="shared" si="34"/>
        <v>0.11450381679389321</v>
      </c>
      <c r="I80" s="44">
        <f t="shared" si="34"/>
        <v>0.10992907801418439</v>
      </c>
      <c r="J80" s="38">
        <f t="shared" si="34"/>
        <v>0.1100000000000001</v>
      </c>
      <c r="K80" s="11"/>
    </row>
    <row r="81" ht="15" customHeight="1">
      <c r="A81" s="1"/>
      <c r="B81" s="1" t="s">
        <v>196</v>
      </c>
      <c r="C81" s="33">
        <f>C79-F324</f>
        <v>9</v>
      </c>
      <c r="D81" s="33">
        <f t="shared" si="4"/>
        <v>20</v>
      </c>
      <c r="E81" s="33">
        <f t="shared" si="4"/>
        <v>-2</v>
      </c>
      <c r="F81" s="33">
        <f t="shared" si="4"/>
        <v>3</v>
      </c>
      <c r="G81" s="13" t="s">
        <v>30</v>
      </c>
      <c r="H81" s="33">
        <f t="shared" si="8"/>
        <v>9</v>
      </c>
      <c r="I81" s="33">
        <f t="shared" si="4"/>
        <v>21</v>
      </c>
      <c r="J81" s="43">
        <f t="shared" si="4"/>
        <v>-2.1999999999999886</v>
      </c>
      <c r="K81" s="11"/>
    </row>
    <row r="82" ht="15" customHeight="1">
      <c r="A82" s="1"/>
      <c r="B82" s="4" t="s">
        <v>197</v>
      </c>
      <c r="C82" s="36" t="s">
        <v>30</v>
      </c>
      <c r="D82" s="36" t="s">
        <v>30</v>
      </c>
      <c r="E82" s="54">
        <v>0.107</v>
      </c>
      <c r="F82" s="54">
        <v>0.117</v>
      </c>
      <c r="G82" s="54">
        <v>0.122</v>
      </c>
      <c r="H82" s="54">
        <v>0.114</v>
      </c>
      <c r="I82" s="54">
        <v>0.109</v>
      </c>
      <c r="J82" s="37">
        <v>0.11</v>
      </c>
      <c r="K82" s="11" t="s">
        <v>201</v>
      </c>
    </row>
    <row r="83" ht="15" customHeight="1">
      <c r="A83" s="1"/>
      <c r="B83" s="4" t="s">
        <v>199</v>
      </c>
      <c r="C83" s="36" t="s">
        <v>30</v>
      </c>
      <c r="D83" s="47" t="str">
        <f t="shared" si="5"/>
        <v>n/a</v>
      </c>
      <c r="E83" s="47" t="str">
        <f t="shared" si="5"/>
        <v>n/a</v>
      </c>
      <c r="F83" s="47">
        <f t="shared" si="5"/>
        <v>100.00000000000009</v>
      </c>
      <c r="G83" s="36" t="s">
        <v>30</v>
      </c>
      <c r="H83" s="47">
        <f t="shared" si="9"/>
        <v>-30.00000000000003</v>
      </c>
      <c r="I83" s="47">
        <f t="shared" si="5"/>
        <v>-50.00000000000004</v>
      </c>
      <c r="J83" s="48">
        <f t="shared" si="5"/>
        <v>10.000000000000009</v>
      </c>
      <c r="K83" s="11"/>
    </row>
    <row r="84" ht="15" customHeight="1">
      <c r="A84" s="1"/>
      <c r="B84" s="1" t="s">
        <v>200</v>
      </c>
      <c r="C84" s="29">
        <v>77</v>
      </c>
      <c r="D84" s="29">
        <v>86</v>
      </c>
      <c r="E84" s="29">
        <v>86</v>
      </c>
      <c r="F84" s="29">
        <v>92</v>
      </c>
      <c r="G84" s="33">
        <f t="shared" si="6"/>
        <v>341</v>
      </c>
      <c r="H84" s="29">
        <v>97</v>
      </c>
      <c r="I84" s="29">
        <v>88</v>
      </c>
      <c r="J84" s="43">
        <f>(J325)*(1+J87)*(1+J89)</f>
        <v>88.747746054115</v>
      </c>
      <c r="K84" s="11" t="s">
        <v>194</v>
      </c>
    </row>
    <row r="85" ht="15" customHeight="1">
      <c r="A85" s="1"/>
      <c r="B85" s="4" t="s">
        <v>195</v>
      </c>
      <c r="C85" s="44">
        <f t="shared" si="35" ref="C85:J85">C84/C325-1</f>
        <v>0.13235294117647056</v>
      </c>
      <c r="D85" s="44">
        <f t="shared" si="35"/>
        <v>0.11688311688311681</v>
      </c>
      <c r="E85" s="44">
        <f t="shared" si="35"/>
        <v>0.22857142857142865</v>
      </c>
      <c r="F85" s="44">
        <f t="shared" si="35"/>
        <v>0.17948717948717952</v>
      </c>
      <c r="G85" s="44">
        <f t="shared" si="35"/>
        <v>0.16382252559726962</v>
      </c>
      <c r="H85" s="44">
        <f t="shared" si="35"/>
        <v>0.2597402597402598</v>
      </c>
      <c r="I85" s="44">
        <f t="shared" si="35"/>
        <v>0.023255813953488413</v>
      </c>
      <c r="J85" s="38">
        <f t="shared" si="35"/>
        <v>0.031950535512965006</v>
      </c>
      <c r="K85" s="11"/>
    </row>
    <row r="86" ht="15" customHeight="1">
      <c r="A86" s="1"/>
      <c r="B86" s="1" t="s">
        <v>196</v>
      </c>
      <c r="C86" s="33">
        <f>C84-F325</f>
        <v>-1</v>
      </c>
      <c r="D86" s="33">
        <f t="shared" si="4"/>
        <v>9</v>
      </c>
      <c r="E86" s="33">
        <f t="shared" si="4"/>
        <v>0</v>
      </c>
      <c r="F86" s="33">
        <f t="shared" si="4"/>
        <v>6</v>
      </c>
      <c r="G86" s="13" t="s">
        <v>30</v>
      </c>
      <c r="H86" s="33">
        <f t="shared" si="8"/>
        <v>5</v>
      </c>
      <c r="I86" s="33">
        <f t="shared" si="4"/>
        <v>-9</v>
      </c>
      <c r="J86" s="43">
        <f t="shared" si="4"/>
        <v>0.7477460541149981</v>
      </c>
      <c r="K86" s="11"/>
    </row>
    <row r="87" ht="15" customHeight="1">
      <c r="A87" s="1"/>
      <c r="B87" s="4" t="s">
        <v>197</v>
      </c>
      <c r="C87" s="36" t="s">
        <v>30</v>
      </c>
      <c r="D87" s="36" t="s">
        <v>30</v>
      </c>
      <c r="E87" s="54">
        <v>0.172</v>
      </c>
      <c r="F87" s="54">
        <v>0.134</v>
      </c>
      <c r="G87" s="54">
        <v>0.14300000000000002</v>
      </c>
      <c r="H87" s="54">
        <v>0.149</v>
      </c>
      <c r="I87" s="54">
        <v>0.013</v>
      </c>
      <c r="J87" s="37">
        <v>0.05</v>
      </c>
      <c r="K87" s="11" t="s">
        <v>201</v>
      </c>
    </row>
    <row r="88" ht="15" customHeight="1">
      <c r="A88" s="1"/>
      <c r="B88" s="4" t="s">
        <v>199</v>
      </c>
      <c r="C88" s="36" t="s">
        <v>30</v>
      </c>
      <c r="D88" s="47" t="str">
        <f t="shared" si="5"/>
        <v>n/a</v>
      </c>
      <c r="E88" s="47" t="str">
        <f t="shared" si="5"/>
        <v>n/a</v>
      </c>
      <c r="F88" s="47">
        <f t="shared" si="5"/>
        <v>-379.9999999999998</v>
      </c>
      <c r="G88" s="36" t="s">
        <v>30</v>
      </c>
      <c r="H88" s="47">
        <f t="shared" si="9"/>
        <v>149.99999999999986</v>
      </c>
      <c r="I88" s="47">
        <f t="shared" si="5"/>
        <v>-1359.9999999999998</v>
      </c>
      <c r="J88" s="48">
        <f t="shared" si="5"/>
        <v>370.00000000000006</v>
      </c>
      <c r="K88" s="11"/>
    </row>
    <row r="89" ht="15" customHeight="1">
      <c r="A89" s="1"/>
      <c r="B89" s="4" t="s">
        <v>202</v>
      </c>
      <c r="C89" s="36" t="s">
        <v>30</v>
      </c>
      <c r="D89" s="36" t="s">
        <v>30</v>
      </c>
      <c r="E89" s="44">
        <f t="shared" si="10"/>
        <v>0.04826913700633839</v>
      </c>
      <c r="F89" s="44">
        <f t="shared" si="10"/>
        <v>0.040112151223262504</v>
      </c>
      <c r="G89" s="44">
        <f t="shared" si="10"/>
        <v>0.018217432718521165</v>
      </c>
      <c r="H89" s="44">
        <f t="shared" si="10"/>
        <v>0.09637968645801553</v>
      </c>
      <c r="I89" s="44">
        <f t="shared" si="10"/>
        <v>0.010124199361785324</v>
      </c>
      <c r="J89" s="42">
        <f>'Revenue summary'!J12</f>
        <v>-0.017189966178128523</v>
      </c>
      <c r="K89" s="11" t="s">
        <v>203</v>
      </c>
    </row>
    <row r="90" ht="15" customHeight="1">
      <c r="A90" s="1"/>
      <c r="B90" s="4" t="s">
        <v>199</v>
      </c>
      <c r="C90" s="36" t="s">
        <v>30</v>
      </c>
      <c r="D90" s="47" t="str">
        <f t="shared" si="5"/>
        <v>n/a</v>
      </c>
      <c r="E90" s="47" t="str">
        <f t="shared" si="5"/>
        <v>n/a</v>
      </c>
      <c r="F90" s="47">
        <f t="shared" si="5"/>
        <v>-81.56985783075888</v>
      </c>
      <c r="G90" s="36" t="s">
        <v>30</v>
      </c>
      <c r="H90" s="47">
        <f t="shared" si="9"/>
        <v>562.6753523475303</v>
      </c>
      <c r="I90" s="47">
        <f t="shared" si="5"/>
        <v>-862.5548709623021</v>
      </c>
      <c r="J90" s="48">
        <f t="shared" si="5"/>
        <v>-273.1416553991385</v>
      </c>
      <c r="K90" s="11"/>
    </row>
    <row r="91" ht="15" customHeight="1">
      <c r="A91" s="1"/>
      <c r="B91" s="1" t="s">
        <v>204</v>
      </c>
      <c r="C91" s="13" t="s">
        <v>30</v>
      </c>
      <c r="D91" s="13" t="s">
        <v>30</v>
      </c>
      <c r="E91" s="33">
        <f t="shared" si="11"/>
        <v>82.03999999999999</v>
      </c>
      <c r="F91" s="33">
        <f t="shared" si="11"/>
        <v>88.45199999999998</v>
      </c>
      <c r="G91" s="33">
        <f t="shared" si="11"/>
        <v>334.899</v>
      </c>
      <c r="H91" s="33">
        <f t="shared" si="11"/>
        <v>88.473</v>
      </c>
      <c r="I91" s="33">
        <f t="shared" si="11"/>
        <v>87.11799999999998</v>
      </c>
      <c r="J91" s="43">
        <f t="shared" si="11"/>
        <v>90.3</v>
      </c>
      <c r="K91" s="11"/>
    </row>
    <row r="92" ht="15" customHeight="1">
      <c r="A92" s="1"/>
      <c r="B92" s="3" t="s">
        <v>358</v>
      </c>
      <c r="C92" s="50">
        <f t="shared" si="12"/>
        <v>339</v>
      </c>
      <c r="D92" s="50">
        <f t="shared" si="12"/>
        <v>368</v>
      </c>
      <c r="E92" s="50">
        <f t="shared" si="12"/>
        <v>366</v>
      </c>
      <c r="F92" s="50">
        <f t="shared" si="12"/>
        <v>375</v>
      </c>
      <c r="G92" s="50">
        <f t="shared" si="12"/>
        <v>1448</v>
      </c>
      <c r="H92" s="50">
        <f t="shared" si="12"/>
        <v>389</v>
      </c>
      <c r="I92" s="50">
        <f t="shared" si="12"/>
        <v>401</v>
      </c>
      <c r="J92" s="51">
        <f t="shared" si="12"/>
        <v>399.547746054115</v>
      </c>
      <c r="K92" s="11"/>
    </row>
    <row r="93" ht="15" customHeight="1">
      <c r="A93" s="1"/>
      <c r="B93" s="4" t="s">
        <v>166</v>
      </c>
      <c r="C93" s="44">
        <f t="shared" si="36" ref="C93:J93">C92/C326-1</f>
        <v>0.11147540983606552</v>
      </c>
      <c r="D93" s="44">
        <f t="shared" si="36"/>
        <v>0.14641744548286595</v>
      </c>
      <c r="E93" s="44">
        <f t="shared" si="36"/>
        <v>0.1366459627329193</v>
      </c>
      <c r="F93" s="44">
        <f t="shared" si="36"/>
        <v>0.13293051359516617</v>
      </c>
      <c r="G93" s="44">
        <f t="shared" si="36"/>
        <v>0.1321344800625488</v>
      </c>
      <c r="H93" s="44">
        <f t="shared" si="36"/>
        <v>0.14749262536873164</v>
      </c>
      <c r="I93" s="44">
        <f t="shared" si="36"/>
        <v>0.08967391304347827</v>
      </c>
      <c r="J93" s="38">
        <f t="shared" si="36"/>
        <v>0.09166050834457651</v>
      </c>
      <c r="K93" s="11"/>
    </row>
    <row r="94" ht="15" customHeight="1">
      <c r="A94" s="1"/>
      <c r="B94" s="1" t="s">
        <v>146</v>
      </c>
      <c r="C94" s="33">
        <f>C92-F326</f>
        <v>8</v>
      </c>
      <c r="D94" s="33">
        <f t="shared" si="4"/>
        <v>29</v>
      </c>
      <c r="E94" s="33">
        <f t="shared" si="4"/>
        <v>-2</v>
      </c>
      <c r="F94" s="33">
        <f t="shared" si="4"/>
        <v>9</v>
      </c>
      <c r="G94" s="13" t="s">
        <v>30</v>
      </c>
      <c r="H94" s="33">
        <f t="shared" si="8"/>
        <v>14</v>
      </c>
      <c r="I94" s="33">
        <f t="shared" si="4"/>
        <v>12</v>
      </c>
      <c r="J94" s="43">
        <f t="shared" si="4"/>
        <v>-1.4522539458849906</v>
      </c>
      <c r="K94" s="11"/>
    </row>
    <row r="95" ht="15" customHeight="1">
      <c r="A95" s="1"/>
      <c r="B95" s="4" t="s">
        <v>147</v>
      </c>
      <c r="C95" s="44">
        <f>C92/F326-1</f>
        <v>0.024169184290030232</v>
      </c>
      <c r="D95" s="44">
        <f t="shared" si="14"/>
        <v>0.08554572271386429</v>
      </c>
      <c r="E95" s="44">
        <f t="shared" si="14"/>
        <v>-0.005434782608695676</v>
      </c>
      <c r="F95" s="44">
        <f t="shared" si="14"/>
        <v>0.024590163934426146</v>
      </c>
      <c r="G95" s="36" t="s">
        <v>30</v>
      </c>
      <c r="H95" s="44">
        <f t="shared" si="28"/>
        <v>0.03733333333333344</v>
      </c>
      <c r="I95" s="44">
        <f t="shared" si="14"/>
        <v>0.03084832904884327</v>
      </c>
      <c r="J95" s="38">
        <f t="shared" si="14"/>
        <v>-0.003621580912431366</v>
      </c>
      <c r="K95" s="11"/>
    </row>
    <row r="96" ht="15" customHeight="1">
      <c r="A96" s="1"/>
      <c r="B96" s="4" t="s">
        <v>206</v>
      </c>
      <c r="C96" s="44">
        <f t="shared" si="37" ref="C96:J96">C92/C272</f>
        <v>0.06925434116445352</v>
      </c>
      <c r="D96" s="44">
        <f t="shared" si="37"/>
        <v>0.06854162786366176</v>
      </c>
      <c r="E96" s="44">
        <f t="shared" si="37"/>
        <v>0.0671806167400881</v>
      </c>
      <c r="F96" s="44">
        <f t="shared" si="37"/>
        <v>0.06607929515418502</v>
      </c>
      <c r="G96" s="44">
        <f t="shared" si="37"/>
        <v>0.0677046804133352</v>
      </c>
      <c r="H96" s="44">
        <f t="shared" si="37"/>
        <v>0.0702292832641271</v>
      </c>
      <c r="I96" s="44">
        <f t="shared" si="37"/>
        <v>0.06851187425252007</v>
      </c>
      <c r="J96" s="38">
        <f t="shared" si="37"/>
        <v>0.06824639052917465</v>
      </c>
      <c r="K96" s="11"/>
    </row>
    <row r="97" ht="15" customHeight="1">
      <c r="A97" s="1"/>
      <c r="B97" s="4" t="s">
        <v>149</v>
      </c>
      <c r="C97" s="47">
        <f t="shared" si="38" ref="C97:J97">(C96-C326/C294)*10000</f>
        <v>7.611904795220142</v>
      </c>
      <c r="D97" s="47">
        <f t="shared" si="38"/>
        <v>7.342767863487004</v>
      </c>
      <c r="E97" s="47">
        <f t="shared" si="38"/>
        <v>-6.516984063201642</v>
      </c>
      <c r="F97" s="47">
        <f t="shared" si="38"/>
        <v>5.606886617067902</v>
      </c>
      <c r="G97" s="47">
        <f t="shared" si="38"/>
        <v>3.3925325648279103</v>
      </c>
      <c r="H97" s="47">
        <f t="shared" si="38"/>
        <v>9.749420996735815</v>
      </c>
      <c r="I97" s="47">
        <f t="shared" si="38"/>
        <v>-0.29753611141686287</v>
      </c>
      <c r="J97" s="48">
        <f t="shared" si="38"/>
        <v>10.657737890865521</v>
      </c>
      <c r="K97" s="11"/>
    </row>
    <row r="98" ht="15" customHeight="1">
      <c r="A98" s="1"/>
      <c r="B98" s="1" t="s">
        <v>167</v>
      </c>
      <c r="C98" s="13" t="s">
        <v>30</v>
      </c>
      <c r="D98" s="13" t="s">
        <v>30</v>
      </c>
      <c r="E98" s="33">
        <f t="shared" si="17"/>
        <v>362.03999999999996</v>
      </c>
      <c r="F98" s="33">
        <f t="shared" si="17"/>
        <v>371.452</v>
      </c>
      <c r="G98" s="33">
        <f t="shared" si="17"/>
        <v>1441.899</v>
      </c>
      <c r="H98" s="33">
        <f t="shared" si="17"/>
        <v>380.473</v>
      </c>
      <c r="I98" s="33">
        <f t="shared" si="17"/>
        <v>400.118</v>
      </c>
      <c r="J98" s="43">
        <f t="shared" si="17"/>
        <v>401.1</v>
      </c>
      <c r="K98" s="11" t="s">
        <v>207</v>
      </c>
    </row>
    <row r="99" ht="15" customHeight="1">
      <c r="A99" s="1"/>
      <c r="B99" s="1" t="s">
        <v>208</v>
      </c>
      <c r="C99" s="33">
        <f t="shared" si="39" ref="C99:J100">C324</f>
        <v>237</v>
      </c>
      <c r="D99" s="33">
        <f t="shared" si="39"/>
        <v>244</v>
      </c>
      <c r="E99" s="33">
        <f t="shared" si="39"/>
        <v>252</v>
      </c>
      <c r="F99" s="33">
        <f t="shared" si="39"/>
        <v>253</v>
      </c>
      <c r="G99" s="33">
        <f t="shared" si="39"/>
        <v>986</v>
      </c>
      <c r="H99" s="33">
        <f t="shared" si="39"/>
        <v>262</v>
      </c>
      <c r="I99" s="33">
        <f t="shared" si="39"/>
        <v>282</v>
      </c>
      <c r="J99" s="43">
        <f t="shared" si="39"/>
        <v>280</v>
      </c>
      <c r="K99" s="11"/>
    </row>
    <row r="100" ht="15" customHeight="1">
      <c r="A100" s="1"/>
      <c r="B100" s="1" t="s">
        <v>168</v>
      </c>
      <c r="C100" s="33">
        <f t="shared" si="39"/>
        <v>68</v>
      </c>
      <c r="D100" s="33">
        <f t="shared" si="39"/>
        <v>77</v>
      </c>
      <c r="E100" s="33">
        <f t="shared" si="39"/>
        <v>70</v>
      </c>
      <c r="F100" s="33">
        <f t="shared" si="39"/>
        <v>78</v>
      </c>
      <c r="G100" s="33">
        <f t="shared" si="39"/>
        <v>293</v>
      </c>
      <c r="H100" s="33">
        <f t="shared" si="39"/>
        <v>77</v>
      </c>
      <c r="I100" s="33">
        <f t="shared" si="39"/>
        <v>86</v>
      </c>
      <c r="J100" s="43">
        <f t="shared" si="39"/>
        <v>86</v>
      </c>
      <c r="K100" s="11"/>
    </row>
    <row r="101" ht="15" customHeight="1">
      <c r="A101" s="1"/>
      <c r="B101" s="1" t="s">
        <v>169</v>
      </c>
      <c r="C101" s="33">
        <f t="shared" si="19"/>
        <v>305</v>
      </c>
      <c r="D101" s="33">
        <f t="shared" si="19"/>
        <v>321</v>
      </c>
      <c r="E101" s="33">
        <f t="shared" si="19"/>
        <v>322</v>
      </c>
      <c r="F101" s="33">
        <f t="shared" si="19"/>
        <v>331</v>
      </c>
      <c r="G101" s="33">
        <f t="shared" si="19"/>
        <v>1279</v>
      </c>
      <c r="H101" s="33">
        <f t="shared" si="19"/>
        <v>339</v>
      </c>
      <c r="I101" s="33">
        <f t="shared" si="19"/>
        <v>368</v>
      </c>
      <c r="J101" s="43">
        <f t="shared" si="19"/>
        <v>366</v>
      </c>
      <c r="K101" s="11" t="s">
        <v>209</v>
      </c>
    </row>
    <row r="102" ht="15" customHeight="1">
      <c r="A102" s="1"/>
      <c r="B102" s="4" t="s">
        <v>152</v>
      </c>
      <c r="C102" s="36" t="s">
        <v>30</v>
      </c>
      <c r="D102" s="36" t="s">
        <v>30</v>
      </c>
      <c r="E102" s="44">
        <f t="shared" si="40" ref="E102:J102">(E101/E326)*(E98/(E98))-1</f>
        <v>0</v>
      </c>
      <c r="F102" s="44">
        <f t="shared" si="40"/>
        <v>0</v>
      </c>
      <c r="G102" s="44">
        <f t="shared" si="40"/>
        <v>0</v>
      </c>
      <c r="H102" s="44">
        <f t="shared" si="40"/>
        <v>0</v>
      </c>
      <c r="I102" s="44">
        <f t="shared" si="40"/>
        <v>0</v>
      </c>
      <c r="J102" s="38">
        <f t="shared" si="40"/>
        <v>0</v>
      </c>
      <c r="K102" s="11" t="s">
        <v>210</v>
      </c>
    </row>
    <row r="103" ht="15" customHeight="1">
      <c r="A103" s="1"/>
      <c r="B103" s="4" t="s">
        <v>151</v>
      </c>
      <c r="C103" s="36" t="s">
        <v>30</v>
      </c>
      <c r="D103" s="47" t="str">
        <f t="shared" si="5"/>
        <v>n/a</v>
      </c>
      <c r="E103" s="47" t="str">
        <f t="shared" si="5"/>
        <v>n/a</v>
      </c>
      <c r="F103" s="47">
        <f t="shared" si="5"/>
        <v>0</v>
      </c>
      <c r="G103" s="36" t="s">
        <v>30</v>
      </c>
      <c r="H103" s="47">
        <f t="shared" si="9"/>
        <v>0</v>
      </c>
      <c r="I103" s="47">
        <f t="shared" si="5"/>
        <v>0</v>
      </c>
      <c r="J103" s="48">
        <f t="shared" si="5"/>
        <v>0</v>
      </c>
      <c r="K103" s="11"/>
    </row>
    <row r="104" ht="15" customHeight="1">
      <c r="A104" s="1"/>
      <c r="B104" s="4" t="s">
        <v>153</v>
      </c>
      <c r="C104" s="36" t="s">
        <v>30</v>
      </c>
      <c r="D104" s="36" t="s">
        <v>30</v>
      </c>
      <c r="E104" s="44">
        <f t="shared" si="21"/>
        <v>0.010938017898574737</v>
      </c>
      <c r="F104" s="44">
        <f t="shared" si="21"/>
        <v>0.009551705200133487</v>
      </c>
      <c r="G104" s="44">
        <f t="shared" si="21"/>
        <v>0.00423122562676026</v>
      </c>
      <c r="H104" s="44">
        <f t="shared" si="21"/>
        <v>0.02241157716841924</v>
      </c>
      <c r="I104" s="44">
        <f t="shared" si="21"/>
        <v>0.002204349716833587</v>
      </c>
      <c r="J104" s="38">
        <f t="shared" si="21"/>
        <v>-0.003869992385651999</v>
      </c>
      <c r="K104" s="11"/>
    </row>
    <row r="105" ht="15" customHeight="1">
      <c r="A105" s="1"/>
      <c r="B105" s="4" t="s">
        <v>151</v>
      </c>
      <c r="C105" s="36" t="s">
        <v>30</v>
      </c>
      <c r="D105" s="47" t="str">
        <f t="shared" si="5"/>
        <v>n/a</v>
      </c>
      <c r="E105" s="47" t="str">
        <f t="shared" si="5"/>
        <v>n/a</v>
      </c>
      <c r="F105" s="47">
        <f t="shared" si="5"/>
        <v>-13.8631269844125</v>
      </c>
      <c r="G105" s="36" t="s">
        <v>30</v>
      </c>
      <c r="H105" s="47">
        <f t="shared" si="9"/>
        <v>128.5987196828575</v>
      </c>
      <c r="I105" s="47">
        <f t="shared" si="5"/>
        <v>-202.07227451585652</v>
      </c>
      <c r="J105" s="48">
        <f t="shared" si="5"/>
        <v>-60.74342102485586</v>
      </c>
      <c r="K105" s="11"/>
    </row>
    <row r="106" ht="15" customHeight="1">
      <c r="A106" s="1"/>
      <c r="B106" s="4" t="s">
        <v>211</v>
      </c>
      <c r="C106" s="36" t="s">
        <v>30</v>
      </c>
      <c r="D106" s="36" t="s">
        <v>30</v>
      </c>
      <c r="E106" s="44">
        <f t="shared" si="22"/>
        <v>0.1243478260869566</v>
      </c>
      <c r="F106" s="44">
        <f t="shared" si="22"/>
        <v>0.12221148036253782</v>
      </c>
      <c r="G106" s="44">
        <f t="shared" si="22"/>
        <v>0.1273643471462078</v>
      </c>
      <c r="H106" s="44">
        <f t="shared" si="22"/>
        <v>0.12233923303834815</v>
      </c>
      <c r="I106" s="44">
        <f t="shared" si="22"/>
        <v>0.08727717391304335</v>
      </c>
      <c r="J106" s="38">
        <f t="shared" si="22"/>
        <v>0.09590163934426243</v>
      </c>
      <c r="K106" s="11" t="s">
        <v>212</v>
      </c>
    </row>
    <row r="107" ht="15" customHeight="1">
      <c r="A107" s="1"/>
      <c r="B107" s="4" t="s">
        <v>151</v>
      </c>
      <c r="C107" s="36" t="s">
        <v>30</v>
      </c>
      <c r="D107" s="47" t="str">
        <f t="shared" si="5"/>
        <v>n/a</v>
      </c>
      <c r="E107" s="47" t="str">
        <f t="shared" si="5"/>
        <v>n/a</v>
      </c>
      <c r="F107" s="47">
        <f t="shared" si="5"/>
        <v>-21.363457244187867</v>
      </c>
      <c r="G107" s="36" t="s">
        <v>30</v>
      </c>
      <c r="H107" s="47">
        <f t="shared" si="9"/>
        <v>1.2775267581033312</v>
      </c>
      <c r="I107" s="47">
        <f t="shared" si="5"/>
        <v>-350.620591253048</v>
      </c>
      <c r="J107" s="48">
        <f t="shared" si="5"/>
        <v>86.24465431219086</v>
      </c>
      <c r="K107" s="11"/>
    </row>
    <row r="108" ht="15" customHeight="1">
      <c r="A108" s="1"/>
      <c r="B108" s="4" t="s">
        <v>213</v>
      </c>
      <c r="C108" s="44">
        <f t="shared" si="23"/>
        <v>0.7728613569321534</v>
      </c>
      <c r="D108" s="44">
        <f t="shared" si="23"/>
        <v>0.7663043478260869</v>
      </c>
      <c r="E108" s="44">
        <f t="shared" si="23"/>
        <v>0.7650273224043715</v>
      </c>
      <c r="F108" s="44">
        <f t="shared" si="23"/>
        <v>0.7546666666666667</v>
      </c>
      <c r="G108" s="44">
        <f t="shared" si="23"/>
        <v>0.7645027624309392</v>
      </c>
      <c r="H108" s="44">
        <f t="shared" si="23"/>
        <v>0.7506426735218509</v>
      </c>
      <c r="I108" s="44">
        <f t="shared" si="23"/>
        <v>0.7805486284289277</v>
      </c>
      <c r="J108" s="38">
        <f t="shared" si="23"/>
        <v>0.7778794976806228</v>
      </c>
      <c r="K108" s="11"/>
    </row>
    <row r="109" ht="15" customHeight="1">
      <c r="A109" s="1"/>
      <c r="B109" s="4" t="s">
        <v>214</v>
      </c>
      <c r="C109" s="47">
        <f t="shared" si="41" ref="C109:J109">(C108-C324/C326)*10000</f>
        <v>-41.8782339571544</v>
      </c>
      <c r="D109" s="47">
        <f t="shared" si="41"/>
        <v>61.79737234186633</v>
      </c>
      <c r="E109" s="47">
        <f t="shared" si="41"/>
        <v>-175.813732478024</v>
      </c>
      <c r="F109" s="47">
        <f t="shared" si="41"/>
        <v>-96.83786505538694</v>
      </c>
      <c r="G109" s="47">
        <f t="shared" si="41"/>
        <v>-64.12014738724659</v>
      </c>
      <c r="H109" s="47">
        <f t="shared" si="41"/>
        <v>-222.18683410302532</v>
      </c>
      <c r="I109" s="47">
        <f t="shared" si="41"/>
        <v>142.44280602840774</v>
      </c>
      <c r="J109" s="48">
        <f t="shared" si="41"/>
        <v>128.52175276251265</v>
      </c>
      <c r="K109" s="11"/>
    </row>
    <row r="110" ht="15" customHeight="1">
      <c r="A110" s="1"/>
      <c r="B110" s="1"/>
      <c r="C110" s="1"/>
      <c r="D110" s="1"/>
      <c r="E110" s="1"/>
      <c r="F110" s="1"/>
      <c r="G110" s="1"/>
      <c r="H110" s="1"/>
      <c r="I110" s="1"/>
      <c r="J110" s="35"/>
      <c r="K110" s="11"/>
    </row>
    <row r="111" ht="15" customHeight="1">
      <c r="A111" s="1"/>
      <c r="B111" s="3" t="s">
        <v>359</v>
      </c>
      <c r="C111" s="1"/>
      <c r="D111" s="1"/>
      <c r="E111" s="1"/>
      <c r="F111" s="1"/>
      <c r="G111" s="1"/>
      <c r="H111" s="1"/>
      <c r="I111" s="1"/>
      <c r="J111" s="35"/>
      <c r="K111" s="11"/>
    </row>
    <row r="112" ht="15" customHeight="1">
      <c r="A112" s="1"/>
      <c r="B112" s="1" t="s">
        <v>193</v>
      </c>
      <c r="C112" s="29">
        <v>268</v>
      </c>
      <c r="D112" s="29">
        <v>283</v>
      </c>
      <c r="E112" s="29">
        <v>280</v>
      </c>
      <c r="F112" s="29">
        <v>287</v>
      </c>
      <c r="G112" s="33">
        <f t="shared" si="6"/>
        <v>1118</v>
      </c>
      <c r="H112" s="29">
        <v>291</v>
      </c>
      <c r="I112" s="29">
        <v>294</v>
      </c>
      <c r="J112" s="43">
        <f>(J327)*(1+J115)</f>
        <v>291.2</v>
      </c>
      <c r="K112" s="11" t="s">
        <v>194</v>
      </c>
    </row>
    <row r="113" ht="15" customHeight="1">
      <c r="A113" s="1"/>
      <c r="B113" s="4" t="s">
        <v>195</v>
      </c>
      <c r="C113" s="44">
        <f t="shared" si="42" ref="C113:J113">C112/C327-1</f>
        <v>0.055118110236220375</v>
      </c>
      <c r="D113" s="44">
        <f t="shared" si="42"/>
        <v>0.029090909090909056</v>
      </c>
      <c r="E113" s="44">
        <f t="shared" si="42"/>
        <v>0.0852713178294573</v>
      </c>
      <c r="F113" s="44">
        <f t="shared" si="42"/>
        <v>0.06691449814126393</v>
      </c>
      <c r="G113" s="44">
        <f t="shared" si="42"/>
        <v>0.058712121212121104</v>
      </c>
      <c r="H113" s="44">
        <f t="shared" si="42"/>
        <v>0.08582089552238803</v>
      </c>
      <c r="I113" s="44">
        <f t="shared" si="42"/>
        <v>0.03886925795053009</v>
      </c>
      <c r="J113" s="38">
        <f t="shared" si="42"/>
        <v>0.040000000000000036</v>
      </c>
      <c r="K113" s="11"/>
    </row>
    <row r="114" ht="15" customHeight="1">
      <c r="A114" s="1"/>
      <c r="B114" s="1" t="s">
        <v>196</v>
      </c>
      <c r="C114" s="33">
        <f>C112-F327</f>
        <v>-1</v>
      </c>
      <c r="D114" s="33">
        <f t="shared" si="4"/>
        <v>15</v>
      </c>
      <c r="E114" s="33">
        <f t="shared" si="4"/>
        <v>-3</v>
      </c>
      <c r="F114" s="33">
        <f t="shared" si="4"/>
        <v>7</v>
      </c>
      <c r="G114" s="13" t="s">
        <v>30</v>
      </c>
      <c r="H114" s="33">
        <f t="shared" si="8"/>
        <v>4</v>
      </c>
      <c r="I114" s="33">
        <f t="shared" si="4"/>
        <v>3</v>
      </c>
      <c r="J114" s="43">
        <f t="shared" si="4"/>
        <v>-2.8000000000000114</v>
      </c>
      <c r="K114" s="11"/>
    </row>
    <row r="115" ht="15" customHeight="1">
      <c r="A115" s="1"/>
      <c r="B115" s="4" t="s">
        <v>197</v>
      </c>
      <c r="C115" s="36" t="s">
        <v>30</v>
      </c>
      <c r="D115" s="36" t="s">
        <v>30</v>
      </c>
      <c r="E115" s="54">
        <v>0.085</v>
      </c>
      <c r="F115" s="54">
        <v>0.065</v>
      </c>
      <c r="G115" s="54">
        <v>0.058</v>
      </c>
      <c r="H115" s="54">
        <v>0.086</v>
      </c>
      <c r="I115" s="54">
        <v>0.039</v>
      </c>
      <c r="J115" s="37">
        <v>0.04</v>
      </c>
      <c r="K115" s="11" t="s">
        <v>201</v>
      </c>
    </row>
    <row r="116" ht="15" customHeight="1">
      <c r="A116" s="1"/>
      <c r="B116" s="4" t="s">
        <v>199</v>
      </c>
      <c r="C116" s="36" t="s">
        <v>30</v>
      </c>
      <c r="D116" s="47" t="str">
        <f t="shared" si="5"/>
        <v>n/a</v>
      </c>
      <c r="E116" s="47" t="str">
        <f t="shared" si="5"/>
        <v>n/a</v>
      </c>
      <c r="F116" s="47">
        <f t="shared" si="5"/>
        <v>-200.00000000000003</v>
      </c>
      <c r="G116" s="36" t="s">
        <v>30</v>
      </c>
      <c r="H116" s="47">
        <f t="shared" si="9"/>
        <v>209.99999999999991</v>
      </c>
      <c r="I116" s="47">
        <f t="shared" si="5"/>
        <v>-469.99999999999994</v>
      </c>
      <c r="J116" s="48">
        <f t="shared" si="5"/>
        <v>10.000000000000009</v>
      </c>
      <c r="K116" s="11"/>
    </row>
    <row r="117" ht="15" customHeight="1">
      <c r="A117" s="1"/>
      <c r="B117" s="1" t="s">
        <v>200</v>
      </c>
      <c r="C117" s="29">
        <v>442</v>
      </c>
      <c r="D117" s="29">
        <v>474</v>
      </c>
      <c r="E117" s="29">
        <v>465</v>
      </c>
      <c r="F117" s="29">
        <v>496</v>
      </c>
      <c r="G117" s="33">
        <f t="shared" si="6"/>
        <v>1877</v>
      </c>
      <c r="H117" s="29">
        <v>486</v>
      </c>
      <c r="I117" s="29">
        <v>509</v>
      </c>
      <c r="J117" s="43">
        <f>(J328)*(1+J120)*(1+J122)</f>
        <v>479.85699901352876</v>
      </c>
      <c r="K117" s="11" t="s">
        <v>194</v>
      </c>
    </row>
    <row r="118" ht="15" customHeight="1">
      <c r="A118" s="1"/>
      <c r="B118" s="4" t="s">
        <v>195</v>
      </c>
      <c r="C118" s="44">
        <f t="shared" si="43" ref="C118:J118">C117/C328-1</f>
        <v>0.016091954022988464</v>
      </c>
      <c r="D118" s="44">
        <f t="shared" si="43"/>
        <v>0.055679287305122394</v>
      </c>
      <c r="E118" s="44">
        <f t="shared" si="43"/>
        <v>0.054421768707483054</v>
      </c>
      <c r="F118" s="44">
        <f t="shared" si="43"/>
        <v>0.08771929824561409</v>
      </c>
      <c r="G118" s="44">
        <f t="shared" si="43"/>
        <v>0.053902302077484476</v>
      </c>
      <c r="H118" s="44">
        <f t="shared" si="43"/>
        <v>0.09954751131221728</v>
      </c>
      <c r="I118" s="44">
        <f t="shared" si="43"/>
        <v>0.07383966244725748</v>
      </c>
      <c r="J118" s="38">
        <f t="shared" si="43"/>
        <v>0.031950535512965006</v>
      </c>
      <c r="K118" s="11"/>
    </row>
    <row r="119" ht="15" customHeight="1">
      <c r="A119" s="1"/>
      <c r="B119" s="1" t="s">
        <v>196</v>
      </c>
      <c r="C119" s="33">
        <f>C117-F328</f>
        <v>-14</v>
      </c>
      <c r="D119" s="33">
        <f t="shared" si="4"/>
        <v>32</v>
      </c>
      <c r="E119" s="33">
        <f t="shared" si="4"/>
        <v>-9</v>
      </c>
      <c r="F119" s="33">
        <f t="shared" si="4"/>
        <v>31</v>
      </c>
      <c r="G119" s="13" t="s">
        <v>30</v>
      </c>
      <c r="H119" s="33">
        <f t="shared" si="8"/>
        <v>-10</v>
      </c>
      <c r="I119" s="33">
        <f t="shared" si="4"/>
        <v>23</v>
      </c>
      <c r="J119" s="43">
        <f t="shared" si="4"/>
        <v>-29.143000986471236</v>
      </c>
      <c r="K119" s="11"/>
    </row>
    <row r="120" ht="15" customHeight="1">
      <c r="A120" s="1"/>
      <c r="B120" s="4" t="s">
        <v>197</v>
      </c>
      <c r="C120" s="36" t="s">
        <v>30</v>
      </c>
      <c r="D120" s="36" t="s">
        <v>30</v>
      </c>
      <c r="E120" s="54">
        <v>0.025</v>
      </c>
      <c r="F120" s="54">
        <v>0.066</v>
      </c>
      <c r="G120" s="54">
        <v>0.047</v>
      </c>
      <c r="H120" s="54">
        <v>0.027000000000000003</v>
      </c>
      <c r="I120" s="54">
        <v>0.058</v>
      </c>
      <c r="J120" s="37">
        <v>0.05</v>
      </c>
      <c r="K120" s="11" t="s">
        <v>201</v>
      </c>
    </row>
    <row r="121" ht="15" customHeight="1">
      <c r="A121" s="1"/>
      <c r="B121" s="4" t="s">
        <v>199</v>
      </c>
      <c r="C121" s="36" t="s">
        <v>30</v>
      </c>
      <c r="D121" s="47" t="str">
        <f t="shared" si="5"/>
        <v>n/a</v>
      </c>
      <c r="E121" s="47" t="str">
        <f t="shared" si="5"/>
        <v>n/a</v>
      </c>
      <c r="F121" s="47">
        <f t="shared" si="5"/>
        <v>410</v>
      </c>
      <c r="G121" s="36" t="s">
        <v>30</v>
      </c>
      <c r="H121" s="47">
        <f t="shared" si="9"/>
        <v>-390</v>
      </c>
      <c r="I121" s="47">
        <f t="shared" si="5"/>
        <v>310</v>
      </c>
      <c r="J121" s="48">
        <f t="shared" si="5"/>
        <v>-80</v>
      </c>
      <c r="K121" s="11"/>
    </row>
    <row r="122" ht="15" customHeight="1">
      <c r="A122" s="1"/>
      <c r="B122" s="4" t="s">
        <v>202</v>
      </c>
      <c r="C122" s="36" t="s">
        <v>30</v>
      </c>
      <c r="D122" s="36" t="s">
        <v>30</v>
      </c>
      <c r="E122" s="44">
        <f t="shared" si="10"/>
        <v>0.028704164592666448</v>
      </c>
      <c r="F122" s="44">
        <f t="shared" si="10"/>
        <v>0.020374576215397733</v>
      </c>
      <c r="G122" s="44">
        <f t="shared" si="10"/>
        <v>0.006592456616508535</v>
      </c>
      <c r="H122" s="44">
        <f t="shared" si="10"/>
        <v>0.07064022523098079</v>
      </c>
      <c r="I122" s="44">
        <f t="shared" si="10"/>
        <v>0.014971325564515636</v>
      </c>
      <c r="J122" s="42">
        <f>'Revenue summary'!J12</f>
        <v>-0.017189966178128523</v>
      </c>
      <c r="K122" s="11" t="s">
        <v>203</v>
      </c>
    </row>
    <row r="123" ht="15" customHeight="1">
      <c r="A123" s="1"/>
      <c r="B123" s="4" t="s">
        <v>199</v>
      </c>
      <c r="C123" s="36" t="s">
        <v>30</v>
      </c>
      <c r="D123" s="47" t="str">
        <f t="shared" si="5"/>
        <v>n/a</v>
      </c>
      <c r="E123" s="47" t="str">
        <f t="shared" si="5"/>
        <v>n/a</v>
      </c>
      <c r="F123" s="47">
        <f t="shared" si="5"/>
        <v>-83.29588377268715</v>
      </c>
      <c r="G123" s="36" t="s">
        <v>30</v>
      </c>
      <c r="H123" s="47">
        <f t="shared" si="9"/>
        <v>502.65649015583057</v>
      </c>
      <c r="I123" s="47">
        <f t="shared" si="5"/>
        <v>-556.6889966646515</v>
      </c>
      <c r="J123" s="48">
        <f t="shared" si="5"/>
        <v>-321.61291742644164</v>
      </c>
      <c r="K123" s="11"/>
    </row>
    <row r="124" ht="15" customHeight="1">
      <c r="A124" s="1"/>
      <c r="B124" s="1" t="s">
        <v>204</v>
      </c>
      <c r="C124" s="13" t="s">
        <v>30</v>
      </c>
      <c r="D124" s="13" t="s">
        <v>30</v>
      </c>
      <c r="E124" s="33">
        <f t="shared" si="11"/>
        <v>452.025</v>
      </c>
      <c r="F124" s="33">
        <f t="shared" si="11"/>
        <v>486.096</v>
      </c>
      <c r="G124" s="33">
        <f t="shared" si="11"/>
        <v>1864.707</v>
      </c>
      <c r="H124" s="33">
        <f t="shared" si="11"/>
        <v>453.93399999999997</v>
      </c>
      <c r="I124" s="33">
        <f t="shared" si="11"/>
        <v>501.4919999999999</v>
      </c>
      <c r="J124" s="43">
        <f t="shared" si="11"/>
        <v>488.25</v>
      </c>
      <c r="K124" s="11"/>
    </row>
    <row r="125" ht="15" customHeight="1">
      <c r="A125" s="1"/>
      <c r="B125" s="3" t="s">
        <v>360</v>
      </c>
      <c r="C125" s="50">
        <f t="shared" si="12"/>
        <v>710</v>
      </c>
      <c r="D125" s="50">
        <f t="shared" si="12"/>
        <v>757</v>
      </c>
      <c r="E125" s="50">
        <f t="shared" si="12"/>
        <v>745</v>
      </c>
      <c r="F125" s="50">
        <f t="shared" si="12"/>
        <v>783</v>
      </c>
      <c r="G125" s="50">
        <f t="shared" si="12"/>
        <v>2995</v>
      </c>
      <c r="H125" s="50">
        <f t="shared" si="12"/>
        <v>777</v>
      </c>
      <c r="I125" s="50">
        <f t="shared" si="12"/>
        <v>803</v>
      </c>
      <c r="J125" s="51">
        <f t="shared" si="12"/>
        <v>771.0569990135288</v>
      </c>
      <c r="K125" s="11"/>
    </row>
    <row r="126" ht="15" customHeight="1">
      <c r="A126" s="1"/>
      <c r="B126" s="4" t="s">
        <v>166</v>
      </c>
      <c r="C126" s="44">
        <f t="shared" si="44" ref="C126:J126">C125/C329-1</f>
        <v>0.030478955007256836</v>
      </c>
      <c r="D126" s="44">
        <f t="shared" si="44"/>
        <v>0.045580110497237536</v>
      </c>
      <c r="E126" s="44">
        <f t="shared" si="44"/>
        <v>0.06580829756795414</v>
      </c>
      <c r="F126" s="44">
        <f t="shared" si="44"/>
        <v>0.08000000000000007</v>
      </c>
      <c r="G126" s="44">
        <f t="shared" si="44"/>
        <v>0.05569263306309491</v>
      </c>
      <c r="H126" s="44">
        <f t="shared" si="44"/>
        <v>0.09436619718309869</v>
      </c>
      <c r="I126" s="44">
        <f t="shared" si="44"/>
        <v>0.0607661822985468</v>
      </c>
      <c r="J126" s="38">
        <f t="shared" si="44"/>
        <v>0.03497583760205192</v>
      </c>
      <c r="K126" s="11"/>
    </row>
    <row r="127" ht="15" customHeight="1">
      <c r="A127" s="1"/>
      <c r="B127" s="1" t="s">
        <v>146</v>
      </c>
      <c r="C127" s="33">
        <f>C125-F329</f>
        <v>-15</v>
      </c>
      <c r="D127" s="33">
        <f t="shared" si="4"/>
        <v>47</v>
      </c>
      <c r="E127" s="33">
        <f t="shared" si="4"/>
        <v>-12</v>
      </c>
      <c r="F127" s="33">
        <f t="shared" si="4"/>
        <v>38</v>
      </c>
      <c r="G127" s="13" t="s">
        <v>30</v>
      </c>
      <c r="H127" s="33">
        <f t="shared" si="8"/>
        <v>-6</v>
      </c>
      <c r="I127" s="33">
        <f t="shared" si="4"/>
        <v>26</v>
      </c>
      <c r="J127" s="43">
        <f t="shared" si="4"/>
        <v>-31.943000986471247</v>
      </c>
      <c r="K127" s="11"/>
    </row>
    <row r="128" ht="15" customHeight="1">
      <c r="A128" s="1"/>
      <c r="B128" s="4" t="s">
        <v>147</v>
      </c>
      <c r="C128" s="44">
        <f>C125/F329-1</f>
        <v>-0.020689655172413834</v>
      </c>
      <c r="D128" s="44">
        <f t="shared" si="14"/>
        <v>0.06619718309859146</v>
      </c>
      <c r="E128" s="44">
        <f t="shared" si="14"/>
        <v>-0.015852047556142668</v>
      </c>
      <c r="F128" s="44">
        <f t="shared" si="14"/>
        <v>0.051006711409395944</v>
      </c>
      <c r="G128" s="36" t="s">
        <v>30</v>
      </c>
      <c r="H128" s="44">
        <f t="shared" si="28"/>
        <v>-0.007662835249042099</v>
      </c>
      <c r="I128" s="44">
        <f t="shared" si="14"/>
        <v>0.03346203346203347</v>
      </c>
      <c r="J128" s="38">
        <f t="shared" si="14"/>
        <v>-0.039779577816278056</v>
      </c>
      <c r="K128" s="11"/>
    </row>
    <row r="129" ht="15" customHeight="1">
      <c r="A129" s="1"/>
      <c r="B129" s="4" t="s">
        <v>206</v>
      </c>
      <c r="C129" s="44">
        <f t="shared" si="45" ref="C129:J129">C125/C272</f>
        <v>0.14504596527068436</v>
      </c>
      <c r="D129" s="44">
        <f t="shared" si="45"/>
        <v>0.14099459862171726</v>
      </c>
      <c r="E129" s="44">
        <f t="shared" si="45"/>
        <v>0.1367474302496329</v>
      </c>
      <c r="F129" s="44">
        <f t="shared" si="45"/>
        <v>0.13797356828193832</v>
      </c>
      <c r="G129" s="44">
        <f t="shared" si="45"/>
        <v>0.14003834104830037</v>
      </c>
      <c r="H129" s="44">
        <f t="shared" si="45"/>
        <v>0.1402780285250045</v>
      </c>
      <c r="I129" s="44">
        <f t="shared" si="45"/>
        <v>0.13719460105928583</v>
      </c>
      <c r="J129" s="38">
        <f t="shared" si="45"/>
        <v>0.13170355131424913</v>
      </c>
      <c r="K129" s="11"/>
    </row>
    <row r="130" ht="15" customHeight="1">
      <c r="A130" s="1"/>
      <c r="B130" s="4" t="s">
        <v>149</v>
      </c>
      <c r="C130" s="47">
        <f t="shared" si="46" ref="C130:J130">(C129-C329/C294)*10000</f>
        <v>-96.81184965111723</v>
      </c>
      <c r="D130" s="47">
        <f t="shared" si="46"/>
        <v>-119.41607546428062</v>
      </c>
      <c r="E130" s="47">
        <f t="shared" si="46"/>
        <v>-105.0346505266328</v>
      </c>
      <c r="F130" s="47">
        <f t="shared" si="46"/>
        <v>-55.339534916167</v>
      </c>
      <c r="G130" s="47">
        <f t="shared" si="46"/>
        <v>-93.87551714788222</v>
      </c>
      <c r="H130" s="47">
        <f t="shared" si="46"/>
        <v>-47.679367456798516</v>
      </c>
      <c r="I130" s="47">
        <f t="shared" si="46"/>
        <v>-37.999975624314345</v>
      </c>
      <c r="J130" s="48">
        <f t="shared" si="46"/>
        <v>-50.43878935383772</v>
      </c>
      <c r="K130" s="11"/>
    </row>
    <row r="131" ht="15" customHeight="1">
      <c r="A131" s="1"/>
      <c r="B131" s="1" t="s">
        <v>167</v>
      </c>
      <c r="C131" s="13" t="s">
        <v>30</v>
      </c>
      <c r="D131" s="13" t="s">
        <v>30</v>
      </c>
      <c r="E131" s="33">
        <f t="shared" si="17"/>
        <v>732.025</v>
      </c>
      <c r="F131" s="33">
        <f t="shared" si="17"/>
        <v>773.096</v>
      </c>
      <c r="G131" s="33">
        <f t="shared" si="17"/>
        <v>2982.7070000000003</v>
      </c>
      <c r="H131" s="33">
        <f t="shared" si="17"/>
        <v>744.934</v>
      </c>
      <c r="I131" s="33">
        <f t="shared" si="17"/>
        <v>795.492</v>
      </c>
      <c r="J131" s="43">
        <f t="shared" si="17"/>
        <v>779.45</v>
      </c>
      <c r="K131" s="11" t="s">
        <v>207</v>
      </c>
    </row>
    <row r="132" ht="15" customHeight="1">
      <c r="A132" s="1"/>
      <c r="B132" s="1" t="s">
        <v>208</v>
      </c>
      <c r="C132" s="33">
        <f t="shared" si="47" ref="C132:J133">C327</f>
        <v>254</v>
      </c>
      <c r="D132" s="33">
        <f t="shared" si="47"/>
        <v>275</v>
      </c>
      <c r="E132" s="33">
        <f t="shared" si="47"/>
        <v>258</v>
      </c>
      <c r="F132" s="33">
        <f t="shared" si="47"/>
        <v>269</v>
      </c>
      <c r="G132" s="33">
        <f t="shared" si="47"/>
        <v>1056</v>
      </c>
      <c r="H132" s="33">
        <f t="shared" si="47"/>
        <v>268</v>
      </c>
      <c r="I132" s="33">
        <f t="shared" si="47"/>
        <v>283</v>
      </c>
      <c r="J132" s="43">
        <f t="shared" si="47"/>
        <v>280</v>
      </c>
      <c r="K132" s="11"/>
    </row>
    <row r="133" ht="15" customHeight="1">
      <c r="A133" s="1"/>
      <c r="B133" s="1" t="s">
        <v>168</v>
      </c>
      <c r="C133" s="33">
        <f t="shared" si="47"/>
        <v>435</v>
      </c>
      <c r="D133" s="33">
        <f t="shared" si="47"/>
        <v>449</v>
      </c>
      <c r="E133" s="33">
        <f t="shared" si="47"/>
        <v>441</v>
      </c>
      <c r="F133" s="33">
        <f t="shared" si="47"/>
        <v>456</v>
      </c>
      <c r="G133" s="33">
        <f t="shared" si="47"/>
        <v>1781</v>
      </c>
      <c r="H133" s="33">
        <f t="shared" si="47"/>
        <v>442</v>
      </c>
      <c r="I133" s="33">
        <f t="shared" si="47"/>
        <v>474</v>
      </c>
      <c r="J133" s="43">
        <f t="shared" si="47"/>
        <v>465</v>
      </c>
      <c r="K133" s="11"/>
    </row>
    <row r="134" ht="15" customHeight="1">
      <c r="A134" s="1"/>
      <c r="B134" s="1" t="s">
        <v>169</v>
      </c>
      <c r="C134" s="33">
        <f t="shared" si="19"/>
        <v>689</v>
      </c>
      <c r="D134" s="33">
        <f t="shared" si="19"/>
        <v>724</v>
      </c>
      <c r="E134" s="33">
        <f t="shared" si="19"/>
        <v>699</v>
      </c>
      <c r="F134" s="33">
        <f t="shared" si="19"/>
        <v>725</v>
      </c>
      <c r="G134" s="33">
        <f t="shared" si="19"/>
        <v>2837</v>
      </c>
      <c r="H134" s="33">
        <f t="shared" si="19"/>
        <v>710</v>
      </c>
      <c r="I134" s="33">
        <f t="shared" si="19"/>
        <v>757</v>
      </c>
      <c r="J134" s="43">
        <f t="shared" si="19"/>
        <v>745</v>
      </c>
      <c r="K134" s="11" t="s">
        <v>209</v>
      </c>
    </row>
    <row r="135" ht="15" customHeight="1">
      <c r="A135" s="1"/>
      <c r="B135" s="4" t="s">
        <v>152</v>
      </c>
      <c r="C135" s="36" t="s">
        <v>30</v>
      </c>
      <c r="D135" s="36" t="s">
        <v>30</v>
      </c>
      <c r="E135" s="44">
        <f t="shared" si="48" ref="E135:J135">(E134/E329)*(E131/(E131))-1</f>
        <v>0</v>
      </c>
      <c r="F135" s="44">
        <f t="shared" si="48"/>
        <v>0</v>
      </c>
      <c r="G135" s="44">
        <f t="shared" si="48"/>
        <v>0</v>
      </c>
      <c r="H135" s="44">
        <f t="shared" si="48"/>
        <v>0</v>
      </c>
      <c r="I135" s="44">
        <f t="shared" si="48"/>
        <v>0</v>
      </c>
      <c r="J135" s="38">
        <f t="shared" si="48"/>
        <v>0</v>
      </c>
      <c r="K135" s="11" t="s">
        <v>210</v>
      </c>
    </row>
    <row r="136" ht="15" customHeight="1">
      <c r="A136" s="1"/>
      <c r="B136" s="4" t="s">
        <v>151</v>
      </c>
      <c r="C136" s="36" t="s">
        <v>30</v>
      </c>
      <c r="D136" s="47" t="str">
        <f t="shared" si="5"/>
        <v>n/a</v>
      </c>
      <c r="E136" s="47" t="str">
        <f t="shared" si="5"/>
        <v>n/a</v>
      </c>
      <c r="F136" s="47">
        <f t="shared" si="5"/>
        <v>0</v>
      </c>
      <c r="G136" s="36" t="s">
        <v>30</v>
      </c>
      <c r="H136" s="47">
        <f t="shared" si="9"/>
        <v>0</v>
      </c>
      <c r="I136" s="47">
        <f t="shared" si="5"/>
        <v>0</v>
      </c>
      <c r="J136" s="48">
        <f t="shared" si="5"/>
        <v>0</v>
      </c>
      <c r="K136" s="11"/>
    </row>
    <row r="137" ht="15" customHeight="1">
      <c r="A137" s="1"/>
      <c r="B137" s="4" t="s">
        <v>153</v>
      </c>
      <c r="C137" s="36" t="s">
        <v>30</v>
      </c>
      <c r="D137" s="36" t="s">
        <v>30</v>
      </c>
      <c r="E137" s="44">
        <f t="shared" si="21"/>
        <v>0.017724804480721223</v>
      </c>
      <c r="F137" s="44">
        <f t="shared" si="21"/>
        <v>0.01281082815070822</v>
      </c>
      <c r="G137" s="44">
        <f t="shared" si="21"/>
        <v>0.004121423927995416</v>
      </c>
      <c r="H137" s="44">
        <f t="shared" si="21"/>
        <v>0.04304542415838175</v>
      </c>
      <c r="I137" s="44">
        <f t="shared" si="21"/>
        <v>0.009438184167785524</v>
      </c>
      <c r="J137" s="38">
        <f t="shared" si="21"/>
        <v>-0.010767850389981737</v>
      </c>
      <c r="K137" s="11"/>
    </row>
    <row r="138" ht="15" customHeight="1">
      <c r="A138" s="1"/>
      <c r="B138" s="4" t="s">
        <v>151</v>
      </c>
      <c r="C138" s="36" t="s">
        <v>30</v>
      </c>
      <c r="D138" s="47" t="str">
        <f t="shared" si="5"/>
        <v>n/a</v>
      </c>
      <c r="E138" s="47" t="str">
        <f t="shared" si="5"/>
        <v>n/a</v>
      </c>
      <c r="F138" s="47">
        <f t="shared" si="5"/>
        <v>-49.139763300130035</v>
      </c>
      <c r="G138" s="36" t="s">
        <v>30</v>
      </c>
      <c r="H138" s="47">
        <f t="shared" si="9"/>
        <v>302.3459600767353</v>
      </c>
      <c r="I138" s="47">
        <f t="shared" si="5"/>
        <v>-336.07239990596224</v>
      </c>
      <c r="J138" s="48">
        <f t="shared" si="5"/>
        <v>-202.0603455776726</v>
      </c>
      <c r="K138" s="11"/>
    </row>
    <row r="139" ht="15" customHeight="1">
      <c r="A139" s="1"/>
      <c r="B139" s="4" t="s">
        <v>211</v>
      </c>
      <c r="C139" s="36" t="s">
        <v>30</v>
      </c>
      <c r="D139" s="36" t="s">
        <v>30</v>
      </c>
      <c r="E139" s="44">
        <f t="shared" si="22"/>
        <v>0.0472460658082976</v>
      </c>
      <c r="F139" s="44">
        <f t="shared" si="22"/>
        <v>0.06633931034482776</v>
      </c>
      <c r="G139" s="44">
        <f t="shared" si="22"/>
        <v>0.05135953471977461</v>
      </c>
      <c r="H139" s="44">
        <f t="shared" si="22"/>
        <v>0.04920281690140871</v>
      </c>
      <c r="I139" s="44">
        <f t="shared" si="22"/>
        <v>0.05084808454425338</v>
      </c>
      <c r="J139" s="38">
        <f t="shared" si="22"/>
        <v>0.04624161073825506</v>
      </c>
      <c r="K139" s="11" t="s">
        <v>212</v>
      </c>
    </row>
    <row r="140" ht="15" customHeight="1">
      <c r="A140" s="1"/>
      <c r="B140" s="4" t="s">
        <v>151</v>
      </c>
      <c r="C140" s="36" t="s">
        <v>30</v>
      </c>
      <c r="D140" s="47" t="str">
        <f t="shared" si="5"/>
        <v>n/a</v>
      </c>
      <c r="E140" s="47" t="str">
        <f t="shared" si="5"/>
        <v>n/a</v>
      </c>
      <c r="F140" s="47">
        <f t="shared" si="5"/>
        <v>190.93244536530162</v>
      </c>
      <c r="G140" s="36" t="s">
        <v>30</v>
      </c>
      <c r="H140" s="47">
        <f t="shared" si="9"/>
        <v>-171.36493443419053</v>
      </c>
      <c r="I140" s="47">
        <f t="shared" si="5"/>
        <v>16.452676428446722</v>
      </c>
      <c r="J140" s="48">
        <f t="shared" si="5"/>
        <v>-46.064738059983235</v>
      </c>
      <c r="K140" s="11"/>
    </row>
    <row r="141" ht="15" customHeight="1">
      <c r="A141" s="1"/>
      <c r="B141" s="4" t="s">
        <v>213</v>
      </c>
      <c r="C141" s="44">
        <f t="shared" si="23"/>
        <v>0.37746478873239436</v>
      </c>
      <c r="D141" s="44">
        <f t="shared" si="23"/>
        <v>0.37384412153236457</v>
      </c>
      <c r="E141" s="44">
        <f t="shared" si="23"/>
        <v>0.37583892617449666</v>
      </c>
      <c r="F141" s="44">
        <f t="shared" si="23"/>
        <v>0.3665389527458493</v>
      </c>
      <c r="G141" s="44">
        <f t="shared" si="23"/>
        <v>0.37328881469115194</v>
      </c>
      <c r="H141" s="44">
        <f t="shared" si="23"/>
        <v>0.3745173745173745</v>
      </c>
      <c r="I141" s="44">
        <f t="shared" si="23"/>
        <v>0.36612702366127026</v>
      </c>
      <c r="J141" s="38">
        <f t="shared" si="23"/>
        <v>0.3776633898305236</v>
      </c>
      <c r="K141" s="11"/>
    </row>
    <row r="142" ht="15" customHeight="1">
      <c r="A142" s="1"/>
      <c r="B142" s="4" t="s">
        <v>214</v>
      </c>
      <c r="C142" s="47">
        <f t="shared" si="49" ref="C142:J142">(C141-C327/C329)*10000</f>
        <v>88.1457102557287</v>
      </c>
      <c r="D142" s="47">
        <f t="shared" si="49"/>
        <v>-59.901326112818396</v>
      </c>
      <c r="E142" s="47">
        <f t="shared" si="49"/>
        <v>67.40213728144707</v>
      </c>
      <c r="F142" s="47">
        <f t="shared" si="49"/>
        <v>-44.95530012771365</v>
      </c>
      <c r="G142" s="47">
        <f t="shared" si="49"/>
        <v>10.646342188220249</v>
      </c>
      <c r="H142" s="47">
        <f t="shared" si="49"/>
        <v>-29.474142150198723</v>
      </c>
      <c r="I142" s="47">
        <f t="shared" si="49"/>
        <v>-77.17097871094313</v>
      </c>
      <c r="J142" s="48">
        <f t="shared" si="49"/>
        <v>18.244636560269534</v>
      </c>
      <c r="K142" s="11"/>
    </row>
    <row r="143" ht="15" customHeight="1">
      <c r="A143" s="1"/>
      <c r="B143" s="1"/>
      <c r="C143" s="1"/>
      <c r="D143" s="1"/>
      <c r="E143" s="1"/>
      <c r="F143" s="1"/>
      <c r="G143" s="1"/>
      <c r="H143" s="1"/>
      <c r="I143" s="1"/>
      <c r="J143" s="35"/>
      <c r="K143" s="11"/>
    </row>
    <row r="144" ht="15" customHeight="1">
      <c r="A144" s="1"/>
      <c r="B144" s="3" t="s">
        <v>361</v>
      </c>
      <c r="C144" s="1"/>
      <c r="D144" s="1"/>
      <c r="E144" s="1"/>
      <c r="F144" s="1"/>
      <c r="G144" s="1"/>
      <c r="H144" s="1"/>
      <c r="I144" s="1"/>
      <c r="J144" s="35"/>
      <c r="K144" s="11"/>
    </row>
    <row r="145" ht="15" customHeight="1">
      <c r="A145" s="1"/>
      <c r="B145" s="1" t="s">
        <v>193</v>
      </c>
      <c r="C145" s="29">
        <v>282</v>
      </c>
      <c r="D145" s="29">
        <v>289</v>
      </c>
      <c r="E145" s="29">
        <v>297</v>
      </c>
      <c r="F145" s="29">
        <v>304</v>
      </c>
      <c r="G145" s="33">
        <f t="shared" si="6"/>
        <v>1172</v>
      </c>
      <c r="H145" s="29">
        <v>224</v>
      </c>
      <c r="I145" s="29">
        <v>225</v>
      </c>
      <c r="J145" s="43">
        <f>(J330+J177)*(1+J148)</f>
        <v>239.70000000000002</v>
      </c>
      <c r="K145" s="11" t="s">
        <v>362</v>
      </c>
    </row>
    <row r="146" ht="15" customHeight="1">
      <c r="A146" s="1"/>
      <c r="B146" s="4" t="s">
        <v>195</v>
      </c>
      <c r="C146" s="44">
        <f t="shared" si="50" ref="C146:J146">C145/C330-1</f>
        <v>0.2103004291845494</v>
      </c>
      <c r="D146" s="44">
        <f t="shared" si="50"/>
        <v>0.12015503875968991</v>
      </c>
      <c r="E146" s="44">
        <f t="shared" si="50"/>
        <v>0.10000000000000009</v>
      </c>
      <c r="F146" s="44">
        <f t="shared" si="50"/>
        <v>0.048275862068965614</v>
      </c>
      <c r="G146" s="44">
        <f t="shared" si="50"/>
        <v>0.11512844909609887</v>
      </c>
      <c r="H146" s="44">
        <f t="shared" si="50"/>
        <v>-0.09677419354838712</v>
      </c>
      <c r="I146" s="44">
        <f t="shared" si="50"/>
        <v>-0.09638554216867468</v>
      </c>
      <c r="J146" s="38">
        <f t="shared" si="50"/>
        <v>-0.06731517509727625</v>
      </c>
      <c r="K146" s="11" t="s">
        <v>349</v>
      </c>
    </row>
    <row r="147" ht="15" customHeight="1">
      <c r="A147" s="1"/>
      <c r="B147" s="1" t="s">
        <v>196</v>
      </c>
      <c r="C147" s="33">
        <f>C145-F330</f>
        <v>-8</v>
      </c>
      <c r="D147" s="33">
        <f t="shared" si="4"/>
        <v>7</v>
      </c>
      <c r="E147" s="33">
        <f t="shared" si="4"/>
        <v>8</v>
      </c>
      <c r="F147" s="33">
        <f t="shared" si="4"/>
        <v>7</v>
      </c>
      <c r="G147" s="13" t="s">
        <v>30</v>
      </c>
      <c r="H147" s="33">
        <f t="shared" si="8"/>
        <v>-80</v>
      </c>
      <c r="I147" s="33">
        <f t="shared" si="4"/>
        <v>1</v>
      </c>
      <c r="J147" s="43">
        <f t="shared" si="4"/>
        <v>14.700000000000017</v>
      </c>
      <c r="K147" s="11" t="s">
        <v>273</v>
      </c>
    </row>
    <row r="148" ht="15" customHeight="1">
      <c r="A148" s="1"/>
      <c r="B148" s="4" t="s">
        <v>197</v>
      </c>
      <c r="C148" s="36" t="s">
        <v>30</v>
      </c>
      <c r="D148" s="36" t="s">
        <v>30</v>
      </c>
      <c r="E148" s="54">
        <v>0.101</v>
      </c>
      <c r="F148" s="54">
        <v>0.048</v>
      </c>
      <c r="G148" s="54">
        <v>0.115</v>
      </c>
      <c r="H148" s="54">
        <v>-0.036000000000000004</v>
      </c>
      <c r="I148" s="54">
        <v>-0.009000000000000001</v>
      </c>
      <c r="J148" s="37">
        <v>0.02</v>
      </c>
      <c r="K148" s="11" t="s">
        <v>201</v>
      </c>
    </row>
    <row r="149" ht="15" customHeight="1">
      <c r="A149" s="1"/>
      <c r="B149" s="4" t="s">
        <v>199</v>
      </c>
      <c r="C149" s="36" t="s">
        <v>30</v>
      </c>
      <c r="D149" s="47" t="str">
        <f t="shared" si="5"/>
        <v>n/a</v>
      </c>
      <c r="E149" s="47" t="str">
        <f t="shared" si="5"/>
        <v>n/a</v>
      </c>
      <c r="F149" s="47">
        <f t="shared" si="5"/>
        <v>-530</v>
      </c>
      <c r="G149" s="36" t="s">
        <v>30</v>
      </c>
      <c r="H149" s="47">
        <f t="shared" si="9"/>
        <v>-840</v>
      </c>
      <c r="I149" s="47">
        <f t="shared" si="5"/>
        <v>270.00000000000006</v>
      </c>
      <c r="J149" s="48">
        <f t="shared" si="5"/>
        <v>290</v>
      </c>
      <c r="K149" s="11"/>
    </row>
    <row r="150" ht="15" customHeight="1">
      <c r="A150" s="1"/>
      <c r="B150" s="1" t="s">
        <v>200</v>
      </c>
      <c r="C150" s="29">
        <v>295</v>
      </c>
      <c r="D150" s="29">
        <v>347</v>
      </c>
      <c r="E150" s="29">
        <v>338</v>
      </c>
      <c r="F150" s="29">
        <v>371</v>
      </c>
      <c r="G150" s="33">
        <f t="shared" si="6"/>
        <v>1351</v>
      </c>
      <c r="H150" s="29">
        <v>354</v>
      </c>
      <c r="I150" s="29">
        <v>372</v>
      </c>
      <c r="J150" s="43">
        <f>(J331)*(1+J153)*(1+J155)</f>
        <v>349.1924050169109</v>
      </c>
      <c r="K150" s="11" t="s">
        <v>362</v>
      </c>
    </row>
    <row r="151" ht="15" customHeight="1">
      <c r="A151" s="1"/>
      <c r="B151" s="4" t="s">
        <v>195</v>
      </c>
      <c r="C151" s="44">
        <f t="shared" si="51" ref="C151:J151">C150/C331-1</f>
        <v>0.046099290780141855</v>
      </c>
      <c r="D151" s="44">
        <f t="shared" si="51"/>
        <v>0.13398692810457513</v>
      </c>
      <c r="E151" s="44">
        <f t="shared" si="51"/>
        <v>0.17361111111111116</v>
      </c>
      <c r="F151" s="44">
        <f t="shared" si="51"/>
        <v>0.1630094043887147</v>
      </c>
      <c r="G151" s="44">
        <f t="shared" si="51"/>
        <v>0.13054393305439338</v>
      </c>
      <c r="H151" s="44">
        <f t="shared" si="51"/>
        <v>0.2508833922261484</v>
      </c>
      <c r="I151" s="44">
        <f t="shared" si="51"/>
        <v>0.12048192771084332</v>
      </c>
      <c r="J151" s="38">
        <f t="shared" si="51"/>
        <v>0.08109103720405852</v>
      </c>
      <c r="K151" s="11" t="s">
        <v>349</v>
      </c>
    </row>
    <row r="152" ht="15" customHeight="1">
      <c r="A152" s="1"/>
      <c r="B152" s="1" t="s">
        <v>196</v>
      </c>
      <c r="C152" s="33">
        <f>C150-F331</f>
        <v>-24</v>
      </c>
      <c r="D152" s="33">
        <f t="shared" si="4"/>
        <v>52</v>
      </c>
      <c r="E152" s="33">
        <f t="shared" si="4"/>
        <v>-9</v>
      </c>
      <c r="F152" s="33">
        <f t="shared" si="4"/>
        <v>33</v>
      </c>
      <c r="G152" s="13" t="s">
        <v>30</v>
      </c>
      <c r="H152" s="33">
        <f t="shared" si="8"/>
        <v>-17</v>
      </c>
      <c r="I152" s="33">
        <f t="shared" si="4"/>
        <v>18</v>
      </c>
      <c r="J152" s="43">
        <f t="shared" si="4"/>
        <v>-22.807594983089075</v>
      </c>
      <c r="K152" s="11" t="s">
        <v>273</v>
      </c>
    </row>
    <row r="153" ht="15" customHeight="1">
      <c r="A153" s="1"/>
      <c r="B153" s="4" t="s">
        <v>197</v>
      </c>
      <c r="C153" s="36" t="s">
        <v>30</v>
      </c>
      <c r="D153" s="36" t="s">
        <v>30</v>
      </c>
      <c r="E153" s="54">
        <v>0.124</v>
      </c>
      <c r="F153" s="54">
        <v>0.123</v>
      </c>
      <c r="G153" s="54">
        <v>0.115</v>
      </c>
      <c r="H153" s="54">
        <v>0.15</v>
      </c>
      <c r="I153" s="54">
        <v>0.102</v>
      </c>
      <c r="J153" s="37">
        <v>0.1</v>
      </c>
      <c r="K153" s="11" t="s">
        <v>201</v>
      </c>
    </row>
    <row r="154" ht="15" customHeight="1">
      <c r="A154" s="1"/>
      <c r="B154" s="4" t="s">
        <v>199</v>
      </c>
      <c r="C154" s="36" t="s">
        <v>30</v>
      </c>
      <c r="D154" s="47" t="str">
        <f t="shared" si="5"/>
        <v>n/a</v>
      </c>
      <c r="E154" s="47" t="str">
        <f t="shared" si="5"/>
        <v>n/a</v>
      </c>
      <c r="F154" s="47">
        <f t="shared" si="5"/>
        <v>-10.000000000000009</v>
      </c>
      <c r="G154" s="36" t="s">
        <v>30</v>
      </c>
      <c r="H154" s="47">
        <f t="shared" si="9"/>
        <v>269.99999999999994</v>
      </c>
      <c r="I154" s="47">
        <f t="shared" si="5"/>
        <v>-480</v>
      </c>
      <c r="J154" s="48">
        <f t="shared" si="5"/>
        <v>-19.99999999999988</v>
      </c>
      <c r="K154" s="11"/>
    </row>
    <row r="155" ht="15" customHeight="1">
      <c r="A155" s="1"/>
      <c r="B155" s="4" t="s">
        <v>202</v>
      </c>
      <c r="C155" s="36" t="s">
        <v>30</v>
      </c>
      <c r="D155" s="36" t="s">
        <v>30</v>
      </c>
      <c r="E155" s="44">
        <f t="shared" si="10"/>
        <v>0.044137999209173495</v>
      </c>
      <c r="F155" s="44">
        <f t="shared" si="10"/>
        <v>0.03562725234970143</v>
      </c>
      <c r="G155" s="44">
        <f t="shared" si="10"/>
        <v>0.013940747133985187</v>
      </c>
      <c r="H155" s="44">
        <f t="shared" si="10"/>
        <v>0.08772468889230312</v>
      </c>
      <c r="I155" s="44">
        <f t="shared" si="10"/>
        <v>0.01677125926573786</v>
      </c>
      <c r="J155" s="42">
        <f>'Revenue summary'!J12</f>
        <v>-0.017189966178128523</v>
      </c>
      <c r="K155" s="11" t="s">
        <v>203</v>
      </c>
    </row>
    <row r="156" ht="15" customHeight="1">
      <c r="A156" s="1"/>
      <c r="B156" s="4" t="s">
        <v>199</v>
      </c>
      <c r="C156" s="36" t="s">
        <v>30</v>
      </c>
      <c r="D156" s="47" t="str">
        <f t="shared" si="5"/>
        <v>n/a</v>
      </c>
      <c r="E156" s="47" t="str">
        <f t="shared" si="5"/>
        <v>n/a</v>
      </c>
      <c r="F156" s="47">
        <f t="shared" si="5"/>
        <v>-85.10746859472063</v>
      </c>
      <c r="G156" s="36" t="s">
        <v>30</v>
      </c>
      <c r="H156" s="47">
        <f t="shared" si="9"/>
        <v>520.9743654260168</v>
      </c>
      <c r="I156" s="47">
        <f t="shared" si="5"/>
        <v>-709.5342962656525</v>
      </c>
      <c r="J156" s="48">
        <f t="shared" si="5"/>
        <v>-339.61225443866385</v>
      </c>
      <c r="K156" s="11"/>
    </row>
    <row r="157" ht="15" customHeight="1">
      <c r="A157" s="1"/>
      <c r="B157" s="1" t="s">
        <v>204</v>
      </c>
      <c r="C157" s="13" t="s">
        <v>30</v>
      </c>
      <c r="D157" s="13" t="s">
        <v>30</v>
      </c>
      <c r="E157" s="33">
        <f t="shared" si="11"/>
        <v>323.71200000000005</v>
      </c>
      <c r="F157" s="33">
        <f t="shared" si="11"/>
        <v>358.237</v>
      </c>
      <c r="G157" s="33">
        <f t="shared" si="11"/>
        <v>1332.4249999999997</v>
      </c>
      <c r="H157" s="33">
        <f t="shared" si="11"/>
        <v>325.44999999999993</v>
      </c>
      <c r="I157" s="33">
        <f t="shared" si="11"/>
        <v>365.8640000000001</v>
      </c>
      <c r="J157" s="43">
        <f t="shared" si="11"/>
        <v>355.3</v>
      </c>
      <c r="K157" s="11"/>
    </row>
    <row r="158" ht="15" customHeight="1">
      <c r="A158" s="1"/>
      <c r="B158" s="3" t="s">
        <v>363</v>
      </c>
      <c r="C158" s="50">
        <f t="shared" si="12"/>
        <v>577</v>
      </c>
      <c r="D158" s="50">
        <f t="shared" si="12"/>
        <v>636</v>
      </c>
      <c r="E158" s="50">
        <f t="shared" si="12"/>
        <v>635</v>
      </c>
      <c r="F158" s="50">
        <f t="shared" si="12"/>
        <v>675</v>
      </c>
      <c r="G158" s="50">
        <f t="shared" si="12"/>
        <v>2523</v>
      </c>
      <c r="H158" s="50">
        <f t="shared" si="12"/>
        <v>578</v>
      </c>
      <c r="I158" s="50">
        <f t="shared" si="12"/>
        <v>597</v>
      </c>
      <c r="J158" s="51">
        <f t="shared" si="12"/>
        <v>588.892405016911</v>
      </c>
      <c r="K158" s="11"/>
    </row>
    <row r="159" ht="15" customHeight="1">
      <c r="A159" s="1"/>
      <c r="B159" s="4" t="s">
        <v>166</v>
      </c>
      <c r="C159" s="44">
        <f t="shared" si="52" ref="C159:J159">C158/C332-1</f>
        <v>0.12038834951456301</v>
      </c>
      <c r="D159" s="44">
        <f t="shared" si="52"/>
        <v>0.12765957446808507</v>
      </c>
      <c r="E159" s="44">
        <f t="shared" si="52"/>
        <v>0.13799283154121866</v>
      </c>
      <c r="F159" s="44">
        <f t="shared" si="52"/>
        <v>0.10837438423645329</v>
      </c>
      <c r="G159" s="44">
        <f t="shared" si="52"/>
        <v>0.1233303650934996</v>
      </c>
      <c r="H159" s="44">
        <f t="shared" si="52"/>
        <v>0.08851224105461397</v>
      </c>
      <c r="I159" s="44">
        <f t="shared" si="52"/>
        <v>0.027538726333907082</v>
      </c>
      <c r="J159" s="38">
        <f t="shared" si="52"/>
        <v>0.015331732787777552</v>
      </c>
      <c r="K159" s="11"/>
    </row>
    <row r="160" ht="15" customHeight="1">
      <c r="A160" s="1"/>
      <c r="B160" s="1" t="s">
        <v>146</v>
      </c>
      <c r="C160" s="33">
        <f>C158-F332</f>
        <v>-32</v>
      </c>
      <c r="D160" s="33">
        <f t="shared" si="4"/>
        <v>59</v>
      </c>
      <c r="E160" s="33">
        <f t="shared" si="4"/>
        <v>-1</v>
      </c>
      <c r="F160" s="33">
        <f t="shared" si="4"/>
        <v>40</v>
      </c>
      <c r="G160" s="13" t="s">
        <v>30</v>
      </c>
      <c r="H160" s="33">
        <f t="shared" si="8"/>
        <v>-97</v>
      </c>
      <c r="I160" s="33">
        <f t="shared" si="4"/>
        <v>19</v>
      </c>
      <c r="J160" s="43">
        <f t="shared" si="4"/>
        <v>-8.10759498308903</v>
      </c>
      <c r="K160" s="11"/>
    </row>
    <row r="161" ht="15" customHeight="1">
      <c r="A161" s="1"/>
      <c r="B161" s="4" t="s">
        <v>147</v>
      </c>
      <c r="C161" s="44">
        <f>C158/F332-1</f>
        <v>-0.0525451559934319</v>
      </c>
      <c r="D161" s="44">
        <f t="shared" si="14"/>
        <v>0.10225303292894283</v>
      </c>
      <c r="E161" s="44">
        <f t="shared" si="14"/>
        <v>-0.0015723270440252124</v>
      </c>
      <c r="F161" s="44">
        <f t="shared" si="14"/>
        <v>0.06299212598425208</v>
      </c>
      <c r="G161" s="36" t="s">
        <v>30</v>
      </c>
      <c r="H161" s="44">
        <f t="shared" si="28"/>
        <v>-0.14370370370370367</v>
      </c>
      <c r="I161" s="44">
        <f t="shared" si="14"/>
        <v>0.03287197231833905</v>
      </c>
      <c r="J161" s="38">
        <f t="shared" si="14"/>
        <v>-0.013580561110701939</v>
      </c>
      <c r="K161" s="11"/>
    </row>
    <row r="162" ht="15" customHeight="1">
      <c r="A162" s="1"/>
      <c r="B162" s="4" t="s">
        <v>206</v>
      </c>
      <c r="C162" s="44">
        <f t="shared" si="53" ref="C162:J162">C158/C272</f>
        <v>0.11787538304392237</v>
      </c>
      <c r="D162" s="44">
        <f t="shared" si="53"/>
        <v>0.11845781337306761</v>
      </c>
      <c r="E162" s="44">
        <f t="shared" si="53"/>
        <v>0.11655653450807636</v>
      </c>
      <c r="F162" s="44">
        <f t="shared" si="53"/>
        <v>0.11894273127753303</v>
      </c>
      <c r="G162" s="44">
        <f t="shared" si="53"/>
        <v>0.11796885958759995</v>
      </c>
      <c r="H162" s="44">
        <f t="shared" si="53"/>
        <v>0.10435096587831738</v>
      </c>
      <c r="I162" s="44">
        <f t="shared" si="53"/>
        <v>0.10199897488467452</v>
      </c>
      <c r="J162" s="38">
        <f t="shared" si="53"/>
        <v>0.10058818113569253</v>
      </c>
      <c r="K162" s="11"/>
    </row>
    <row r="163" ht="15" customHeight="1">
      <c r="A163" s="1"/>
      <c r="B163" s="4" t="s">
        <v>149</v>
      </c>
      <c r="C163" s="47">
        <f t="shared" si="54" ref="C163:J163">(C162-C332/C294)*10000</f>
        <v>22.23013854611794</v>
      </c>
      <c r="D163" s="47">
        <f t="shared" si="54"/>
        <v>-6.803361833328942</v>
      </c>
      <c r="E163" s="47">
        <f t="shared" si="54"/>
        <v>-9.913904971901172</v>
      </c>
      <c r="F163" s="47">
        <f t="shared" si="54"/>
        <v>-16.035870122531882</v>
      </c>
      <c r="G163" s="47">
        <f t="shared" si="54"/>
        <v>-3.288334493746631</v>
      </c>
      <c r="H163" s="47">
        <f t="shared" si="54"/>
        <v>-41.270729368000914</v>
      </c>
      <c r="I163" s="47">
        <f t="shared" si="54"/>
        <v>-62.148451935523376</v>
      </c>
      <c r="J163" s="48">
        <f t="shared" si="54"/>
        <v>-58.729055016055604</v>
      </c>
      <c r="K163" s="11"/>
    </row>
    <row r="164" ht="15" customHeight="1">
      <c r="A164" s="1"/>
      <c r="B164" s="1" t="s">
        <v>167</v>
      </c>
      <c r="C164" s="13" t="s">
        <v>30</v>
      </c>
      <c r="D164" s="13" t="s">
        <v>30</v>
      </c>
      <c r="E164" s="33">
        <f t="shared" si="17"/>
        <v>620.712</v>
      </c>
      <c r="F164" s="33">
        <f t="shared" si="17"/>
        <v>662.2370000000001</v>
      </c>
      <c r="G164" s="33">
        <f t="shared" si="17"/>
        <v>2504.4249999999997</v>
      </c>
      <c r="H164" s="33">
        <f t="shared" si="17"/>
        <v>549.4499999999999</v>
      </c>
      <c r="I164" s="33">
        <f t="shared" si="17"/>
        <v>590.864</v>
      </c>
      <c r="J164" s="43">
        <f t="shared" si="17"/>
        <v>595</v>
      </c>
      <c r="K164" s="11" t="s">
        <v>207</v>
      </c>
    </row>
    <row r="165" ht="15" customHeight="1">
      <c r="A165" s="1"/>
      <c r="B165" s="1" t="s">
        <v>208</v>
      </c>
      <c r="C165" s="33">
        <f t="shared" si="55" ref="C165:J166">C330</f>
        <v>233</v>
      </c>
      <c r="D165" s="33">
        <f t="shared" si="55"/>
        <v>258</v>
      </c>
      <c r="E165" s="33">
        <f t="shared" si="55"/>
        <v>270</v>
      </c>
      <c r="F165" s="33">
        <f t="shared" si="55"/>
        <v>290</v>
      </c>
      <c r="G165" s="33">
        <f t="shared" si="55"/>
        <v>1051</v>
      </c>
      <c r="H165" s="33">
        <f t="shared" si="56" ref="H165:J165">H330+H177</f>
        <v>224</v>
      </c>
      <c r="I165" s="33">
        <f t="shared" si="56"/>
        <v>227</v>
      </c>
      <c r="J165" s="43">
        <f t="shared" si="56"/>
        <v>235</v>
      </c>
      <c r="K165" s="11"/>
    </row>
    <row r="166" ht="15" customHeight="1">
      <c r="A166" s="1"/>
      <c r="B166" s="1" t="s">
        <v>168</v>
      </c>
      <c r="C166" s="33">
        <f t="shared" si="55"/>
        <v>282</v>
      </c>
      <c r="D166" s="33">
        <f t="shared" si="55"/>
        <v>306</v>
      </c>
      <c r="E166" s="33">
        <f t="shared" si="55"/>
        <v>288</v>
      </c>
      <c r="F166" s="33">
        <f t="shared" si="55"/>
        <v>319</v>
      </c>
      <c r="G166" s="33">
        <f t="shared" si="55"/>
        <v>1195</v>
      </c>
      <c r="H166" s="33">
        <f t="shared" si="55"/>
        <v>283</v>
      </c>
      <c r="I166" s="33">
        <f t="shared" si="55"/>
        <v>332</v>
      </c>
      <c r="J166" s="43">
        <f t="shared" si="55"/>
        <v>323</v>
      </c>
      <c r="K166" s="11"/>
    </row>
    <row r="167" ht="15" customHeight="1">
      <c r="A167" s="1"/>
      <c r="B167" s="1" t="s">
        <v>169</v>
      </c>
      <c r="C167" s="33">
        <f t="shared" si="19"/>
        <v>515</v>
      </c>
      <c r="D167" s="33">
        <f t="shared" si="19"/>
        <v>564</v>
      </c>
      <c r="E167" s="33">
        <f t="shared" si="19"/>
        <v>558</v>
      </c>
      <c r="F167" s="33">
        <f t="shared" si="19"/>
        <v>609</v>
      </c>
      <c r="G167" s="33">
        <f t="shared" si="19"/>
        <v>2246</v>
      </c>
      <c r="H167" s="33">
        <f t="shared" si="19"/>
        <v>507</v>
      </c>
      <c r="I167" s="33">
        <f t="shared" si="19"/>
        <v>559</v>
      </c>
      <c r="J167" s="43">
        <f t="shared" si="19"/>
        <v>558</v>
      </c>
      <c r="K167" s="11" t="s">
        <v>209</v>
      </c>
    </row>
    <row r="168" ht="15" customHeight="1">
      <c r="A168" s="1"/>
      <c r="B168" s="4" t="s">
        <v>152</v>
      </c>
      <c r="C168" s="36" t="s">
        <v>30</v>
      </c>
      <c r="D168" s="36" t="s">
        <v>30</v>
      </c>
      <c r="E168" s="44">
        <f t="shared" si="57" ref="E168:G168">(E167/E332)*(E164/(E164))-1</f>
        <v>0</v>
      </c>
      <c r="F168" s="44">
        <f t="shared" si="57"/>
        <v>0</v>
      </c>
      <c r="G168" s="44">
        <f t="shared" si="57"/>
        <v>0</v>
      </c>
      <c r="H168" s="44">
        <f t="shared" si="58" ref="H168:J168">(H167/H332)*(H164/(H164+H178))-1</f>
        <v>-0.03109040226259996</v>
      </c>
      <c r="I168" s="44">
        <f t="shared" si="58"/>
        <v>-0.03786574870912218</v>
      </c>
      <c r="J168" s="38">
        <f t="shared" si="58"/>
        <v>-0.037931034482758585</v>
      </c>
      <c r="K168" s="11" t="s">
        <v>364</v>
      </c>
    </row>
    <row r="169" ht="15" customHeight="1">
      <c r="A169" s="1"/>
      <c r="B169" s="4" t="s">
        <v>151</v>
      </c>
      <c r="C169" s="36" t="s">
        <v>30</v>
      </c>
      <c r="D169" s="47" t="str">
        <f t="shared" si="5"/>
        <v>n/a</v>
      </c>
      <c r="E169" s="47" t="str">
        <f t="shared" si="5"/>
        <v>n/a</v>
      </c>
      <c r="F169" s="47">
        <f t="shared" si="5"/>
        <v>0</v>
      </c>
      <c r="G169" s="36" t="s">
        <v>30</v>
      </c>
      <c r="H169" s="47">
        <f t="shared" si="9"/>
        <v>-310.9040226259996</v>
      </c>
      <c r="I169" s="47">
        <f t="shared" si="5"/>
        <v>-67.75346446522224</v>
      </c>
      <c r="J169" s="48">
        <f t="shared" si="5"/>
        <v>-0.652857736364032</v>
      </c>
      <c r="K169" s="11"/>
    </row>
    <row r="170" ht="15" customHeight="1">
      <c r="A170" s="1"/>
      <c r="B170" s="4" t="s">
        <v>153</v>
      </c>
      <c r="C170" s="36" t="s">
        <v>30</v>
      </c>
      <c r="D170" s="36" t="s">
        <v>30</v>
      </c>
      <c r="E170" s="44">
        <f t="shared" si="21"/>
        <v>0.023018726881387952</v>
      </c>
      <c r="F170" s="44">
        <f t="shared" si="21"/>
        <v>0.019272556501675364</v>
      </c>
      <c r="G170" s="44">
        <f t="shared" si="21"/>
        <v>0.007416872136318808</v>
      </c>
      <c r="H170" s="44">
        <f t="shared" si="21"/>
        <v>0.05196105196105205</v>
      </c>
      <c r="I170" s="44">
        <f t="shared" si="21"/>
        <v>0.010384792439546153</v>
      </c>
      <c r="J170" s="38">
        <f t="shared" si="21"/>
        <v>-0.010264865517796706</v>
      </c>
      <c r="K170" s="11"/>
    </row>
    <row r="171" ht="15" customHeight="1">
      <c r="A171" s="1"/>
      <c r="B171" s="4" t="s">
        <v>151</v>
      </c>
      <c r="C171" s="36" t="s">
        <v>30</v>
      </c>
      <c r="D171" s="47" t="str">
        <f t="shared" si="5"/>
        <v>n/a</v>
      </c>
      <c r="E171" s="47" t="str">
        <f t="shared" si="5"/>
        <v>n/a</v>
      </c>
      <c r="F171" s="47">
        <f t="shared" si="5"/>
        <v>-37.46170379712588</v>
      </c>
      <c r="G171" s="36" t="s">
        <v>30</v>
      </c>
      <c r="H171" s="47">
        <f t="shared" si="9"/>
        <v>326.88495459376685</v>
      </c>
      <c r="I171" s="47">
        <f t="shared" si="5"/>
        <v>-415.762595215059</v>
      </c>
      <c r="J171" s="48">
        <f t="shared" si="5"/>
        <v>-206.4965795734286</v>
      </c>
      <c r="K171" s="11"/>
    </row>
    <row r="172" ht="15" customHeight="1">
      <c r="A172" s="1"/>
      <c r="B172" s="4" t="s">
        <v>211</v>
      </c>
      <c r="C172" s="36" t="s">
        <v>30</v>
      </c>
      <c r="D172" s="36" t="s">
        <v>30</v>
      </c>
      <c r="E172" s="44">
        <f t="shared" si="22"/>
        <v>0.11238709677419334</v>
      </c>
      <c r="F172" s="44">
        <f t="shared" si="22"/>
        <v>0.08741707717569791</v>
      </c>
      <c r="G172" s="44">
        <f t="shared" si="22"/>
        <v>0.11506010685663393</v>
      </c>
      <c r="H172" s="44">
        <f t="shared" si="22"/>
        <v>0.06794871794871793</v>
      </c>
      <c r="I172" s="44">
        <f t="shared" si="22"/>
        <v>0.05700178890876573</v>
      </c>
      <c r="J172" s="38">
        <f t="shared" si="22"/>
        <v>0.06630824372759858</v>
      </c>
      <c r="K172" s="11" t="s">
        <v>212</v>
      </c>
    </row>
    <row r="173" ht="15" customHeight="1">
      <c r="A173" s="1"/>
      <c r="B173" s="4" t="s">
        <v>151</v>
      </c>
      <c r="C173" s="36" t="s">
        <v>30</v>
      </c>
      <c r="D173" s="47" t="str">
        <f t="shared" si="5"/>
        <v>n/a</v>
      </c>
      <c r="E173" s="47" t="str">
        <f t="shared" si="5"/>
        <v>n/a</v>
      </c>
      <c r="F173" s="47">
        <f t="shared" si="5"/>
        <v>-249.7001959849543</v>
      </c>
      <c r="G173" s="36" t="s">
        <v>30</v>
      </c>
      <c r="H173" s="47">
        <f t="shared" si="9"/>
        <v>-194.68359226979982</v>
      </c>
      <c r="I173" s="47">
        <f t="shared" si="5"/>
        <v>-109.46929039952202</v>
      </c>
      <c r="J173" s="48">
        <f t="shared" si="5"/>
        <v>93.06454818832854</v>
      </c>
      <c r="K173" s="11"/>
    </row>
    <row r="174" ht="15" customHeight="1">
      <c r="A174" s="1"/>
      <c r="B174" s="4" t="s">
        <v>213</v>
      </c>
      <c r="C174" s="44">
        <f t="shared" si="23"/>
        <v>0.48873483535528595</v>
      </c>
      <c r="D174" s="44">
        <f t="shared" si="23"/>
        <v>0.45440251572327045</v>
      </c>
      <c r="E174" s="44">
        <f t="shared" si="23"/>
        <v>0.46771653543307085</v>
      </c>
      <c r="F174" s="44">
        <f t="shared" si="23"/>
        <v>0.45037037037037037</v>
      </c>
      <c r="G174" s="44">
        <f t="shared" si="23"/>
        <v>0.4645263575108997</v>
      </c>
      <c r="H174" s="44">
        <f t="shared" si="23"/>
        <v>0.3875432525951557</v>
      </c>
      <c r="I174" s="44">
        <f t="shared" si="23"/>
        <v>0.3768844221105528</v>
      </c>
      <c r="J174" s="38">
        <f t="shared" si="23"/>
        <v>0.40703530552939743</v>
      </c>
      <c r="K174" s="11"/>
    </row>
    <row r="175" ht="15" customHeight="1">
      <c r="A175" s="1"/>
      <c r="B175" s="4" t="s">
        <v>214</v>
      </c>
      <c r="C175" s="47">
        <f t="shared" si="59" ref="C175:J175">(C174-C330/C332)*10000</f>
        <v>363.0765088926652</v>
      </c>
      <c r="D175" s="47">
        <f t="shared" si="59"/>
        <v>-30.442927873678414</v>
      </c>
      <c r="E175" s="47">
        <f t="shared" si="59"/>
        <v>-161.54432308864654</v>
      </c>
      <c r="F175" s="47">
        <f t="shared" si="59"/>
        <v>-258.201058201058</v>
      </c>
      <c r="G175" s="47">
        <f t="shared" si="59"/>
        <v>-34.16652284291721</v>
      </c>
      <c r="H175" s="47">
        <f t="shared" si="59"/>
        <v>-795.000619057859</v>
      </c>
      <c r="I175" s="47">
        <f t="shared" si="59"/>
        <v>-516.8700646087576</v>
      </c>
      <c r="J175" s="48">
        <f t="shared" si="59"/>
        <v>-360.6814274646464</v>
      </c>
      <c r="K175" s="11"/>
    </row>
    <row r="176" ht="15" customHeight="1">
      <c r="A176" s="1"/>
      <c r="B176" s="1" t="s">
        <v>365</v>
      </c>
      <c r="C176" s="29">
        <v>24</v>
      </c>
      <c r="D176" s="29">
        <v>22</v>
      </c>
      <c r="E176" s="29">
        <v>22</v>
      </c>
      <c r="F176" s="33">
        <f t="shared" si="100" ref="F176:F337">G176-C176-D176-E176</f>
        <v>21</v>
      </c>
      <c r="G176" s="29">
        <v>89</v>
      </c>
      <c r="H176" s="29">
        <v>8</v>
      </c>
      <c r="I176" s="29">
        <v>0</v>
      </c>
      <c r="J176" s="58">
        <v>0</v>
      </c>
      <c r="K176" s="11" t="s">
        <v>366</v>
      </c>
    </row>
    <row r="177" ht="15" customHeight="1">
      <c r="A177" s="1"/>
      <c r="B177" s="1" t="s">
        <v>367</v>
      </c>
      <c r="C177" s="13"/>
      <c r="D177" s="13"/>
      <c r="E177" s="13"/>
      <c r="F177" s="13"/>
      <c r="G177" s="13"/>
      <c r="H177" s="33">
        <f t="shared" si="60" ref="H177:J177">-C176</f>
        <v>-24</v>
      </c>
      <c r="I177" s="33">
        <f t="shared" si="60"/>
        <v>-22</v>
      </c>
      <c r="J177" s="43">
        <f t="shared" si="60"/>
        <v>-22</v>
      </c>
      <c r="K177" s="11"/>
    </row>
    <row r="178" ht="15" customHeight="1">
      <c r="A178" s="1"/>
      <c r="B178" s="1" t="s">
        <v>368</v>
      </c>
      <c r="C178" s="13"/>
      <c r="D178" s="13"/>
      <c r="E178" s="13"/>
      <c r="F178" s="13"/>
      <c r="G178" s="13"/>
      <c r="H178" s="33">
        <f t="shared" si="61" ref="H178:J178">-H176</f>
        <v>-8</v>
      </c>
      <c r="I178" s="33">
        <f t="shared" si="61"/>
        <v>0</v>
      </c>
      <c r="J178" s="43">
        <f t="shared" si="61"/>
        <v>0</v>
      </c>
      <c r="K178" s="11"/>
    </row>
    <row r="179" ht="15" customHeight="1">
      <c r="A179" s="1"/>
      <c r="B179" s="1"/>
      <c r="C179" s="1"/>
      <c r="D179" s="1"/>
      <c r="E179" s="1"/>
      <c r="F179" s="1"/>
      <c r="G179" s="1"/>
      <c r="H179" s="1"/>
      <c r="I179" s="1"/>
      <c r="J179" s="35"/>
      <c r="K179" s="11"/>
    </row>
    <row r="180" ht="15" customHeight="1">
      <c r="A180" s="1"/>
      <c r="B180" s="3" t="s">
        <v>369</v>
      </c>
      <c r="C180" s="1"/>
      <c r="D180" s="1"/>
      <c r="E180" s="1"/>
      <c r="F180" s="1"/>
      <c r="G180" s="1"/>
      <c r="H180" s="1"/>
      <c r="I180" s="1"/>
      <c r="J180" s="35"/>
      <c r="K180" s="11"/>
    </row>
    <row r="181" ht="15" customHeight="1">
      <c r="A181" s="1"/>
      <c r="B181" s="1" t="s">
        <v>193</v>
      </c>
      <c r="C181" s="29">
        <v>176</v>
      </c>
      <c r="D181" s="29">
        <v>193</v>
      </c>
      <c r="E181" s="29">
        <v>196</v>
      </c>
      <c r="F181" s="29">
        <v>208</v>
      </c>
      <c r="G181" s="33">
        <f t="shared" si="6"/>
        <v>773</v>
      </c>
      <c r="H181" s="29">
        <v>177</v>
      </c>
      <c r="I181" s="29">
        <v>189</v>
      </c>
      <c r="J181" s="43">
        <f>(J333)*(1+J184)</f>
        <v>194.04</v>
      </c>
      <c r="K181" s="11" t="s">
        <v>194</v>
      </c>
    </row>
    <row r="182" ht="15" customHeight="1">
      <c r="A182" s="1"/>
      <c r="B182" s="4" t="s">
        <v>195</v>
      </c>
      <c r="C182" s="44">
        <f t="shared" si="62" ref="C182:J182">C181/C333-1</f>
        <v>-0.027624309392265234</v>
      </c>
      <c r="D182" s="44">
        <f t="shared" si="62"/>
        <v>0.005208333333333259</v>
      </c>
      <c r="E182" s="44">
        <f t="shared" si="62"/>
        <v>0.03157894736842115</v>
      </c>
      <c r="F182" s="44">
        <f t="shared" si="62"/>
        <v>0.019607843137254832</v>
      </c>
      <c r="G182" s="44">
        <f t="shared" si="62"/>
        <v>0.007822685788787531</v>
      </c>
      <c r="H182" s="44">
        <f t="shared" si="62"/>
        <v>0.005681818181818121</v>
      </c>
      <c r="I182" s="44">
        <f t="shared" si="62"/>
        <v>-0.020725388601036232</v>
      </c>
      <c r="J182" s="38">
        <f t="shared" si="62"/>
        <v>-0.010000000000000009</v>
      </c>
      <c r="K182" s="11"/>
    </row>
    <row r="183" ht="15" customHeight="1">
      <c r="A183" s="1"/>
      <c r="B183" s="1" t="s">
        <v>196</v>
      </c>
      <c r="C183" s="33">
        <f>C181-F333</f>
        <v>-28</v>
      </c>
      <c r="D183" s="33">
        <f t="shared" si="4"/>
        <v>17</v>
      </c>
      <c r="E183" s="33">
        <f t="shared" si="4"/>
        <v>3</v>
      </c>
      <c r="F183" s="33">
        <f t="shared" si="4"/>
        <v>12</v>
      </c>
      <c r="G183" s="13" t="s">
        <v>30</v>
      </c>
      <c r="H183" s="33">
        <f t="shared" si="8"/>
        <v>-31</v>
      </c>
      <c r="I183" s="33">
        <f t="shared" si="4"/>
        <v>12</v>
      </c>
      <c r="J183" s="43">
        <f t="shared" si="4"/>
        <v>5.039999999999992</v>
      </c>
      <c r="K183" s="11"/>
    </row>
    <row r="184" ht="15" customHeight="1">
      <c r="A184" s="1"/>
      <c r="B184" s="4" t="s">
        <v>197</v>
      </c>
      <c r="C184" s="36" t="s">
        <v>30</v>
      </c>
      <c r="D184" s="36" t="s">
        <v>30</v>
      </c>
      <c r="E184" s="54">
        <v>0.033</v>
      </c>
      <c r="F184" s="54">
        <v>0.019</v>
      </c>
      <c r="G184" s="54">
        <v>0.008</v>
      </c>
      <c r="H184" s="54">
        <v>0.006999999999999999</v>
      </c>
      <c r="I184" s="54">
        <v>-0.021</v>
      </c>
      <c r="J184" s="37">
        <v>-0.01</v>
      </c>
      <c r="K184" s="11" t="s">
        <v>201</v>
      </c>
    </row>
    <row r="185" ht="15" customHeight="1">
      <c r="A185" s="1"/>
      <c r="B185" s="4" t="s">
        <v>199</v>
      </c>
      <c r="C185" s="36" t="s">
        <v>30</v>
      </c>
      <c r="D185" s="47" t="str">
        <f t="shared" si="5"/>
        <v>n/a</v>
      </c>
      <c r="E185" s="47" t="str">
        <f t="shared" si="5"/>
        <v>n/a</v>
      </c>
      <c r="F185" s="47">
        <f t="shared" si="5"/>
        <v>-140.00000000000003</v>
      </c>
      <c r="G185" s="36" t="s">
        <v>30</v>
      </c>
      <c r="H185" s="47">
        <f t="shared" si="9"/>
        <v>-120</v>
      </c>
      <c r="I185" s="47">
        <f t="shared" si="5"/>
        <v>-280</v>
      </c>
      <c r="J185" s="48">
        <f t="shared" si="5"/>
        <v>110.00000000000001</v>
      </c>
      <c r="K185" s="11"/>
    </row>
    <row r="186" ht="15" customHeight="1">
      <c r="A186" s="1"/>
      <c r="B186" s="1" t="s">
        <v>200</v>
      </c>
      <c r="C186" s="29">
        <v>52</v>
      </c>
      <c r="D186" s="29">
        <v>61</v>
      </c>
      <c r="E186" s="29">
        <v>58</v>
      </c>
      <c r="F186" s="29">
        <v>66</v>
      </c>
      <c r="G186" s="33">
        <f t="shared" si="6"/>
        <v>237</v>
      </c>
      <c r="H186" s="29">
        <v>66</v>
      </c>
      <c r="I186" s="29">
        <v>71</v>
      </c>
      <c r="J186" s="43">
        <f>(J334)*(1+J189)*(1+J191)</f>
        <v>62.70328015783541</v>
      </c>
      <c r="K186" s="11" t="s">
        <v>194</v>
      </c>
    </row>
    <row r="187" ht="15" customHeight="1">
      <c r="A187" s="1"/>
      <c r="B187" s="4" t="s">
        <v>195</v>
      </c>
      <c r="C187" s="44">
        <f t="shared" si="63" ref="C187:J187">C186/C334-1</f>
        <v>0.15555555555555545</v>
      </c>
      <c r="D187" s="44">
        <f t="shared" si="63"/>
        <v>0.196078431372549</v>
      </c>
      <c r="E187" s="44">
        <f t="shared" si="63"/>
        <v>0.26086956521739135</v>
      </c>
      <c r="F187" s="44">
        <f t="shared" si="63"/>
        <v>0.24528301886792447</v>
      </c>
      <c r="G187" s="44">
        <f t="shared" si="63"/>
        <v>0.21538461538461529</v>
      </c>
      <c r="H187" s="44">
        <f t="shared" si="63"/>
        <v>0.26923076923076916</v>
      </c>
      <c r="I187" s="44">
        <f t="shared" si="63"/>
        <v>0.16393442622950816</v>
      </c>
      <c r="J187" s="38">
        <f t="shared" si="63"/>
        <v>0.08109103720405875</v>
      </c>
      <c r="K187" s="11"/>
    </row>
    <row r="188" ht="15" customHeight="1">
      <c r="A188" s="1"/>
      <c r="B188" s="1" t="s">
        <v>196</v>
      </c>
      <c r="C188" s="33">
        <f>C186-F334</f>
        <v>-1</v>
      </c>
      <c r="D188" s="33">
        <f t="shared" si="4"/>
        <v>9</v>
      </c>
      <c r="E188" s="33">
        <f t="shared" si="4"/>
        <v>-3</v>
      </c>
      <c r="F188" s="33">
        <f t="shared" si="4"/>
        <v>8</v>
      </c>
      <c r="G188" s="13" t="s">
        <v>30</v>
      </c>
      <c r="H188" s="33">
        <f t="shared" si="8"/>
        <v>0</v>
      </c>
      <c r="I188" s="33">
        <f t="shared" si="4"/>
        <v>5</v>
      </c>
      <c r="J188" s="43">
        <f t="shared" si="4"/>
        <v>-8.296719842164592</v>
      </c>
      <c r="K188" s="11"/>
    </row>
    <row r="189" ht="15" customHeight="1">
      <c r="A189" s="1"/>
      <c r="B189" s="4" t="s">
        <v>197</v>
      </c>
      <c r="C189" s="36" t="s">
        <v>30</v>
      </c>
      <c r="D189" s="36" t="s">
        <v>30</v>
      </c>
      <c r="E189" s="54">
        <v>0.212</v>
      </c>
      <c r="F189" s="54">
        <v>0.196</v>
      </c>
      <c r="G189" s="54">
        <v>0.205</v>
      </c>
      <c r="H189" s="54">
        <v>0.155</v>
      </c>
      <c r="I189" s="54">
        <v>0.113</v>
      </c>
      <c r="J189" s="37">
        <v>0.1</v>
      </c>
      <c r="K189" s="11" t="s">
        <v>201</v>
      </c>
    </row>
    <row r="190" ht="15" customHeight="1">
      <c r="A190" s="1"/>
      <c r="B190" s="4" t="s">
        <v>199</v>
      </c>
      <c r="C190" s="36" t="s">
        <v>30</v>
      </c>
      <c r="D190" s="47" t="str">
        <f t="shared" si="5"/>
        <v>n/a</v>
      </c>
      <c r="E190" s="47" t="str">
        <f t="shared" si="5"/>
        <v>n/a</v>
      </c>
      <c r="F190" s="47">
        <f t="shared" si="5"/>
        <v>-159.99999999999986</v>
      </c>
      <c r="G190" s="36" t="s">
        <v>30</v>
      </c>
      <c r="H190" s="47">
        <f t="shared" si="9"/>
        <v>-410.0000000000001</v>
      </c>
      <c r="I190" s="47">
        <f t="shared" si="5"/>
        <v>-419.99999999999994</v>
      </c>
      <c r="J190" s="48">
        <f t="shared" si="5"/>
        <v>-129.99999999999997</v>
      </c>
      <c r="K190" s="11"/>
    </row>
    <row r="191" ht="15" customHeight="1">
      <c r="A191" s="1"/>
      <c r="B191" s="4" t="s">
        <v>202</v>
      </c>
      <c r="C191" s="36" t="s">
        <v>30</v>
      </c>
      <c r="D191" s="36" t="s">
        <v>30</v>
      </c>
      <c r="E191" s="44">
        <f t="shared" si="10"/>
        <v>0.04032142344669265</v>
      </c>
      <c r="F191" s="44">
        <f t="shared" si="10"/>
        <v>0.04120653751498704</v>
      </c>
      <c r="G191" s="44">
        <f t="shared" si="10"/>
        <v>0.008617938078518739</v>
      </c>
      <c r="H191" s="44">
        <f t="shared" si="10"/>
        <v>0.09890109890109877</v>
      </c>
      <c r="I191" s="44">
        <f t="shared" si="10"/>
        <v>0.04576318619003428</v>
      </c>
      <c r="J191" s="42">
        <f>'Revenue summary'!J12</f>
        <v>-0.017189966178128523</v>
      </c>
      <c r="K191" s="11" t="s">
        <v>203</v>
      </c>
    </row>
    <row r="192" ht="15" customHeight="1">
      <c r="A192" s="1"/>
      <c r="B192" s="4" t="s">
        <v>199</v>
      </c>
      <c r="C192" s="36" t="s">
        <v>30</v>
      </c>
      <c r="D192" s="47" t="str">
        <f t="shared" si="5"/>
        <v>n/a</v>
      </c>
      <c r="E192" s="47" t="str">
        <f t="shared" si="5"/>
        <v>n/a</v>
      </c>
      <c r="F192" s="47">
        <f t="shared" si="5"/>
        <v>8.851140682943903</v>
      </c>
      <c r="G192" s="36" t="s">
        <v>30</v>
      </c>
      <c r="H192" s="47">
        <f t="shared" si="9"/>
        <v>576.9456138611173</v>
      </c>
      <c r="I192" s="47">
        <f t="shared" si="5"/>
        <v>-531.379127110645</v>
      </c>
      <c r="J192" s="48">
        <f t="shared" si="5"/>
        <v>-629.5315236816281</v>
      </c>
      <c r="K192" s="11"/>
    </row>
    <row r="193" ht="15" customHeight="1">
      <c r="A193" s="1"/>
      <c r="B193" s="1" t="s">
        <v>204</v>
      </c>
      <c r="C193" s="13" t="s">
        <v>30</v>
      </c>
      <c r="D193" s="13" t="s">
        <v>30</v>
      </c>
      <c r="E193" s="33">
        <f t="shared" si="11"/>
        <v>55.75199999999999</v>
      </c>
      <c r="F193" s="33">
        <f t="shared" si="11"/>
        <v>63.388</v>
      </c>
      <c r="G193" s="33">
        <f t="shared" si="11"/>
        <v>234.97500000000005</v>
      </c>
      <c r="H193" s="33">
        <f t="shared" si="11"/>
        <v>60.06000000000001</v>
      </c>
      <c r="I193" s="33">
        <f t="shared" si="11"/>
        <v>67.893</v>
      </c>
      <c r="J193" s="43">
        <f t="shared" si="11"/>
        <v>63.800000000000004</v>
      </c>
      <c r="K193" s="11"/>
    </row>
    <row r="194" ht="15" customHeight="1">
      <c r="A194" s="1"/>
      <c r="B194" s="3" t="s">
        <v>370</v>
      </c>
      <c r="C194" s="50">
        <f t="shared" si="12"/>
        <v>228</v>
      </c>
      <c r="D194" s="50">
        <f t="shared" si="12"/>
        <v>254</v>
      </c>
      <c r="E194" s="50">
        <f t="shared" si="12"/>
        <v>254</v>
      </c>
      <c r="F194" s="50">
        <f t="shared" si="12"/>
        <v>274</v>
      </c>
      <c r="G194" s="50">
        <f t="shared" si="12"/>
        <v>1010</v>
      </c>
      <c r="H194" s="50">
        <f t="shared" si="12"/>
        <v>243</v>
      </c>
      <c r="I194" s="50">
        <f t="shared" si="12"/>
        <v>260</v>
      </c>
      <c r="J194" s="51">
        <f t="shared" si="12"/>
        <v>256.7432801578354</v>
      </c>
      <c r="K194" s="11"/>
    </row>
    <row r="195" ht="15" customHeight="1">
      <c r="A195" s="1"/>
      <c r="B195" s="4" t="s">
        <v>166</v>
      </c>
      <c r="C195" s="44">
        <f t="shared" si="64" ref="C195:J195">C194/C335-1</f>
        <v>0.008849557522123908</v>
      </c>
      <c r="D195" s="44">
        <f t="shared" si="64"/>
        <v>0.04526748971193406</v>
      </c>
      <c r="E195" s="44">
        <f t="shared" si="64"/>
        <v>0.07627118644067798</v>
      </c>
      <c r="F195" s="44">
        <f t="shared" si="64"/>
        <v>0.06614785992217898</v>
      </c>
      <c r="G195" s="44">
        <f t="shared" si="64"/>
        <v>0.0498960498960499</v>
      </c>
      <c r="H195" s="44">
        <f t="shared" si="64"/>
        <v>0.06578947368421062</v>
      </c>
      <c r="I195" s="44">
        <f t="shared" si="64"/>
        <v>0.023622047244094446</v>
      </c>
      <c r="J195" s="38">
        <f t="shared" si="64"/>
        <v>0.010800315582029096</v>
      </c>
      <c r="K195" s="11"/>
    </row>
    <row r="196" ht="15" customHeight="1">
      <c r="A196" s="1"/>
      <c r="B196" s="1" t="s">
        <v>146</v>
      </c>
      <c r="C196" s="33">
        <f>C194-F335</f>
        <v>-29</v>
      </c>
      <c r="D196" s="33">
        <f t="shared" si="4"/>
        <v>26</v>
      </c>
      <c r="E196" s="33">
        <f t="shared" si="4"/>
        <v>0</v>
      </c>
      <c r="F196" s="33">
        <f t="shared" si="4"/>
        <v>20</v>
      </c>
      <c r="G196" s="13" t="s">
        <v>30</v>
      </c>
      <c r="H196" s="33">
        <f t="shared" si="8"/>
        <v>-31</v>
      </c>
      <c r="I196" s="33">
        <f t="shared" si="4"/>
        <v>17</v>
      </c>
      <c r="J196" s="43">
        <f t="shared" si="4"/>
        <v>-3.256719842164614</v>
      </c>
      <c r="K196" s="11"/>
    </row>
    <row r="197" ht="15" customHeight="1">
      <c r="A197" s="1"/>
      <c r="B197" s="4" t="s">
        <v>147</v>
      </c>
      <c r="C197" s="44">
        <f>C194/F335-1</f>
        <v>-0.11284046692607008</v>
      </c>
      <c r="D197" s="44">
        <f t="shared" si="14"/>
        <v>0.11403508771929816</v>
      </c>
      <c r="E197" s="44">
        <f t="shared" si="14"/>
        <v>0</v>
      </c>
      <c r="F197" s="44">
        <f t="shared" si="14"/>
        <v>0.07874015748031504</v>
      </c>
      <c r="G197" s="36" t="s">
        <v>30</v>
      </c>
      <c r="H197" s="44">
        <f t="shared" si="28"/>
        <v>-0.11313868613138689</v>
      </c>
      <c r="I197" s="44">
        <f t="shared" si="14"/>
        <v>0.06995884773662553</v>
      </c>
      <c r="J197" s="38">
        <f t="shared" si="14"/>
        <v>-0.012525845546786929</v>
      </c>
      <c r="K197" s="11"/>
    </row>
    <row r="198" ht="15" customHeight="1">
      <c r="A198" s="1"/>
      <c r="B198" s="4" t="s">
        <v>206</v>
      </c>
      <c r="C198" s="44">
        <f t="shared" si="65" ref="C198:J198">C194/C272</f>
        <v>0.04657814096016343</v>
      </c>
      <c r="D198" s="44">
        <f t="shared" si="65"/>
        <v>0.04730862357981002</v>
      </c>
      <c r="E198" s="44">
        <f t="shared" si="65"/>
        <v>0.046622613803230545</v>
      </c>
      <c r="F198" s="44">
        <f t="shared" si="65"/>
        <v>0.04828193832599119</v>
      </c>
      <c r="G198" s="44">
        <f t="shared" si="65"/>
        <v>0.04722494973582082</v>
      </c>
      <c r="H198" s="44">
        <f t="shared" si="65"/>
        <v>0.043870734789673224</v>
      </c>
      <c r="I198" s="44">
        <f t="shared" si="65"/>
        <v>0.04442166410387835</v>
      </c>
      <c r="J198" s="38">
        <f t="shared" si="65"/>
        <v>0.04385408836975335</v>
      </c>
      <c r="K198" s="11"/>
    </row>
    <row r="199" ht="15" customHeight="1">
      <c r="A199" s="1"/>
      <c r="B199" s="4" t="s">
        <v>149</v>
      </c>
      <c r="C199" s="47">
        <f t="shared" si="66" ref="C199:J199">(C198-C335/C294)*10000</f>
        <v>-41.74160858834999</v>
      </c>
      <c r="D199" s="47">
        <f t="shared" si="66"/>
        <v>-40.22174899277434</v>
      </c>
      <c r="E199" s="47">
        <f t="shared" si="66"/>
        <v>-30.929960556276836</v>
      </c>
      <c r="F199" s="47">
        <f t="shared" si="66"/>
        <v>-25.890038751172835</v>
      </c>
      <c r="G199" s="47">
        <f t="shared" si="66"/>
        <v>-34.43964200764031</v>
      </c>
      <c r="H199" s="47">
        <f t="shared" si="66"/>
        <v>-27.07406170490208</v>
      </c>
      <c r="I199" s="47">
        <f t="shared" si="66"/>
        <v>-28.869594759316705</v>
      </c>
      <c r="J199" s="48">
        <f t="shared" si="66"/>
        <v>-27.685254334771926</v>
      </c>
      <c r="K199" s="11"/>
    </row>
    <row r="200" ht="15" customHeight="1">
      <c r="A200" s="1"/>
      <c r="B200" s="1" t="s">
        <v>167</v>
      </c>
      <c r="C200" s="13" t="s">
        <v>30</v>
      </c>
      <c r="D200" s="13" t="s">
        <v>30</v>
      </c>
      <c r="E200" s="33">
        <f t="shared" si="17"/>
        <v>251.75199999999998</v>
      </c>
      <c r="F200" s="33">
        <f t="shared" si="17"/>
        <v>271.388</v>
      </c>
      <c r="G200" s="33">
        <f t="shared" si="17"/>
        <v>1007.975</v>
      </c>
      <c r="H200" s="33">
        <f t="shared" si="17"/>
        <v>237.06</v>
      </c>
      <c r="I200" s="33">
        <f t="shared" si="17"/>
        <v>256.89300000000003</v>
      </c>
      <c r="J200" s="43">
        <f t="shared" si="17"/>
        <v>257.84</v>
      </c>
      <c r="K200" s="11" t="s">
        <v>207</v>
      </c>
    </row>
    <row r="201" ht="15" customHeight="1">
      <c r="A201" s="1"/>
      <c r="B201" s="1" t="s">
        <v>208</v>
      </c>
      <c r="C201" s="33">
        <f t="shared" si="67" ref="C201:J202">C333</f>
        <v>181</v>
      </c>
      <c r="D201" s="33">
        <f t="shared" si="67"/>
        <v>192</v>
      </c>
      <c r="E201" s="33">
        <f t="shared" si="67"/>
        <v>190</v>
      </c>
      <c r="F201" s="33">
        <f t="shared" si="67"/>
        <v>204</v>
      </c>
      <c r="G201" s="33">
        <f t="shared" si="67"/>
        <v>767</v>
      </c>
      <c r="H201" s="33">
        <f t="shared" si="67"/>
        <v>176</v>
      </c>
      <c r="I201" s="33">
        <f t="shared" si="67"/>
        <v>193</v>
      </c>
      <c r="J201" s="43">
        <f t="shared" si="67"/>
        <v>196</v>
      </c>
      <c r="K201" s="11"/>
    </row>
    <row r="202" ht="15" customHeight="1">
      <c r="A202" s="1"/>
      <c r="B202" s="1" t="s">
        <v>168</v>
      </c>
      <c r="C202" s="33">
        <f t="shared" si="67"/>
        <v>45</v>
      </c>
      <c r="D202" s="33">
        <f t="shared" si="67"/>
        <v>51</v>
      </c>
      <c r="E202" s="33">
        <f t="shared" si="67"/>
        <v>46</v>
      </c>
      <c r="F202" s="33">
        <f t="shared" si="67"/>
        <v>53</v>
      </c>
      <c r="G202" s="33">
        <f t="shared" si="67"/>
        <v>195</v>
      </c>
      <c r="H202" s="33">
        <f t="shared" si="67"/>
        <v>52</v>
      </c>
      <c r="I202" s="33">
        <f t="shared" si="67"/>
        <v>61</v>
      </c>
      <c r="J202" s="43">
        <f t="shared" si="67"/>
        <v>58</v>
      </c>
      <c r="K202" s="11"/>
    </row>
    <row r="203" ht="15" customHeight="1">
      <c r="A203" s="1"/>
      <c r="B203" s="1" t="s">
        <v>169</v>
      </c>
      <c r="C203" s="33">
        <f t="shared" si="19"/>
        <v>226</v>
      </c>
      <c r="D203" s="33">
        <f t="shared" si="19"/>
        <v>243</v>
      </c>
      <c r="E203" s="33">
        <f t="shared" si="19"/>
        <v>236</v>
      </c>
      <c r="F203" s="33">
        <f t="shared" si="19"/>
        <v>257</v>
      </c>
      <c r="G203" s="33">
        <f t="shared" si="19"/>
        <v>962</v>
      </c>
      <c r="H203" s="33">
        <f t="shared" si="19"/>
        <v>228</v>
      </c>
      <c r="I203" s="33">
        <f t="shared" si="19"/>
        <v>254</v>
      </c>
      <c r="J203" s="43">
        <f t="shared" si="19"/>
        <v>254</v>
      </c>
      <c r="K203" s="11" t="s">
        <v>209</v>
      </c>
    </row>
    <row r="204" ht="15" customHeight="1">
      <c r="A204" s="1"/>
      <c r="B204" s="4" t="s">
        <v>152</v>
      </c>
      <c r="C204" s="36" t="s">
        <v>30</v>
      </c>
      <c r="D204" s="36" t="s">
        <v>30</v>
      </c>
      <c r="E204" s="44">
        <f t="shared" si="68" ref="E204:J204">(E203/E335)*(E200/(E200))-1</f>
        <v>0</v>
      </c>
      <c r="F204" s="44">
        <f t="shared" si="68"/>
        <v>0</v>
      </c>
      <c r="G204" s="44">
        <f t="shared" si="68"/>
        <v>0</v>
      </c>
      <c r="H204" s="44">
        <f t="shared" si="68"/>
        <v>0</v>
      </c>
      <c r="I204" s="44">
        <f t="shared" si="68"/>
        <v>0</v>
      </c>
      <c r="J204" s="38">
        <f t="shared" si="68"/>
        <v>0</v>
      </c>
      <c r="K204" s="11" t="s">
        <v>210</v>
      </c>
    </row>
    <row r="205" ht="15" customHeight="1">
      <c r="A205" s="1"/>
      <c r="B205" s="4" t="s">
        <v>151</v>
      </c>
      <c r="C205" s="36" t="s">
        <v>30</v>
      </c>
      <c r="D205" s="47" t="str">
        <f t="shared" si="5"/>
        <v>n/a</v>
      </c>
      <c r="E205" s="47" t="str">
        <f t="shared" si="5"/>
        <v>n/a</v>
      </c>
      <c r="F205" s="47">
        <f t="shared" si="5"/>
        <v>0</v>
      </c>
      <c r="G205" s="36" t="s">
        <v>30</v>
      </c>
      <c r="H205" s="47">
        <f t="shared" si="9"/>
        <v>0</v>
      </c>
      <c r="I205" s="47">
        <f t="shared" si="5"/>
        <v>0</v>
      </c>
      <c r="J205" s="48">
        <f t="shared" si="5"/>
        <v>0</v>
      </c>
      <c r="K205" s="11"/>
    </row>
    <row r="206" ht="15" customHeight="1">
      <c r="A206" s="1"/>
      <c r="B206" s="4" t="s">
        <v>153</v>
      </c>
      <c r="C206" s="36" t="s">
        <v>30</v>
      </c>
      <c r="D206" s="36" t="s">
        <v>30</v>
      </c>
      <c r="E206" s="44">
        <f t="shared" si="21"/>
        <v>0.008929422606374526</v>
      </c>
      <c r="F206" s="44">
        <f t="shared" si="21"/>
        <v>0.009624596518637674</v>
      </c>
      <c r="G206" s="44">
        <f t="shared" si="21"/>
        <v>0.0020089783972816466</v>
      </c>
      <c r="H206" s="44">
        <f t="shared" si="21"/>
        <v>0.02505694760820054</v>
      </c>
      <c r="I206" s="44">
        <f t="shared" si="21"/>
        <v>0.012094529629067319</v>
      </c>
      <c r="J206" s="38">
        <f t="shared" si="21"/>
        <v>-0.004253489924622156</v>
      </c>
      <c r="K206" s="11"/>
    </row>
    <row r="207" ht="15" customHeight="1">
      <c r="A207" s="1"/>
      <c r="B207" s="4" t="s">
        <v>151</v>
      </c>
      <c r="C207" s="36" t="s">
        <v>30</v>
      </c>
      <c r="D207" s="47" t="str">
        <f t="shared" si="5"/>
        <v>n/a</v>
      </c>
      <c r="E207" s="47" t="str">
        <f t="shared" si="5"/>
        <v>n/a</v>
      </c>
      <c r="F207" s="47">
        <f t="shared" si="5"/>
        <v>6.951739122631473</v>
      </c>
      <c r="G207" s="36" t="s">
        <v>30</v>
      </c>
      <c r="H207" s="47">
        <f t="shared" si="9"/>
        <v>154.3235108956287</v>
      </c>
      <c r="I207" s="47">
        <f t="shared" si="5"/>
        <v>-129.62417979133224</v>
      </c>
      <c r="J207" s="48">
        <f t="shared" si="5"/>
        <v>-163.48019553689474</v>
      </c>
      <c r="K207" s="11"/>
    </row>
    <row r="208" ht="15" customHeight="1">
      <c r="A208" s="1"/>
      <c r="B208" s="4" t="s">
        <v>211</v>
      </c>
      <c r="C208" s="36" t="s">
        <v>30</v>
      </c>
      <c r="D208" s="36" t="s">
        <v>30</v>
      </c>
      <c r="E208" s="44">
        <f t="shared" si="22"/>
        <v>0.06674576271186439</v>
      </c>
      <c r="F208" s="44">
        <f t="shared" si="22"/>
        <v>0.0559844357976651</v>
      </c>
      <c r="G208" s="44">
        <f t="shared" si="22"/>
        <v>0.04779106029106028</v>
      </c>
      <c r="H208" s="44">
        <f t="shared" si="22"/>
        <v>0.03973684210526307</v>
      </c>
      <c r="I208" s="44">
        <f t="shared" si="22"/>
        <v>0.011389763779527495</v>
      </c>
      <c r="J208" s="38">
        <f t="shared" si="22"/>
        <v>0.015118110236220339</v>
      </c>
      <c r="K208" s="11" t="s">
        <v>212</v>
      </c>
    </row>
    <row r="209" ht="15" customHeight="1">
      <c r="A209" s="1"/>
      <c r="B209" s="4" t="s">
        <v>151</v>
      </c>
      <c r="C209" s="36" t="s">
        <v>30</v>
      </c>
      <c r="D209" s="47" t="str">
        <f t="shared" si="5"/>
        <v>n/a</v>
      </c>
      <c r="E209" s="47" t="str">
        <f t="shared" si="5"/>
        <v>n/a</v>
      </c>
      <c r="F209" s="47">
        <f t="shared" si="5"/>
        <v>-107.61326914199287</v>
      </c>
      <c r="G209" s="36" t="s">
        <v>30</v>
      </c>
      <c r="H209" s="47">
        <f t="shared" si="9"/>
        <v>-162.4759369240203</v>
      </c>
      <c r="I209" s="47">
        <f t="shared" si="5"/>
        <v>-283.4707832573558</v>
      </c>
      <c r="J209" s="48">
        <f t="shared" si="5"/>
        <v>37.28346456692844</v>
      </c>
      <c r="K209" s="11"/>
    </row>
    <row r="210" ht="15" customHeight="1">
      <c r="A210" s="1"/>
      <c r="B210" s="4" t="s">
        <v>213</v>
      </c>
      <c r="C210" s="44">
        <f t="shared" si="23"/>
        <v>0.7719298245614035</v>
      </c>
      <c r="D210" s="44">
        <f t="shared" si="23"/>
        <v>0.7598425196850394</v>
      </c>
      <c r="E210" s="44">
        <f t="shared" si="23"/>
        <v>0.7716535433070866</v>
      </c>
      <c r="F210" s="44">
        <f t="shared" si="23"/>
        <v>0.7591240875912408</v>
      </c>
      <c r="G210" s="44">
        <f t="shared" si="23"/>
        <v>0.7653465346534654</v>
      </c>
      <c r="H210" s="44">
        <f t="shared" si="23"/>
        <v>0.7283950617283951</v>
      </c>
      <c r="I210" s="44">
        <f t="shared" si="23"/>
        <v>0.7269230769230769</v>
      </c>
      <c r="J210" s="38">
        <f t="shared" si="23"/>
        <v>0.7557744057827416</v>
      </c>
      <c r="K210" s="11"/>
    </row>
    <row r="211" ht="15" customHeight="1">
      <c r="A211" s="1"/>
      <c r="B211" s="4" t="s">
        <v>214</v>
      </c>
      <c r="C211" s="47">
        <f t="shared" si="69" ref="C211:J211">(C210-C333/C335)*10000</f>
        <v>-289.5513119080895</v>
      </c>
      <c r="D211" s="47">
        <f t="shared" si="69"/>
        <v>-302.8093710508406</v>
      </c>
      <c r="E211" s="47">
        <f t="shared" si="69"/>
        <v>-334.31202455625254</v>
      </c>
      <c r="F211" s="47">
        <f t="shared" si="69"/>
        <v>-346.5023147490698</v>
      </c>
      <c r="G211" s="47">
        <f t="shared" si="69"/>
        <v>-319.507626438319</v>
      </c>
      <c r="H211" s="47">
        <f t="shared" si="69"/>
        <v>-435.34762833008386</v>
      </c>
      <c r="I211" s="47">
        <f t="shared" si="69"/>
        <v>-329.1944276196246</v>
      </c>
      <c r="J211" s="48">
        <f t="shared" si="69"/>
        <v>-158.79137524345</v>
      </c>
      <c r="K211" s="11"/>
    </row>
    <row r="212" ht="15" customHeight="1">
      <c r="A212" s="1"/>
      <c r="B212" s="1"/>
      <c r="C212" s="1"/>
      <c r="D212" s="1"/>
      <c r="E212" s="1"/>
      <c r="F212" s="1"/>
      <c r="G212" s="1"/>
      <c r="H212" s="1"/>
      <c r="I212" s="1"/>
      <c r="J212" s="35"/>
      <c r="K212" s="11"/>
    </row>
    <row r="213" ht="15" customHeight="1">
      <c r="A213" s="1"/>
      <c r="B213" s="3" t="s">
        <v>371</v>
      </c>
      <c r="C213" s="1"/>
      <c r="D213" s="1"/>
      <c r="E213" s="1"/>
      <c r="F213" s="1"/>
      <c r="G213" s="1"/>
      <c r="H213" s="1"/>
      <c r="I213" s="1"/>
      <c r="J213" s="35"/>
      <c r="K213" s="11"/>
    </row>
    <row r="214" ht="15" customHeight="1">
      <c r="A214" s="1"/>
      <c r="B214" s="1" t="s">
        <v>193</v>
      </c>
      <c r="C214" s="29">
        <v>748</v>
      </c>
      <c r="D214" s="29">
        <v>794</v>
      </c>
      <c r="E214" s="29">
        <v>796</v>
      </c>
      <c r="F214" s="29">
        <v>843</v>
      </c>
      <c r="G214" s="33">
        <f t="shared" si="6"/>
        <v>3181</v>
      </c>
      <c r="H214" s="29">
        <v>822</v>
      </c>
      <c r="I214" s="29">
        <v>862</v>
      </c>
      <c r="J214" s="43">
        <f>(J336)*(1+J217)</f>
        <v>871.62</v>
      </c>
      <c r="K214" s="11" t="s">
        <v>194</v>
      </c>
    </row>
    <row r="215" ht="15" customHeight="1">
      <c r="A215" s="1"/>
      <c r="B215" s="4" t="s">
        <v>195</v>
      </c>
      <c r="C215" s="44">
        <f t="shared" si="70" ref="C215:J215">C214/C336-1</f>
        <v>0.2699490662139219</v>
      </c>
      <c r="D215" s="44">
        <f t="shared" si="70"/>
        <v>0.24646781789638927</v>
      </c>
      <c r="E215" s="44">
        <f t="shared" si="70"/>
        <v>0.18276374442793464</v>
      </c>
      <c r="F215" s="44">
        <f t="shared" si="70"/>
        <v>0.1485013623978202</v>
      </c>
      <c r="G215" s="44">
        <f t="shared" si="70"/>
        <v>0.20812761109001143</v>
      </c>
      <c r="H215" s="44">
        <f t="shared" si="70"/>
        <v>0.09893048128342241</v>
      </c>
      <c r="I215" s="44">
        <f t="shared" si="70"/>
        <v>0.08564231738035266</v>
      </c>
      <c r="J215" s="38">
        <f t="shared" si="70"/>
        <v>0.09499999999999997</v>
      </c>
      <c r="K215" s="11"/>
    </row>
    <row r="216" ht="15" customHeight="1">
      <c r="A216" s="1"/>
      <c r="B216" s="1" t="s">
        <v>196</v>
      </c>
      <c r="C216" s="33">
        <f>C214-F336</f>
        <v>14</v>
      </c>
      <c r="D216" s="33">
        <f t="shared" si="4"/>
        <v>46</v>
      </c>
      <c r="E216" s="33">
        <f t="shared" si="4"/>
        <v>2</v>
      </c>
      <c r="F216" s="33">
        <f t="shared" si="4"/>
        <v>47</v>
      </c>
      <c r="G216" s="13" t="s">
        <v>30</v>
      </c>
      <c r="H216" s="33">
        <f t="shared" si="8"/>
        <v>-21</v>
      </c>
      <c r="I216" s="33">
        <f t="shared" si="4"/>
        <v>40</v>
      </c>
      <c r="J216" s="43">
        <f t="shared" si="4"/>
        <v>9.620000000000005</v>
      </c>
      <c r="K216" s="11"/>
    </row>
    <row r="217" ht="15" customHeight="1">
      <c r="A217" s="1"/>
      <c r="B217" s="4" t="s">
        <v>197</v>
      </c>
      <c r="C217" s="36" t="s">
        <v>30</v>
      </c>
      <c r="D217" s="36" t="s">
        <v>30</v>
      </c>
      <c r="E217" s="54">
        <v>0.184</v>
      </c>
      <c r="F217" s="54">
        <v>0.149</v>
      </c>
      <c r="G217" s="54">
        <v>0.208</v>
      </c>
      <c r="H217" s="54">
        <v>0.098</v>
      </c>
      <c r="I217" s="54">
        <v>0.086</v>
      </c>
      <c r="J217" s="37">
        <v>0.095</v>
      </c>
      <c r="K217" s="11" t="s">
        <v>201</v>
      </c>
    </row>
    <row r="218" ht="15" customHeight="1">
      <c r="A218" s="1"/>
      <c r="B218" s="4" t="s">
        <v>199</v>
      </c>
      <c r="C218" s="36" t="s">
        <v>30</v>
      </c>
      <c r="D218" s="47" t="str">
        <f t="shared" si="5"/>
        <v>n/a</v>
      </c>
      <c r="E218" s="47" t="str">
        <f t="shared" si="5"/>
        <v>n/a</v>
      </c>
      <c r="F218" s="47">
        <f t="shared" si="5"/>
        <v>-350.00000000000006</v>
      </c>
      <c r="G218" s="36" t="s">
        <v>30</v>
      </c>
      <c r="H218" s="47">
        <f t="shared" si="9"/>
        <v>-509.9999999999999</v>
      </c>
      <c r="I218" s="47">
        <f t="shared" si="5"/>
        <v>-120.00000000000011</v>
      </c>
      <c r="J218" s="48">
        <f t="shared" si="5"/>
        <v>90.00000000000009</v>
      </c>
      <c r="K218" s="11"/>
    </row>
    <row r="219" ht="15" customHeight="1">
      <c r="A219" s="1"/>
      <c r="B219" s="1" t="s">
        <v>200</v>
      </c>
      <c r="C219" s="29">
        <v>1079</v>
      </c>
      <c r="D219" s="29">
        <v>1187</v>
      </c>
      <c r="E219" s="29">
        <v>1261</v>
      </c>
      <c r="F219" s="29">
        <v>1290</v>
      </c>
      <c r="G219" s="33">
        <f t="shared" si="6"/>
        <v>4817</v>
      </c>
      <c r="H219" s="29">
        <v>1258</v>
      </c>
      <c r="I219" s="29">
        <v>1326</v>
      </c>
      <c r="J219" s="43">
        <f>(J337)*(1+J222)*(1+J224)</f>
        <v>1344.6659461245772</v>
      </c>
      <c r="K219" s="11" t="s">
        <v>194</v>
      </c>
    </row>
    <row r="220" ht="15" customHeight="1">
      <c r="A220" s="1"/>
      <c r="B220" s="4" t="s">
        <v>195</v>
      </c>
      <c r="C220" s="44">
        <f t="shared" si="71" ref="C220:J220">C219/C337-1</f>
        <v>0.1010204081632653</v>
      </c>
      <c r="D220" s="44">
        <f t="shared" si="71"/>
        <v>0.17408506429277937</v>
      </c>
      <c r="E220" s="44">
        <f t="shared" si="71"/>
        <v>0.1986692015209126</v>
      </c>
      <c r="F220" s="44">
        <f t="shared" si="71"/>
        <v>0.14260407440212575</v>
      </c>
      <c r="G220" s="44">
        <f t="shared" si="71"/>
        <v>0.15460210930009577</v>
      </c>
      <c r="H220" s="44">
        <f t="shared" si="71"/>
        <v>0.16589434661723823</v>
      </c>
      <c r="I220" s="44">
        <f t="shared" si="71"/>
        <v>0.11710193765796117</v>
      </c>
      <c r="J220" s="38">
        <f t="shared" si="71"/>
        <v>0.06634888669673056</v>
      </c>
      <c r="K220" s="11"/>
    </row>
    <row r="221" ht="15" customHeight="1">
      <c r="A221" s="1"/>
      <c r="B221" s="1" t="s">
        <v>196</v>
      </c>
      <c r="C221" s="33">
        <f>C219-F337</f>
        <v>-50</v>
      </c>
      <c r="D221" s="33">
        <f t="shared" si="4"/>
        <v>108</v>
      </c>
      <c r="E221" s="33">
        <f t="shared" si="4"/>
        <v>74</v>
      </c>
      <c r="F221" s="33">
        <f t="shared" si="4"/>
        <v>29</v>
      </c>
      <c r="G221" s="13" t="s">
        <v>30</v>
      </c>
      <c r="H221" s="33">
        <f t="shared" si="8"/>
        <v>-32</v>
      </c>
      <c r="I221" s="33">
        <f t="shared" si="4"/>
        <v>68</v>
      </c>
      <c r="J221" s="43">
        <f t="shared" si="4"/>
        <v>18.665946124577204</v>
      </c>
      <c r="K221" s="11"/>
    </row>
    <row r="222" ht="15" customHeight="1">
      <c r="A222" s="1"/>
      <c r="B222" s="4" t="s">
        <v>197</v>
      </c>
      <c r="C222" s="36" t="s">
        <v>30</v>
      </c>
      <c r="D222" s="36" t="s">
        <v>30</v>
      </c>
      <c r="E222" s="54">
        <v>0.147</v>
      </c>
      <c r="F222" s="54">
        <v>0.096</v>
      </c>
      <c r="G222" s="54">
        <v>0.135</v>
      </c>
      <c r="H222" s="54">
        <v>0.057</v>
      </c>
      <c r="I222" s="54">
        <v>0.092</v>
      </c>
      <c r="J222" s="37">
        <v>0.085</v>
      </c>
      <c r="K222" s="11" t="s">
        <v>201</v>
      </c>
    </row>
    <row r="223" ht="15" customHeight="1">
      <c r="A223" s="1"/>
      <c r="B223" s="4" t="s">
        <v>199</v>
      </c>
      <c r="C223" s="36" t="s">
        <v>30</v>
      </c>
      <c r="D223" s="47" t="str">
        <f t="shared" si="5"/>
        <v>n/a</v>
      </c>
      <c r="E223" s="47" t="str">
        <f t="shared" si="5"/>
        <v>n/a</v>
      </c>
      <c r="F223" s="47">
        <f t="shared" si="5"/>
        <v>-509.9999999999999</v>
      </c>
      <c r="G223" s="36" t="s">
        <v>30</v>
      </c>
      <c r="H223" s="47">
        <f t="shared" si="9"/>
        <v>-390</v>
      </c>
      <c r="I223" s="47">
        <f t="shared" si="5"/>
        <v>349.99999999999994</v>
      </c>
      <c r="J223" s="48">
        <f t="shared" si="5"/>
        <v>-69.99999999999993</v>
      </c>
      <c r="K223" s="11"/>
    </row>
    <row r="224" ht="15" customHeight="1">
      <c r="A224" s="1"/>
      <c r="B224" s="4" t="s">
        <v>202</v>
      </c>
      <c r="C224" s="36" t="s">
        <v>30</v>
      </c>
      <c r="D224" s="36" t="s">
        <v>30</v>
      </c>
      <c r="E224" s="44">
        <f t="shared" si="10"/>
        <v>0.04504725503130991</v>
      </c>
      <c r="F224" s="44">
        <f t="shared" si="10"/>
        <v>0.042521965695370145</v>
      </c>
      <c r="G224" s="44">
        <f t="shared" si="10"/>
        <v>0.01727058088114153</v>
      </c>
      <c r="H224" s="44">
        <f t="shared" si="10"/>
        <v>0.1030220876227419</v>
      </c>
      <c r="I224" s="44">
        <f t="shared" si="10"/>
        <v>0.022987122397400306</v>
      </c>
      <c r="J224" s="42">
        <f>'Revenue summary'!J12</f>
        <v>-0.017189966178128523</v>
      </c>
      <c r="K224" s="11" t="s">
        <v>203</v>
      </c>
    </row>
    <row r="225" ht="15" customHeight="1">
      <c r="A225" s="1"/>
      <c r="B225" s="4" t="s">
        <v>199</v>
      </c>
      <c r="C225" s="36" t="s">
        <v>30</v>
      </c>
      <c r="D225" s="47" t="str">
        <f t="shared" si="5"/>
        <v>n/a</v>
      </c>
      <c r="E225" s="47" t="str">
        <f t="shared" si="5"/>
        <v>n/a</v>
      </c>
      <c r="F225" s="47">
        <f t="shared" si="5"/>
        <v>-25.25289335939762</v>
      </c>
      <c r="G225" s="36" t="s">
        <v>30</v>
      </c>
      <c r="H225" s="47">
        <f t="shared" si="9"/>
        <v>605.0012192737175</v>
      </c>
      <c r="I225" s="47">
        <f t="shared" si="5"/>
        <v>-800.3496522534159</v>
      </c>
      <c r="J225" s="48">
        <f t="shared" si="5"/>
        <v>-401.7708857552883</v>
      </c>
      <c r="K225" s="11"/>
    </row>
    <row r="226" ht="15" customHeight="1">
      <c r="A226" s="1"/>
      <c r="B226" s="1" t="s">
        <v>204</v>
      </c>
      <c r="C226" s="13" t="s">
        <v>30</v>
      </c>
      <c r="D226" s="13" t="s">
        <v>30</v>
      </c>
      <c r="E226" s="33">
        <f t="shared" si="11"/>
        <v>1206.644</v>
      </c>
      <c r="F226" s="33">
        <f t="shared" si="11"/>
        <v>1237.384</v>
      </c>
      <c r="G226" s="33">
        <f t="shared" si="11"/>
        <v>4735.220000000001</v>
      </c>
      <c r="H226" s="33">
        <f t="shared" si="11"/>
        <v>1140.503</v>
      </c>
      <c r="I226" s="33">
        <f t="shared" si="11"/>
        <v>1296.2040000000002</v>
      </c>
      <c r="J226" s="43">
        <f t="shared" si="11"/>
        <v>1368.185</v>
      </c>
      <c r="K226" s="11"/>
    </row>
    <row r="227" ht="15" customHeight="1">
      <c r="A227" s="1"/>
      <c r="B227" s="3" t="s">
        <v>372</v>
      </c>
      <c r="C227" s="50">
        <f t="shared" si="12"/>
        <v>1827</v>
      </c>
      <c r="D227" s="50">
        <f t="shared" si="12"/>
        <v>1981</v>
      </c>
      <c r="E227" s="50">
        <f t="shared" si="12"/>
        <v>2057</v>
      </c>
      <c r="F227" s="50">
        <f t="shared" si="12"/>
        <v>2133</v>
      </c>
      <c r="G227" s="50">
        <f t="shared" si="12"/>
        <v>7998</v>
      </c>
      <c r="H227" s="50">
        <f t="shared" si="12"/>
        <v>2080</v>
      </c>
      <c r="I227" s="50">
        <f t="shared" si="12"/>
        <v>2188</v>
      </c>
      <c r="J227" s="51">
        <f t="shared" si="12"/>
        <v>2216.285946124577</v>
      </c>
      <c r="K227" s="11"/>
    </row>
    <row r="228" ht="15" customHeight="1">
      <c r="A228" s="1"/>
      <c r="B228" s="4" t="s">
        <v>166</v>
      </c>
      <c r="C228" s="44">
        <f t="shared" si="72" ref="C228:J228">C227/C338-1</f>
        <v>0.1644359464627152</v>
      </c>
      <c r="D228" s="44">
        <f t="shared" si="72"/>
        <v>0.2020631067961165</v>
      </c>
      <c r="E228" s="44">
        <f t="shared" si="72"/>
        <v>0.192463768115942</v>
      </c>
      <c r="F228" s="44">
        <f t="shared" si="72"/>
        <v>0.14492753623188404</v>
      </c>
      <c r="G228" s="44">
        <f t="shared" si="72"/>
        <v>0.17531227038941966</v>
      </c>
      <c r="H228" s="44">
        <f t="shared" si="72"/>
        <v>0.1384783798576903</v>
      </c>
      <c r="I228" s="44">
        <f t="shared" si="72"/>
        <v>0.10449268046441196</v>
      </c>
      <c r="J228" s="38">
        <f t="shared" si="72"/>
        <v>0.07743604575818042</v>
      </c>
      <c r="K228" s="11"/>
    </row>
    <row r="229" ht="15" customHeight="1">
      <c r="A229" s="1"/>
      <c r="B229" s="1" t="s">
        <v>146</v>
      </c>
      <c r="C229" s="33">
        <f>C227-F338</f>
        <v>-36</v>
      </c>
      <c r="D229" s="33">
        <f t="shared" si="4"/>
        <v>154</v>
      </c>
      <c r="E229" s="33">
        <f t="shared" si="4"/>
        <v>76</v>
      </c>
      <c r="F229" s="33">
        <f t="shared" si="4"/>
        <v>76</v>
      </c>
      <c r="G229" s="13" t="s">
        <v>30</v>
      </c>
      <c r="H229" s="33">
        <f t="shared" si="8"/>
        <v>-53</v>
      </c>
      <c r="I229" s="33">
        <f t="shared" si="4"/>
        <v>108</v>
      </c>
      <c r="J229" s="43">
        <f t="shared" si="4"/>
        <v>28.285946124577094</v>
      </c>
      <c r="K229" s="11"/>
    </row>
    <row r="230" ht="15" customHeight="1">
      <c r="A230" s="1"/>
      <c r="B230" s="4" t="s">
        <v>147</v>
      </c>
      <c r="C230" s="44">
        <f>C227/F338-1</f>
        <v>-0.019323671497584516</v>
      </c>
      <c r="D230" s="44">
        <f t="shared" si="14"/>
        <v>0.08429118773946365</v>
      </c>
      <c r="E230" s="44">
        <f t="shared" si="14"/>
        <v>0.038364462392730836</v>
      </c>
      <c r="F230" s="44">
        <f t="shared" si="14"/>
        <v>0.03694701020904234</v>
      </c>
      <c r="G230" s="36" t="s">
        <v>30</v>
      </c>
      <c r="H230" s="44">
        <f t="shared" si="28"/>
        <v>-0.024847632442569156</v>
      </c>
      <c r="I230" s="44">
        <f t="shared" si="14"/>
        <v>0.05192307692307696</v>
      </c>
      <c r="J230" s="38">
        <f t="shared" si="14"/>
        <v>0.012927763311049834</v>
      </c>
      <c r="K230" s="11"/>
    </row>
    <row r="231" ht="15" customHeight="1">
      <c r="A231" s="1"/>
      <c r="B231" s="4" t="s">
        <v>206</v>
      </c>
      <c r="C231" s="44">
        <f t="shared" si="73" ref="C231:J231">C227/C272</f>
        <v>0.37323799795709905</v>
      </c>
      <c r="D231" s="44">
        <f t="shared" si="73"/>
        <v>0.36897001303780963</v>
      </c>
      <c r="E231" s="44">
        <f t="shared" si="73"/>
        <v>0.3775697503671072</v>
      </c>
      <c r="F231" s="44">
        <f t="shared" si="73"/>
        <v>0.3758590308370044</v>
      </c>
      <c r="G231" s="44">
        <f t="shared" si="73"/>
        <v>0.37396549305652965</v>
      </c>
      <c r="H231" s="44">
        <f t="shared" si="73"/>
        <v>0.37551904675934283</v>
      </c>
      <c r="I231" s="44">
        <f t="shared" si="73"/>
        <v>0.3738253886895609</v>
      </c>
      <c r="J231" s="38">
        <f t="shared" si="73"/>
        <v>0.3785618056848038</v>
      </c>
      <c r="K231" s="11"/>
    </row>
    <row r="232" ht="15" customHeight="1">
      <c r="A232" s="1"/>
      <c r="B232" s="4" t="s">
        <v>149</v>
      </c>
      <c r="C232" s="47">
        <f t="shared" si="74" ref="C232:J232">(C231-C338/C294)*10000</f>
        <v>208.91265417238293</v>
      </c>
      <c r="D232" s="47">
        <f t="shared" si="74"/>
        <v>208.50029936837933</v>
      </c>
      <c r="E232" s="47">
        <f t="shared" si="74"/>
        <v>141.82347797062954</v>
      </c>
      <c r="F232" s="47">
        <f t="shared" si="74"/>
        <v>70.94185231303673</v>
      </c>
      <c r="G232" s="47">
        <f t="shared" si="74"/>
        <v>155.4349790220544</v>
      </c>
      <c r="H232" s="47">
        <f t="shared" si="74"/>
        <v>22.81048802243779</v>
      </c>
      <c r="I232" s="47">
        <f t="shared" si="74"/>
        <v>48.55375651751259</v>
      </c>
      <c r="J232" s="48">
        <f t="shared" si="74"/>
        <v>9.920553176965829</v>
      </c>
      <c r="K232" s="11"/>
    </row>
    <row r="233" ht="15" customHeight="1">
      <c r="A233" s="1"/>
      <c r="B233" s="1" t="s">
        <v>167</v>
      </c>
      <c r="C233" s="13" t="s">
        <v>30</v>
      </c>
      <c r="D233" s="13" t="s">
        <v>30</v>
      </c>
      <c r="E233" s="33">
        <f t="shared" si="17"/>
        <v>2002.644</v>
      </c>
      <c r="F233" s="33">
        <f t="shared" si="17"/>
        <v>2080.384</v>
      </c>
      <c r="G233" s="33">
        <f t="shared" si="17"/>
        <v>7916.220000000001</v>
      </c>
      <c r="H233" s="33">
        <f t="shared" si="17"/>
        <v>1962.503</v>
      </c>
      <c r="I233" s="33">
        <f t="shared" si="17"/>
        <v>2158.204</v>
      </c>
      <c r="J233" s="43">
        <f t="shared" si="17"/>
        <v>2239.805</v>
      </c>
      <c r="K233" s="11" t="s">
        <v>207</v>
      </c>
    </row>
    <row r="234" ht="15" customHeight="1">
      <c r="A234" s="1"/>
      <c r="B234" s="1" t="s">
        <v>208</v>
      </c>
      <c r="C234" s="33">
        <f t="shared" si="75" ref="C234:J235">C336</f>
        <v>589</v>
      </c>
      <c r="D234" s="33">
        <f t="shared" si="75"/>
        <v>637</v>
      </c>
      <c r="E234" s="33">
        <f t="shared" si="75"/>
        <v>673</v>
      </c>
      <c r="F234" s="33">
        <f t="shared" si="75"/>
        <v>734</v>
      </c>
      <c r="G234" s="33">
        <f t="shared" si="75"/>
        <v>2633</v>
      </c>
      <c r="H234" s="33">
        <f t="shared" si="75"/>
        <v>748</v>
      </c>
      <c r="I234" s="33">
        <f t="shared" si="75"/>
        <v>794</v>
      </c>
      <c r="J234" s="43">
        <f t="shared" si="75"/>
        <v>796</v>
      </c>
      <c r="K234" s="11"/>
    </row>
    <row r="235" ht="15" customHeight="1">
      <c r="A235" s="1"/>
      <c r="B235" s="1" t="s">
        <v>168</v>
      </c>
      <c r="C235" s="33">
        <f t="shared" si="75"/>
        <v>980</v>
      </c>
      <c r="D235" s="33">
        <f t="shared" si="75"/>
        <v>1011</v>
      </c>
      <c r="E235" s="33">
        <f t="shared" si="75"/>
        <v>1052</v>
      </c>
      <c r="F235" s="33">
        <f t="shared" si="75"/>
        <v>1129</v>
      </c>
      <c r="G235" s="33">
        <f t="shared" si="75"/>
        <v>4172</v>
      </c>
      <c r="H235" s="33">
        <f t="shared" si="75"/>
        <v>1079</v>
      </c>
      <c r="I235" s="33">
        <f t="shared" si="75"/>
        <v>1187</v>
      </c>
      <c r="J235" s="43">
        <f t="shared" si="75"/>
        <v>1261</v>
      </c>
      <c r="K235" s="11"/>
    </row>
    <row r="236" ht="15" customHeight="1">
      <c r="A236" s="1"/>
      <c r="B236" s="1" t="s">
        <v>169</v>
      </c>
      <c r="C236" s="33">
        <f t="shared" si="19"/>
        <v>1569</v>
      </c>
      <c r="D236" s="33">
        <f t="shared" si="19"/>
        <v>1648</v>
      </c>
      <c r="E236" s="33">
        <f t="shared" si="19"/>
        <v>1725</v>
      </c>
      <c r="F236" s="33">
        <f t="shared" si="19"/>
        <v>1863</v>
      </c>
      <c r="G236" s="33">
        <f t="shared" si="19"/>
        <v>6805</v>
      </c>
      <c r="H236" s="33">
        <f t="shared" si="19"/>
        <v>1827</v>
      </c>
      <c r="I236" s="33">
        <f t="shared" si="19"/>
        <v>1981</v>
      </c>
      <c r="J236" s="43">
        <f t="shared" si="19"/>
        <v>2057</v>
      </c>
      <c r="K236" s="11" t="s">
        <v>209</v>
      </c>
    </row>
    <row r="237" ht="15" customHeight="1">
      <c r="A237" s="1"/>
      <c r="B237" s="4" t="s">
        <v>152</v>
      </c>
      <c r="C237" s="36" t="s">
        <v>30</v>
      </c>
      <c r="D237" s="36" t="s">
        <v>30</v>
      </c>
      <c r="E237" s="44">
        <f t="shared" si="76" ref="E237:J237">(E236/E338)*(E233/(E233))-1</f>
        <v>0</v>
      </c>
      <c r="F237" s="44">
        <f t="shared" si="76"/>
        <v>0</v>
      </c>
      <c r="G237" s="44">
        <f t="shared" si="76"/>
        <v>0</v>
      </c>
      <c r="H237" s="44">
        <f t="shared" si="76"/>
        <v>0</v>
      </c>
      <c r="I237" s="44">
        <f t="shared" si="76"/>
        <v>0</v>
      </c>
      <c r="J237" s="38">
        <f t="shared" si="76"/>
        <v>0</v>
      </c>
      <c r="K237" s="11" t="s">
        <v>210</v>
      </c>
    </row>
    <row r="238" ht="15" customHeight="1">
      <c r="A238" s="1"/>
      <c r="B238" s="4" t="s">
        <v>151</v>
      </c>
      <c r="C238" s="36" t="s">
        <v>30</v>
      </c>
      <c r="D238" s="47" t="str">
        <f t="shared" si="5"/>
        <v>n/a</v>
      </c>
      <c r="E238" s="47" t="str">
        <f t="shared" si="5"/>
        <v>n/a</v>
      </c>
      <c r="F238" s="47">
        <f t="shared" si="5"/>
        <v>0</v>
      </c>
      <c r="G238" s="36" t="s">
        <v>30</v>
      </c>
      <c r="H238" s="47">
        <f t="shared" si="9"/>
        <v>0</v>
      </c>
      <c r="I238" s="47">
        <f t="shared" si="5"/>
        <v>0</v>
      </c>
      <c r="J238" s="48">
        <f t="shared" si="5"/>
        <v>0</v>
      </c>
      <c r="K238" s="11"/>
    </row>
    <row r="239" ht="15" customHeight="1">
      <c r="A239" s="1"/>
      <c r="B239" s="4" t="s">
        <v>153</v>
      </c>
      <c r="C239" s="36" t="s">
        <v>30</v>
      </c>
      <c r="D239" s="36" t="s">
        <v>30</v>
      </c>
      <c r="E239" s="44">
        <f t="shared" si="21"/>
        <v>0.02714211811984546</v>
      </c>
      <c r="F239" s="44">
        <f t="shared" si="21"/>
        <v>0.025291484648987783</v>
      </c>
      <c r="G239" s="44">
        <f t="shared" si="21"/>
        <v>0.010330688131456434</v>
      </c>
      <c r="H239" s="44">
        <f t="shared" si="21"/>
        <v>0.059870991280013275</v>
      </c>
      <c r="I239" s="44">
        <f t="shared" si="21"/>
        <v>0.013805923814430798</v>
      </c>
      <c r="J239" s="38">
        <f t="shared" si="21"/>
        <v>-0.010500491728263284</v>
      </c>
      <c r="K239" s="11"/>
    </row>
    <row r="240" ht="15" customHeight="1">
      <c r="A240" s="1"/>
      <c r="B240" s="4" t="s">
        <v>151</v>
      </c>
      <c r="C240" s="36" t="s">
        <v>30</v>
      </c>
      <c r="D240" s="47" t="str">
        <f t="shared" si="5"/>
        <v>n/a</v>
      </c>
      <c r="E240" s="47" t="str">
        <f t="shared" si="5"/>
        <v>n/a</v>
      </c>
      <c r="F240" s="47">
        <f t="shared" si="5"/>
        <v>-18.506334708576766</v>
      </c>
      <c r="G240" s="36" t="s">
        <v>30</v>
      </c>
      <c r="H240" s="47">
        <f t="shared" si="9"/>
        <v>345.7950663102549</v>
      </c>
      <c r="I240" s="47">
        <f t="shared" si="5"/>
        <v>-460.6506746558248</v>
      </c>
      <c r="J240" s="48">
        <f t="shared" si="5"/>
        <v>-243.06415542694083</v>
      </c>
      <c r="K240" s="11"/>
    </row>
    <row r="241" ht="15" customHeight="1">
      <c r="A241" s="1"/>
      <c r="B241" s="4" t="s">
        <v>211</v>
      </c>
      <c r="C241" s="36" t="s">
        <v>30</v>
      </c>
      <c r="D241" s="36" t="s">
        <v>30</v>
      </c>
      <c r="E241" s="44">
        <f t="shared" si="22"/>
        <v>0.1609530434782609</v>
      </c>
      <c r="F241" s="44">
        <f t="shared" si="22"/>
        <v>0.11668491680085902</v>
      </c>
      <c r="G241" s="44">
        <f t="shared" si="22"/>
        <v>0.16329463629684104</v>
      </c>
      <c r="H241" s="44">
        <f t="shared" si="22"/>
        <v>0.07416694033935434</v>
      </c>
      <c r="I241" s="44">
        <f t="shared" si="22"/>
        <v>0.08945179202423037</v>
      </c>
      <c r="J241" s="38">
        <f t="shared" si="22"/>
        <v>0.08886971317452597</v>
      </c>
      <c r="K241" s="11" t="s">
        <v>212</v>
      </c>
    </row>
    <row r="242" ht="15" customHeight="1">
      <c r="A242" s="1"/>
      <c r="B242" s="4" t="s">
        <v>151</v>
      </c>
      <c r="C242" s="36" t="s">
        <v>30</v>
      </c>
      <c r="D242" s="47" t="str">
        <f t="shared" si="5"/>
        <v>n/a</v>
      </c>
      <c r="E242" s="47" t="str">
        <f t="shared" si="5"/>
        <v>n/a</v>
      </c>
      <c r="F242" s="47">
        <f t="shared" si="5"/>
        <v>-442.68126677401875</v>
      </c>
      <c r="G242" s="36" t="s">
        <v>30</v>
      </c>
      <c r="H242" s="47">
        <f t="shared" si="9"/>
        <v>-425.1797646150468</v>
      </c>
      <c r="I242" s="47">
        <f t="shared" si="5"/>
        <v>152.84851684876034</v>
      </c>
      <c r="J242" s="48">
        <f t="shared" si="5"/>
        <v>-5.820788497044038</v>
      </c>
      <c r="K242" s="11"/>
    </row>
    <row r="243" ht="15" customHeight="1">
      <c r="A243" s="1"/>
      <c r="B243" s="4" t="s">
        <v>213</v>
      </c>
      <c r="C243" s="44">
        <f t="shared" si="23"/>
        <v>0.4094143404488232</v>
      </c>
      <c r="D243" s="44">
        <f t="shared" si="23"/>
        <v>0.40080767289247854</v>
      </c>
      <c r="E243" s="44">
        <f t="shared" si="23"/>
        <v>0.3869713174526009</v>
      </c>
      <c r="F243" s="44">
        <f t="shared" si="23"/>
        <v>0.3952180028129395</v>
      </c>
      <c r="G243" s="44">
        <f t="shared" si="23"/>
        <v>0.39772443110777694</v>
      </c>
      <c r="H243" s="44">
        <f t="shared" si="23"/>
        <v>0.3951923076923077</v>
      </c>
      <c r="I243" s="44">
        <f t="shared" si="23"/>
        <v>0.3939670932358318</v>
      </c>
      <c r="J243" s="38">
        <f t="shared" si="23"/>
        <v>0.3932795772694064</v>
      </c>
      <c r="K243" s="11"/>
    </row>
    <row r="244" ht="15" customHeight="1">
      <c r="A244" s="1"/>
      <c r="B244" s="4" t="s">
        <v>214</v>
      </c>
      <c r="C244" s="47">
        <f t="shared" si="77" ref="C244:J244">(C243-C336/C338)*10000</f>
        <v>340.1599755526041</v>
      </c>
      <c r="D244" s="47">
        <f t="shared" si="77"/>
        <v>142.78546678886283</v>
      </c>
      <c r="E244" s="47">
        <f t="shared" si="77"/>
        <v>-31.736100836309845</v>
      </c>
      <c r="F244" s="47">
        <f t="shared" si="77"/>
        <v>12.298117232991679</v>
      </c>
      <c r="G244" s="47">
        <f t="shared" si="77"/>
        <v>108.0304977052493</v>
      </c>
      <c r="H244" s="47">
        <f t="shared" si="77"/>
        <v>-142.22032756515512</v>
      </c>
      <c r="I244" s="47">
        <f t="shared" si="77"/>
        <v>-68.4057965664675</v>
      </c>
      <c r="J244" s="48">
        <f t="shared" si="77"/>
        <v>63.08259816805495</v>
      </c>
      <c r="K244" s="11"/>
    </row>
    <row r="245" ht="15" customHeight="1">
      <c r="A245" s="1"/>
      <c r="B245" s="1" t="s">
        <v>373</v>
      </c>
      <c r="C245" s="29">
        <v>1700</v>
      </c>
      <c r="D245" s="29">
        <v>3600</v>
      </c>
      <c r="E245" s="29">
        <v>5600</v>
      </c>
      <c r="F245" s="29">
        <v>7600</v>
      </c>
      <c r="G245" s="33">
        <f>F245</f>
        <v>7600</v>
      </c>
      <c r="H245" s="29">
        <v>2000</v>
      </c>
      <c r="I245" s="29">
        <v>4100</v>
      </c>
      <c r="J245" s="52" t="s">
        <v>30</v>
      </c>
      <c r="K245" s="11" t="s">
        <v>374</v>
      </c>
    </row>
    <row r="246" ht="15" customHeight="1">
      <c r="A246" s="1"/>
      <c r="B246" s="3" t="s">
        <v>375</v>
      </c>
      <c r="C246" s="50">
        <f t="shared" si="78" ref="C246:H246">C245</f>
        <v>1700</v>
      </c>
      <c r="D246" s="50">
        <f t="shared" si="1"/>
        <v>1900</v>
      </c>
      <c r="E246" s="50">
        <f t="shared" si="1"/>
        <v>2000</v>
      </c>
      <c r="F246" s="50">
        <f t="shared" si="1"/>
        <v>2000</v>
      </c>
      <c r="G246" s="50">
        <f t="shared" si="6"/>
        <v>7600</v>
      </c>
      <c r="H246" s="50">
        <f t="shared" si="78"/>
        <v>2000</v>
      </c>
      <c r="I246" s="50">
        <f t="shared" si="1"/>
        <v>2100</v>
      </c>
      <c r="J246" s="51">
        <f>J227*J257</f>
        <v>2127.1483029532046</v>
      </c>
      <c r="K246" s="11" t="s">
        <v>376</v>
      </c>
    </row>
    <row r="247" ht="15" customHeight="1">
      <c r="A247" s="1"/>
      <c r="B247" s="1" t="s">
        <v>196</v>
      </c>
      <c r="C247" s="13" t="s">
        <v>30</v>
      </c>
      <c r="D247" s="33">
        <f t="shared" si="1"/>
        <v>200</v>
      </c>
      <c r="E247" s="33">
        <f t="shared" si="1"/>
        <v>100</v>
      </c>
      <c r="F247" s="33">
        <f t="shared" si="1"/>
        <v>0</v>
      </c>
      <c r="G247" s="13" t="s">
        <v>30</v>
      </c>
      <c r="H247" s="33">
        <f t="shared" si="79"/>
        <v>0</v>
      </c>
      <c r="I247" s="33">
        <f t="shared" si="1"/>
        <v>100</v>
      </c>
      <c r="J247" s="43">
        <f t="shared" si="1"/>
        <v>27.14830295320462</v>
      </c>
      <c r="K247" s="11"/>
    </row>
    <row r="248" ht="15" customHeight="1">
      <c r="A248" s="1"/>
      <c r="B248" s="4" t="s">
        <v>377</v>
      </c>
      <c r="C248" s="36" t="s">
        <v>30</v>
      </c>
      <c r="D248" s="36" t="s">
        <v>30</v>
      </c>
      <c r="E248" s="54">
        <v>0.205</v>
      </c>
      <c r="F248" s="54">
        <v>0.15</v>
      </c>
      <c r="G248" s="36" t="s">
        <v>30</v>
      </c>
      <c r="H248" s="54">
        <v>0.142</v>
      </c>
      <c r="I248" s="54">
        <v>0.11</v>
      </c>
      <c r="J248" s="38" t="s">
        <v>278</v>
      </c>
      <c r="K248" s="11" t="s">
        <v>378</v>
      </c>
    </row>
    <row r="249" ht="15" customHeight="1">
      <c r="A249" s="1"/>
      <c r="B249" s="4" t="s">
        <v>199</v>
      </c>
      <c r="C249" s="36" t="s">
        <v>30</v>
      </c>
      <c r="D249" s="47" t="str">
        <f t="shared" si="5"/>
        <v>n/a</v>
      </c>
      <c r="E249" s="47" t="str">
        <f t="shared" si="5"/>
        <v>n/a</v>
      </c>
      <c r="F249" s="47">
        <f t="shared" si="5"/>
        <v>-549.9999999999999</v>
      </c>
      <c r="G249" s="36" t="s">
        <v>30</v>
      </c>
      <c r="H249" s="47">
        <f t="shared" si="9"/>
        <v>-80.00000000000007</v>
      </c>
      <c r="I249" s="47">
        <f t="shared" si="5"/>
        <v>-319.9999999999999</v>
      </c>
      <c r="J249" s="48" t="str">
        <f t="shared" si="5"/>
        <v>n/a</v>
      </c>
      <c r="K249" s="11"/>
    </row>
    <row r="250" ht="15" customHeight="1">
      <c r="A250" s="1"/>
      <c r="B250" s="4" t="s">
        <v>379</v>
      </c>
      <c r="C250" s="36" t="s">
        <v>30</v>
      </c>
      <c r="D250" s="36" t="s">
        <v>30</v>
      </c>
      <c r="E250" s="54">
        <v>0</v>
      </c>
      <c r="F250" s="54">
        <v>0</v>
      </c>
      <c r="G250" s="36" t="s">
        <v>30</v>
      </c>
      <c r="H250" s="54">
        <v>0</v>
      </c>
      <c r="I250" s="54">
        <v>0</v>
      </c>
      <c r="J250" s="37">
        <v>0</v>
      </c>
      <c r="K250" s="11" t="s">
        <v>380</v>
      </c>
    </row>
    <row r="251" ht="15" customHeight="1">
      <c r="A251" s="1"/>
      <c r="B251" s="4" t="s">
        <v>199</v>
      </c>
      <c r="C251" s="36" t="s">
        <v>30</v>
      </c>
      <c r="D251" s="47" t="str">
        <f t="shared" si="5"/>
        <v>n/a</v>
      </c>
      <c r="E251" s="47" t="str">
        <f t="shared" si="5"/>
        <v>n/a</v>
      </c>
      <c r="F251" s="47">
        <f t="shared" si="5"/>
        <v>0</v>
      </c>
      <c r="G251" s="36" t="s">
        <v>30</v>
      </c>
      <c r="H251" s="47">
        <f t="shared" si="9"/>
        <v>0</v>
      </c>
      <c r="I251" s="47">
        <f t="shared" si="5"/>
        <v>0</v>
      </c>
      <c r="J251" s="48">
        <f t="shared" si="5"/>
        <v>0</v>
      </c>
      <c r="K251" s="11"/>
    </row>
    <row r="252" ht="15" customHeight="1">
      <c r="A252" s="1"/>
      <c r="B252" s="4" t="s">
        <v>381</v>
      </c>
      <c r="C252" s="36" t="s">
        <v>30</v>
      </c>
      <c r="D252" s="36" t="s">
        <v>30</v>
      </c>
      <c r="E252" s="44">
        <f t="shared" si="80" ref="E252:I252">(1+E248)/(1+E256)-1</f>
        <v>0.028156996587030747</v>
      </c>
      <c r="F252" s="44">
        <f t="shared" si="80"/>
        <v>0.024955436720142554</v>
      </c>
      <c r="G252" s="36" t="s">
        <v>30</v>
      </c>
      <c r="H252" s="44">
        <f t="shared" si="80"/>
        <v>0.0613382899628252</v>
      </c>
      <c r="I252" s="44">
        <f t="shared" si="80"/>
        <v>0.013698630136986356</v>
      </c>
      <c r="J252" s="38">
        <f>J239</f>
        <v>-0.010500491728263284</v>
      </c>
      <c r="K252" s="11" t="s">
        <v>382</v>
      </c>
    </row>
    <row r="253" ht="15" customHeight="1">
      <c r="A253" s="1"/>
      <c r="B253" s="4" t="s">
        <v>199</v>
      </c>
      <c r="C253" s="36" t="s">
        <v>30</v>
      </c>
      <c r="D253" s="47" t="str">
        <f t="shared" si="5"/>
        <v>n/a</v>
      </c>
      <c r="E253" s="47" t="str">
        <f t="shared" si="5"/>
        <v>n/a</v>
      </c>
      <c r="F253" s="47">
        <f t="shared" si="5"/>
        <v>-32.01559866888193</v>
      </c>
      <c r="G253" s="36" t="s">
        <v>30</v>
      </c>
      <c r="H253" s="47">
        <f t="shared" si="9"/>
        <v>363.8285324268264</v>
      </c>
      <c r="I253" s="47">
        <f t="shared" si="5"/>
        <v>-476.39659825838845</v>
      </c>
      <c r="J253" s="48">
        <f t="shared" si="5"/>
        <v>-241.9912186524964</v>
      </c>
      <c r="K253" s="11"/>
    </row>
    <row r="254" ht="15" customHeight="1">
      <c r="A254" s="1"/>
      <c r="B254" s="4" t="s">
        <v>383</v>
      </c>
      <c r="C254" s="36" t="s">
        <v>30</v>
      </c>
      <c r="D254" s="36" t="s">
        <v>30</v>
      </c>
      <c r="E254" s="44">
        <f t="shared" si="81" ref="E254:I254">(1+E248)/((1+E250)*(1+E252))-1</f>
        <v>0.17199999999999993</v>
      </c>
      <c r="F254" s="44">
        <f t="shared" si="81"/>
        <v>0.12199999999999989</v>
      </c>
      <c r="G254" s="36" t="s">
        <v>30</v>
      </c>
      <c r="H254" s="44">
        <f t="shared" si="81"/>
        <v>0.07600000000000007</v>
      </c>
      <c r="I254" s="44">
        <f t="shared" si="81"/>
        <v>0.09499999999999997</v>
      </c>
      <c r="J254" s="38" t="s">
        <v>278</v>
      </c>
      <c r="K254" s="11" t="s">
        <v>384</v>
      </c>
    </row>
    <row r="255" ht="15" customHeight="1">
      <c r="A255" s="1"/>
      <c r="B255" s="4" t="s">
        <v>199</v>
      </c>
      <c r="C255" s="36" t="s">
        <v>30</v>
      </c>
      <c r="D255" s="47" t="str">
        <f t="shared" si="5"/>
        <v>n/a</v>
      </c>
      <c r="E255" s="47" t="str">
        <f t="shared" si="5"/>
        <v>n/a</v>
      </c>
      <c r="F255" s="47">
        <f t="shared" si="5"/>
        <v>-500.00000000000045</v>
      </c>
      <c r="G255" s="36" t="s">
        <v>30</v>
      </c>
      <c r="H255" s="47">
        <f t="shared" si="9"/>
        <v>-459.9999999999982</v>
      </c>
      <c r="I255" s="47">
        <f t="shared" si="5"/>
        <v>189.99999999999906</v>
      </c>
      <c r="J255" s="48" t="str">
        <f t="shared" si="5"/>
        <v>n/a</v>
      </c>
      <c r="K255" s="11"/>
    </row>
    <row r="256" ht="15" customHeight="1">
      <c r="A256" s="1"/>
      <c r="B256" s="4" t="s">
        <v>385</v>
      </c>
      <c r="C256" s="36" t="s">
        <v>30</v>
      </c>
      <c r="D256" s="36" t="s">
        <v>30</v>
      </c>
      <c r="E256" s="54">
        <v>0.172</v>
      </c>
      <c r="F256" s="54">
        <v>0.122</v>
      </c>
      <c r="G256" s="36" t="s">
        <v>30</v>
      </c>
      <c r="H256" s="54">
        <v>0.076</v>
      </c>
      <c r="I256" s="54">
        <v>0.095</v>
      </c>
      <c r="J256" s="55" t="s">
        <v>30</v>
      </c>
      <c r="K256" s="11" t="s">
        <v>175</v>
      </c>
    </row>
    <row r="257" ht="15" customHeight="1">
      <c r="A257" s="1"/>
      <c r="B257" s="4" t="s">
        <v>386</v>
      </c>
      <c r="C257" s="44">
        <f t="shared" si="82" ref="C257:I257">C246/C227</f>
        <v>0.9304871373836892</v>
      </c>
      <c r="D257" s="44">
        <f t="shared" si="82"/>
        <v>0.9591115598182736</v>
      </c>
      <c r="E257" s="44">
        <f t="shared" si="82"/>
        <v>0.9722897423432183</v>
      </c>
      <c r="F257" s="44">
        <f t="shared" si="82"/>
        <v>0.9376465072667605</v>
      </c>
      <c r="G257" s="44">
        <f t="shared" si="82"/>
        <v>0.9502375593898474</v>
      </c>
      <c r="H257" s="44">
        <f t="shared" si="82"/>
        <v>0.9615384615384616</v>
      </c>
      <c r="I257" s="44">
        <f t="shared" si="82"/>
        <v>0.9597806215722121</v>
      </c>
      <c r="J257" s="38">
        <f>I246/I227</f>
        <v>0.9597806215722121</v>
      </c>
      <c r="K257" s="11" t="s">
        <v>387</v>
      </c>
    </row>
    <row r="258" ht="15" customHeight="1">
      <c r="A258" s="1"/>
      <c r="B258" s="4" t="s">
        <v>151</v>
      </c>
      <c r="C258" s="36" t="s">
        <v>30</v>
      </c>
      <c r="D258" s="47">
        <f t="shared" si="83" ref="D258:J258">(D257-C257)*10000</f>
        <v>286.2442243458441</v>
      </c>
      <c r="E258" s="47">
        <f t="shared" si="83"/>
        <v>131.78182524944737</v>
      </c>
      <c r="F258" s="47">
        <f t="shared" si="83"/>
        <v>-346.43235076457836</v>
      </c>
      <c r="G258" s="36" t="s">
        <v>30</v>
      </c>
      <c r="H258" s="47">
        <f>(H257-F257)*10000</f>
        <v>238.91954271701098</v>
      </c>
      <c r="I258" s="47">
        <f t="shared" si="83"/>
        <v>-17.578399662494526</v>
      </c>
      <c r="J258" s="48">
        <f t="shared" si="83"/>
        <v>0</v>
      </c>
      <c r="K258" s="11"/>
    </row>
    <row r="259" ht="15" customHeight="1">
      <c r="A259" s="1"/>
      <c r="B259" s="1" t="s">
        <v>388</v>
      </c>
      <c r="C259" s="33">
        <f t="shared" si="84" ref="C259:J259">C227-C246</f>
        <v>127</v>
      </c>
      <c r="D259" s="33">
        <f t="shared" si="84"/>
        <v>81</v>
      </c>
      <c r="E259" s="33">
        <f t="shared" si="84"/>
        <v>57</v>
      </c>
      <c r="F259" s="33">
        <f t="shared" si="84"/>
        <v>133</v>
      </c>
      <c r="G259" s="33">
        <f t="shared" si="84"/>
        <v>398</v>
      </c>
      <c r="H259" s="33">
        <f t="shared" si="84"/>
        <v>80</v>
      </c>
      <c r="I259" s="33">
        <f t="shared" si="84"/>
        <v>88</v>
      </c>
      <c r="J259" s="43">
        <f t="shared" si="84"/>
        <v>89.13764317137247</v>
      </c>
      <c r="K259" s="11" t="s">
        <v>389</v>
      </c>
    </row>
    <row r="260" ht="15" customHeight="1">
      <c r="A260" s="1"/>
      <c r="B260" s="4" t="s">
        <v>195</v>
      </c>
      <c r="C260" s="36" t="s">
        <v>30</v>
      </c>
      <c r="D260" s="36" t="s">
        <v>30</v>
      </c>
      <c r="E260" s="36" t="s">
        <v>30</v>
      </c>
      <c r="F260" s="36" t="s">
        <v>30</v>
      </c>
      <c r="G260" s="36" t="s">
        <v>30</v>
      </c>
      <c r="H260" s="44" t="s">
        <v>278</v>
      </c>
      <c r="I260" s="44" t="s">
        <v>278</v>
      </c>
      <c r="J260" s="38" t="s">
        <v>278</v>
      </c>
      <c r="K260" s="11" t="s">
        <v>390</v>
      </c>
    </row>
    <row r="261" ht="15" customHeight="1">
      <c r="A261" s="1"/>
      <c r="B261" s="1" t="s">
        <v>196</v>
      </c>
      <c r="C261" s="13" t="s">
        <v>30</v>
      </c>
      <c r="D261" s="33">
        <f t="shared" si="4"/>
        <v>-46</v>
      </c>
      <c r="E261" s="33">
        <f t="shared" si="4"/>
        <v>-24</v>
      </c>
      <c r="F261" s="33">
        <f t="shared" si="4"/>
        <v>76</v>
      </c>
      <c r="G261" s="13" t="s">
        <v>30</v>
      </c>
      <c r="H261" s="33">
        <f t="shared" si="8"/>
        <v>-53</v>
      </c>
      <c r="I261" s="33">
        <f t="shared" si="4"/>
        <v>8</v>
      </c>
      <c r="J261" s="43">
        <f t="shared" si="4"/>
        <v>1.1376431713724742</v>
      </c>
      <c r="K261" s="11"/>
    </row>
    <row r="262" ht="15" customHeight="1">
      <c r="A262" s="1"/>
      <c r="B262" s="1" t="s">
        <v>391</v>
      </c>
      <c r="C262" s="13" t="s">
        <v>30</v>
      </c>
      <c r="D262" s="13" t="s">
        <v>30</v>
      </c>
      <c r="E262" s="13" t="s">
        <v>30</v>
      </c>
      <c r="F262" s="13" t="s">
        <v>30</v>
      </c>
      <c r="G262" s="13" t="s">
        <v>30</v>
      </c>
      <c r="H262" s="13" t="s">
        <v>30</v>
      </c>
      <c r="I262" s="13" t="s">
        <v>30</v>
      </c>
      <c r="J262" s="52" t="s">
        <v>30</v>
      </c>
      <c r="K262" s="11" t="s">
        <v>392</v>
      </c>
    </row>
    <row r="263" ht="15" customHeight="1">
      <c r="A263" s="1"/>
      <c r="B263" s="1"/>
      <c r="C263" s="1"/>
      <c r="D263" s="1"/>
      <c r="E263" s="1"/>
      <c r="F263" s="1"/>
      <c r="G263" s="1"/>
      <c r="H263" s="1"/>
      <c r="I263" s="1"/>
      <c r="J263" s="35"/>
      <c r="K263" s="11"/>
    </row>
    <row r="264" ht="15" customHeight="1">
      <c r="A264" s="1"/>
      <c r="B264" s="3" t="s">
        <v>393</v>
      </c>
      <c r="C264" s="1"/>
      <c r="D264" s="1"/>
      <c r="E264" s="1"/>
      <c r="F264" s="1"/>
      <c r="G264" s="1"/>
      <c r="H264" s="1"/>
      <c r="I264" s="1"/>
      <c r="J264" s="35"/>
      <c r="K264" s="11"/>
    </row>
    <row r="265" ht="15" customHeight="1">
      <c r="A265" s="1"/>
      <c r="B265" s="3" t="s">
        <v>394</v>
      </c>
      <c r="C265" s="50">
        <f t="shared" si="85" ref="C265:J265">C11+C44+C79+C112+C145+C181+C214</f>
        <v>2339</v>
      </c>
      <c r="D265" s="50">
        <f t="shared" si="85"/>
        <v>2503</v>
      </c>
      <c r="E265" s="50">
        <f t="shared" si="85"/>
        <v>2521</v>
      </c>
      <c r="F265" s="50">
        <f t="shared" si="85"/>
        <v>2605</v>
      </c>
      <c r="G265" s="50">
        <f t="shared" si="85"/>
        <v>9968</v>
      </c>
      <c r="H265" s="50">
        <f t="shared" si="85"/>
        <v>2523</v>
      </c>
      <c r="I265" s="50">
        <f t="shared" si="85"/>
        <v>2680</v>
      </c>
      <c r="J265" s="51">
        <f t="shared" si="85"/>
        <v>2726.76</v>
      </c>
      <c r="K265" s="11"/>
    </row>
    <row r="266" ht="15" customHeight="1">
      <c r="A266" s="1"/>
      <c r="B266" s="4" t="s">
        <v>195</v>
      </c>
      <c r="C266" s="44">
        <f t="shared" si="86" ref="C266:J266">C265/C292-1</f>
        <v>0.14995083579154378</v>
      </c>
      <c r="D266" s="44">
        <f t="shared" si="86"/>
        <v>0.14553775743707087</v>
      </c>
      <c r="E266" s="44">
        <f t="shared" si="86"/>
        <v>0.1376353790613718</v>
      </c>
      <c r="F266" s="44">
        <f t="shared" si="86"/>
        <v>0.10709732256693583</v>
      </c>
      <c r="G266" s="44">
        <f t="shared" si="86"/>
        <v>0.13427401001365502</v>
      </c>
      <c r="H266" s="44">
        <f t="shared" si="86"/>
        <v>0.07866609662248814</v>
      </c>
      <c r="I266" s="44">
        <f t="shared" si="86"/>
        <v>0.0707151418298042</v>
      </c>
      <c r="J266" s="38">
        <f t="shared" si="86"/>
        <v>0.08161840539468468</v>
      </c>
      <c r="K266" s="11"/>
    </row>
    <row r="267" ht="15" customHeight="1">
      <c r="A267" s="1"/>
      <c r="B267" s="1" t="s">
        <v>196</v>
      </c>
      <c r="C267" s="33">
        <f>C265-F292</f>
        <v>-14</v>
      </c>
      <c r="D267" s="33">
        <f t="shared" si="4"/>
        <v>164</v>
      </c>
      <c r="E267" s="33">
        <f t="shared" si="4"/>
        <v>18</v>
      </c>
      <c r="F267" s="33">
        <f t="shared" si="4"/>
        <v>84</v>
      </c>
      <c r="G267" s="13" t="s">
        <v>30</v>
      </c>
      <c r="H267" s="33">
        <f t="shared" si="8"/>
        <v>-82</v>
      </c>
      <c r="I267" s="33">
        <f t="shared" si="4"/>
        <v>157</v>
      </c>
      <c r="J267" s="43">
        <f t="shared" si="4"/>
        <v>46.76000000000022</v>
      </c>
      <c r="K267" s="11"/>
    </row>
    <row r="268" ht="15" customHeight="1">
      <c r="A268" s="1"/>
      <c r="B268" s="3" t="s">
        <v>395</v>
      </c>
      <c r="C268" s="50">
        <f t="shared" si="87" ref="C268:J268">C16+C49+C84+C117+C150+C186+C219</f>
        <v>2556</v>
      </c>
      <c r="D268" s="50">
        <f t="shared" si="87"/>
        <v>2866</v>
      </c>
      <c r="E268" s="50">
        <f t="shared" si="87"/>
        <v>2927</v>
      </c>
      <c r="F268" s="50">
        <f t="shared" si="87"/>
        <v>3070</v>
      </c>
      <c r="G268" s="50">
        <f t="shared" si="87"/>
        <v>11419</v>
      </c>
      <c r="H268" s="50">
        <f t="shared" si="87"/>
        <v>3016</v>
      </c>
      <c r="I268" s="50">
        <f t="shared" si="87"/>
        <v>3173</v>
      </c>
      <c r="J268" s="51">
        <f t="shared" si="87"/>
        <v>3127.7290499859077</v>
      </c>
      <c r="K268" s="11"/>
    </row>
    <row r="269" ht="15" customHeight="1">
      <c r="A269" s="1"/>
      <c r="B269" s="4" t="s">
        <v>195</v>
      </c>
      <c r="C269" s="44">
        <f t="shared" si="88" ref="C269:J269">C268/C293-1</f>
        <v>0.05663497312939225</v>
      </c>
      <c r="D269" s="44">
        <f t="shared" si="88"/>
        <v>0.12436249509611619</v>
      </c>
      <c r="E269" s="44">
        <f t="shared" si="88"/>
        <v>0.15645989727380472</v>
      </c>
      <c r="F269" s="44">
        <f t="shared" si="88"/>
        <v>0.13745831789551688</v>
      </c>
      <c r="G269" s="44">
        <f t="shared" si="88"/>
        <v>0.1197293586977839</v>
      </c>
      <c r="H269" s="44">
        <f t="shared" si="88"/>
        <v>0.1799687010954616</v>
      </c>
      <c r="I269" s="44">
        <f t="shared" si="88"/>
        <v>0.10711793440334971</v>
      </c>
      <c r="J269" s="38">
        <f t="shared" si="88"/>
        <v>0.06857842500372668</v>
      </c>
      <c r="K269" s="11"/>
    </row>
    <row r="270" ht="15" customHeight="1">
      <c r="A270" s="1"/>
      <c r="B270" s="1" t="s">
        <v>196</v>
      </c>
      <c r="C270" s="33">
        <f>C268-F293</f>
        <v>-143</v>
      </c>
      <c r="D270" s="33">
        <f t="shared" si="4"/>
        <v>310</v>
      </c>
      <c r="E270" s="33">
        <f t="shared" si="4"/>
        <v>61</v>
      </c>
      <c r="F270" s="33">
        <f t="shared" si="4"/>
        <v>143</v>
      </c>
      <c r="G270" s="13" t="s">
        <v>30</v>
      </c>
      <c r="H270" s="33">
        <f t="shared" si="8"/>
        <v>-54</v>
      </c>
      <c r="I270" s="33">
        <f t="shared" si="4"/>
        <v>157</v>
      </c>
      <c r="J270" s="43">
        <f t="shared" si="4"/>
        <v>-45.27095001409225</v>
      </c>
      <c r="K270" s="11"/>
    </row>
    <row r="271" ht="15" customHeight="1">
      <c r="A271" s="1"/>
      <c r="B271" s="1" t="s">
        <v>204</v>
      </c>
      <c r="C271" s="13" t="s">
        <v>30</v>
      </c>
      <c r="D271" s="13" t="s">
        <v>30</v>
      </c>
      <c r="E271" s="33">
        <f t="shared" si="89" ref="E271:J278">E23+E56+E91+E124+E157+E193+E226</f>
        <v>2816.9929999999995</v>
      </c>
      <c r="F271" s="33">
        <f t="shared" si="89"/>
        <v>2971.116</v>
      </c>
      <c r="G271" s="33">
        <f t="shared" si="89"/>
        <v>11270.560000000001</v>
      </c>
      <c r="H271" s="33">
        <f t="shared" si="89"/>
        <v>2767.6589999999997</v>
      </c>
      <c r="I271" s="33">
        <f t="shared" si="89"/>
        <v>3115.833</v>
      </c>
      <c r="J271" s="43">
        <f t="shared" si="89"/>
        <v>3182.435</v>
      </c>
      <c r="K271" s="11"/>
    </row>
    <row r="272" ht="15" customHeight="1">
      <c r="A272" s="1"/>
      <c r="B272" s="3" t="s">
        <v>396</v>
      </c>
      <c r="C272" s="50">
        <f t="shared" si="90" ref="C272:J272">C265+C268</f>
        <v>4895</v>
      </c>
      <c r="D272" s="50">
        <f t="shared" si="90"/>
        <v>5369</v>
      </c>
      <c r="E272" s="50">
        <f t="shared" si="90"/>
        <v>5448</v>
      </c>
      <c r="F272" s="50">
        <f t="shared" si="90"/>
        <v>5675</v>
      </c>
      <c r="G272" s="50">
        <f t="shared" si="90"/>
        <v>21387</v>
      </c>
      <c r="H272" s="50">
        <f t="shared" si="90"/>
        <v>5539</v>
      </c>
      <c r="I272" s="50">
        <f t="shared" si="90"/>
        <v>5853</v>
      </c>
      <c r="J272" s="51">
        <f t="shared" si="90"/>
        <v>5854.489049985908</v>
      </c>
      <c r="K272" s="11" t="s">
        <v>225</v>
      </c>
    </row>
    <row r="273" ht="15" customHeight="1">
      <c r="A273" s="1"/>
      <c r="B273" s="4" t="s">
        <v>166</v>
      </c>
      <c r="C273" s="44">
        <f t="shared" si="91" ref="C273:J273">C272/C294-1</f>
        <v>0.0992589265663597</v>
      </c>
      <c r="D273" s="44">
        <f t="shared" si="91"/>
        <v>0.13413603717786238</v>
      </c>
      <c r="E273" s="44">
        <f t="shared" si="91"/>
        <v>0.1476722140299136</v>
      </c>
      <c r="F273" s="44">
        <f t="shared" si="91"/>
        <v>0.123317498020586</v>
      </c>
      <c r="G273" s="44">
        <f t="shared" si="91"/>
        <v>0.12646160328663236</v>
      </c>
      <c r="H273" s="44">
        <f t="shared" si="91"/>
        <v>0.13156281920326873</v>
      </c>
      <c r="I273" s="44">
        <f t="shared" si="91"/>
        <v>0.09014714099459864</v>
      </c>
      <c r="J273" s="38">
        <f t="shared" si="91"/>
        <v>0.074612527530453</v>
      </c>
      <c r="K273" s="11"/>
    </row>
    <row r="274" ht="15" customHeight="1">
      <c r="A274" s="1"/>
      <c r="B274" s="1" t="s">
        <v>146</v>
      </c>
      <c r="C274" s="33">
        <f>C272-F294</f>
        <v>-157</v>
      </c>
      <c r="D274" s="33">
        <f t="shared" si="4"/>
        <v>474</v>
      </c>
      <c r="E274" s="33">
        <f t="shared" si="4"/>
        <v>79</v>
      </c>
      <c r="F274" s="33">
        <f t="shared" si="4"/>
        <v>227</v>
      </c>
      <c r="G274" s="13" t="s">
        <v>30</v>
      </c>
      <c r="H274" s="33">
        <f t="shared" si="8"/>
        <v>-136</v>
      </c>
      <c r="I274" s="33">
        <f t="shared" si="4"/>
        <v>314</v>
      </c>
      <c r="J274" s="43">
        <f t="shared" si="4"/>
        <v>1.489049985908423</v>
      </c>
      <c r="K274" s="11"/>
    </row>
    <row r="275" ht="15" customHeight="1">
      <c r="A275" s="1"/>
      <c r="B275" s="4" t="s">
        <v>147</v>
      </c>
      <c r="C275" s="44">
        <f>C272/F294-1</f>
        <v>-0.031076801266824994</v>
      </c>
      <c r="D275" s="44">
        <f t="shared" si="14"/>
        <v>0.0968335035750767</v>
      </c>
      <c r="E275" s="44">
        <f t="shared" si="14"/>
        <v>0.01471409945986224</v>
      </c>
      <c r="F275" s="44">
        <f t="shared" si="14"/>
        <v>0.04166666666666674</v>
      </c>
      <c r="G275" s="36" t="s">
        <v>30</v>
      </c>
      <c r="H275" s="44">
        <f t="shared" si="28"/>
        <v>-0.023964757709251105</v>
      </c>
      <c r="I275" s="44">
        <f t="shared" si="14"/>
        <v>0.05668893302040079</v>
      </c>
      <c r="J275" s="38">
        <f t="shared" si="14"/>
        <v>0.0002544079934918564</v>
      </c>
      <c r="K275" s="11"/>
    </row>
    <row r="276" ht="15" customHeight="1">
      <c r="A276" s="1"/>
      <c r="B276" s="4" t="s">
        <v>226</v>
      </c>
      <c r="C276" s="41">
        <f>C272/'Revenue summary'!C74</f>
        <v>0.47258157945549334</v>
      </c>
      <c r="D276" s="41">
        <f>D272/'Revenue summary'!D74</f>
        <v>0.4818704002872016</v>
      </c>
      <c r="E276" s="41">
        <f>E272/'Revenue summary'!E74</f>
        <v>0.4791978186296068</v>
      </c>
      <c r="F276" s="41">
        <f>F272/'Revenue summary'!F74</f>
        <v>0.49524391308142074</v>
      </c>
      <c r="G276" s="41">
        <f>G272/'Revenue summary'!G74</f>
        <v>0.48247157552788306</v>
      </c>
      <c r="H276" s="41">
        <f>H272/'Revenue summary'!H74</f>
        <v>0.49614833393049085</v>
      </c>
      <c r="I276" s="41">
        <f>I272/'Revenue summary'!I74</f>
        <v>0.4647820217581196</v>
      </c>
      <c r="J276" s="42">
        <f>J272/'Revenue summary'!J74</f>
        <v>0.45308634649499197</v>
      </c>
      <c r="K276" s="11"/>
    </row>
    <row r="277" ht="15" customHeight="1">
      <c r="A277" s="1"/>
      <c r="B277" s="4" t="s">
        <v>149</v>
      </c>
      <c r="C277" s="45">
        <f>(C276-C294/'Revenue summary'!C92)*10000</f>
        <v>256.72707516513015</v>
      </c>
      <c r="D277" s="45">
        <f>(D276-D294/'Revenue summary'!D92)*10000</f>
        <v>256.6918606343749</v>
      </c>
      <c r="E277" s="45">
        <f>(E276-E294/'Revenue summary'!E92)*10000</f>
        <v>328.41448154759587</v>
      </c>
      <c r="F277" s="45">
        <f>(F276-F294/'Revenue summary'!F92)*10000</f>
        <v>348.83060156325087</v>
      </c>
      <c r="G277" s="45">
        <f>(G276-G294/'Revenue summary'!G92)*10000</f>
        <v>298.85163132173875</v>
      </c>
      <c r="H277" s="45">
        <f>(H276-H294/'Revenue summary'!H92)*10000</f>
        <v>235.6675447499751</v>
      </c>
      <c r="I277" s="45">
        <f>(I276-I294/'Revenue summary'!I92)*10000</f>
        <v>-170.8837852908196</v>
      </c>
      <c r="J277" s="46">
        <f>(J276-J294/'Revenue summary'!J92)*10000</f>
        <v>-261.11472134614843</v>
      </c>
      <c r="K277" s="11"/>
    </row>
    <row r="278" ht="15" customHeight="1">
      <c r="A278" s="1"/>
      <c r="B278" s="1" t="s">
        <v>167</v>
      </c>
      <c r="C278" s="13" t="s">
        <v>30</v>
      </c>
      <c r="D278" s="13" t="s">
        <v>30</v>
      </c>
      <c r="E278" s="33">
        <f t="shared" si="89"/>
        <v>5337.9929999999995</v>
      </c>
      <c r="F278" s="33">
        <f t="shared" si="89"/>
        <v>5576.116</v>
      </c>
      <c r="G278" s="33">
        <f t="shared" si="89"/>
        <v>21238.56</v>
      </c>
      <c r="H278" s="33">
        <f t="shared" si="89"/>
        <v>5290.659</v>
      </c>
      <c r="I278" s="33">
        <f t="shared" si="89"/>
        <v>5795.8330000000005</v>
      </c>
      <c r="J278" s="43">
        <f t="shared" si="89"/>
        <v>5909.195</v>
      </c>
      <c r="K278" s="11"/>
    </row>
    <row r="279" ht="15" customHeight="1">
      <c r="A279" s="1"/>
      <c r="B279" s="1" t="s">
        <v>208</v>
      </c>
      <c r="C279" s="33">
        <f t="shared" si="92" ref="C279:J281">C31+C64+C99+C132+C165+C201+C234</f>
        <v>2034</v>
      </c>
      <c r="D279" s="33">
        <f t="shared" si="92"/>
        <v>2185</v>
      </c>
      <c r="E279" s="33">
        <f t="shared" si="92"/>
        <v>2216</v>
      </c>
      <c r="F279" s="33">
        <f t="shared" si="92"/>
        <v>2353</v>
      </c>
      <c r="G279" s="33">
        <f t="shared" si="92"/>
        <v>8788</v>
      </c>
      <c r="H279" s="33">
        <f t="shared" si="92"/>
        <v>2315</v>
      </c>
      <c r="I279" s="33">
        <f t="shared" si="92"/>
        <v>2481</v>
      </c>
      <c r="J279" s="43">
        <f t="shared" si="92"/>
        <v>2499</v>
      </c>
      <c r="K279" s="11"/>
    </row>
    <row r="280" ht="15" customHeight="1">
      <c r="A280" s="1"/>
      <c r="B280" s="1" t="s">
        <v>168</v>
      </c>
      <c r="C280" s="33">
        <f t="shared" si="92"/>
        <v>2419</v>
      </c>
      <c r="D280" s="33">
        <f t="shared" si="92"/>
        <v>2549</v>
      </c>
      <c r="E280" s="33">
        <f t="shared" si="92"/>
        <v>2531</v>
      </c>
      <c r="F280" s="33">
        <f t="shared" si="92"/>
        <v>2699</v>
      </c>
      <c r="G280" s="33">
        <f t="shared" si="92"/>
        <v>10198</v>
      </c>
      <c r="H280" s="33">
        <f t="shared" si="92"/>
        <v>2556</v>
      </c>
      <c r="I280" s="33">
        <f t="shared" si="92"/>
        <v>2866</v>
      </c>
      <c r="J280" s="43">
        <f t="shared" si="92"/>
        <v>2927</v>
      </c>
      <c r="K280" s="11"/>
    </row>
    <row r="281" ht="15" customHeight="1">
      <c r="A281" s="1"/>
      <c r="B281" s="1" t="s">
        <v>169</v>
      </c>
      <c r="C281" s="33">
        <f t="shared" si="92"/>
        <v>4453</v>
      </c>
      <c r="D281" s="33">
        <f t="shared" si="92"/>
        <v>4734</v>
      </c>
      <c r="E281" s="33">
        <f t="shared" si="92"/>
        <v>4747</v>
      </c>
      <c r="F281" s="33">
        <f t="shared" si="92"/>
        <v>5052</v>
      </c>
      <c r="G281" s="33">
        <f t="shared" si="92"/>
        <v>18986</v>
      </c>
      <c r="H281" s="33">
        <f t="shared" si="92"/>
        <v>4871</v>
      </c>
      <c r="I281" s="33">
        <f t="shared" si="92"/>
        <v>5347</v>
      </c>
      <c r="J281" s="43">
        <f t="shared" si="92"/>
        <v>5426</v>
      </c>
      <c r="K281" s="11"/>
    </row>
    <row r="282" ht="15" customHeight="1">
      <c r="A282" s="1"/>
      <c r="B282" s="1" t="s">
        <v>295</v>
      </c>
      <c r="C282" s="29">
        <v>0</v>
      </c>
      <c r="D282" s="29">
        <v>0</v>
      </c>
      <c r="E282" s="29">
        <v>0</v>
      </c>
      <c r="F282" s="29">
        <v>0</v>
      </c>
      <c r="G282" s="29">
        <v>0</v>
      </c>
      <c r="H282" s="33">
        <f t="shared" si="93" ref="H282:J282">H178</f>
        <v>-8</v>
      </c>
      <c r="I282" s="33">
        <f t="shared" si="93"/>
        <v>0</v>
      </c>
      <c r="J282" s="43">
        <f t="shared" si="93"/>
        <v>0</v>
      </c>
      <c r="K282" s="11" t="s">
        <v>296</v>
      </c>
    </row>
    <row r="283" ht="15" customHeight="1">
      <c r="A283" s="1"/>
      <c r="B283" s="1" t="s">
        <v>297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58">
        <v>0</v>
      </c>
      <c r="K283" s="11"/>
    </row>
    <row r="284" ht="15" customHeight="1">
      <c r="A284" s="1"/>
      <c r="B284" s="4" t="s">
        <v>152</v>
      </c>
      <c r="C284" s="36" t="s">
        <v>30</v>
      </c>
      <c r="D284" s="36" t="s">
        <v>30</v>
      </c>
      <c r="E284" s="44">
        <f t="shared" si="94" ref="E284:J284">(E281/E294)*(E278/(E278+E282+E283))-1</f>
        <v>0</v>
      </c>
      <c r="F284" s="44">
        <f t="shared" si="94"/>
        <v>0</v>
      </c>
      <c r="G284" s="44">
        <f t="shared" si="94"/>
        <v>0</v>
      </c>
      <c r="H284" s="44">
        <f t="shared" si="94"/>
        <v>-0.003395998326523708</v>
      </c>
      <c r="I284" s="44">
        <f t="shared" si="94"/>
        <v>-0.004097597317936352</v>
      </c>
      <c r="J284" s="38">
        <f t="shared" si="94"/>
        <v>-0.004038179148311283</v>
      </c>
      <c r="K284" s="11"/>
    </row>
    <row r="285" ht="15" customHeight="1">
      <c r="A285" s="1"/>
      <c r="B285" s="4" t="s">
        <v>151</v>
      </c>
      <c r="C285" s="36" t="s">
        <v>30</v>
      </c>
      <c r="D285" s="36" t="s">
        <v>30</v>
      </c>
      <c r="E285" s="36" t="s">
        <v>30</v>
      </c>
      <c r="F285" s="47">
        <f t="shared" si="5"/>
        <v>0</v>
      </c>
      <c r="G285" s="36" t="s">
        <v>30</v>
      </c>
      <c r="H285" s="47">
        <f t="shared" si="9"/>
        <v>-33.959983265237085</v>
      </c>
      <c r="I285" s="47">
        <f t="shared" si="5"/>
        <v>-7.0159899141264415</v>
      </c>
      <c r="J285" s="48">
        <f t="shared" si="5"/>
        <v>0.5941816962506952</v>
      </c>
      <c r="K285" s="11"/>
    </row>
    <row r="286" ht="15" customHeight="1">
      <c r="A286" s="1"/>
      <c r="B286" s="4" t="s">
        <v>153</v>
      </c>
      <c r="C286" s="36" t="s">
        <v>30</v>
      </c>
      <c r="D286" s="36" t="s">
        <v>30</v>
      </c>
      <c r="E286" s="44">
        <f t="shared" si="95" ref="E286:J286">E272/E278-1</f>
        <v>0.020608307279533777</v>
      </c>
      <c r="F286" s="44">
        <f t="shared" si="95"/>
        <v>0.017733490479753256</v>
      </c>
      <c r="G286" s="44">
        <f t="shared" si="95"/>
        <v>0.006989174407304288</v>
      </c>
      <c r="H286" s="44">
        <f t="shared" si="95"/>
        <v>0.04693952114471944</v>
      </c>
      <c r="I286" s="44">
        <f t="shared" si="95"/>
        <v>0.00986346570027119</v>
      </c>
      <c r="J286" s="38">
        <f t="shared" si="95"/>
        <v>-0.009257766923259636</v>
      </c>
      <c r="K286" s="11"/>
    </row>
    <row r="287" ht="15" customHeight="1">
      <c r="A287" s="1"/>
      <c r="B287" s="4" t="s">
        <v>151</v>
      </c>
      <c r="C287" s="36" t="s">
        <v>30</v>
      </c>
      <c r="D287" s="36" t="s">
        <v>30</v>
      </c>
      <c r="E287" s="36" t="s">
        <v>30</v>
      </c>
      <c r="F287" s="47">
        <f t="shared" si="5"/>
        <v>-28.74816799780522</v>
      </c>
      <c r="G287" s="36" t="s">
        <v>30</v>
      </c>
      <c r="H287" s="47">
        <f t="shared" si="9"/>
        <v>292.06030664966187</v>
      </c>
      <c r="I287" s="47">
        <f t="shared" si="5"/>
        <v>-370.7605544444825</v>
      </c>
      <c r="J287" s="48">
        <f t="shared" si="5"/>
        <v>-191.21232623530827</v>
      </c>
      <c r="K287" s="11"/>
    </row>
    <row r="288" ht="15" customHeight="1">
      <c r="A288" s="1"/>
      <c r="B288" s="4" t="s">
        <v>150</v>
      </c>
      <c r="C288" s="36" t="s">
        <v>30</v>
      </c>
      <c r="D288" s="36" t="s">
        <v>30</v>
      </c>
      <c r="E288" s="44">
        <f t="shared" si="96" ref="E288:J288">(1+E273)/((1+E284)*(1+E286))-1</f>
        <v>0.12449820939540746</v>
      </c>
      <c r="F288" s="44">
        <f t="shared" si="96"/>
        <v>0.10374425969912915</v>
      </c>
      <c r="G288" s="44">
        <f t="shared" si="96"/>
        <v>0.11864321078689599</v>
      </c>
      <c r="H288" s="44">
        <f t="shared" si="96"/>
        <v>0.08451221515089302</v>
      </c>
      <c r="I288" s="44">
        <f t="shared" si="96"/>
        <v>0.08394108846081938</v>
      </c>
      <c r="J288" s="38">
        <f t="shared" si="96"/>
        <v>0.0890517876889052</v>
      </c>
      <c r="K288" s="11" t="s">
        <v>227</v>
      </c>
    </row>
    <row r="289" ht="15" customHeight="1">
      <c r="A289" s="1"/>
      <c r="B289" s="4" t="s">
        <v>151</v>
      </c>
      <c r="C289" s="36" t="s">
        <v>30</v>
      </c>
      <c r="D289" s="36" t="s">
        <v>30</v>
      </c>
      <c r="E289" s="36" t="s">
        <v>30</v>
      </c>
      <c r="F289" s="47">
        <f t="shared" si="5"/>
        <v>-207.53949696278306</v>
      </c>
      <c r="G289" s="36" t="s">
        <v>30</v>
      </c>
      <c r="H289" s="47">
        <f t="shared" si="9"/>
        <v>-192.32044548236127</v>
      </c>
      <c r="I289" s="47">
        <f t="shared" si="5"/>
        <v>-5.7112669007364225</v>
      </c>
      <c r="J289" s="48">
        <f t="shared" si="5"/>
        <v>51.10699228085824</v>
      </c>
      <c r="K289" s="11"/>
    </row>
    <row r="290" ht="15" customHeight="1">
      <c r="A290" s="1"/>
      <c r="B290" s="4" t="s">
        <v>174</v>
      </c>
      <c r="C290" s="36" t="s">
        <v>30</v>
      </c>
      <c r="D290" s="36" t="s">
        <v>30</v>
      </c>
      <c r="E290" s="54">
        <v>0.125</v>
      </c>
      <c r="F290" s="54">
        <v>0.104</v>
      </c>
      <c r="G290" s="54">
        <v>0.119</v>
      </c>
      <c r="H290" s="54">
        <v>0.085</v>
      </c>
      <c r="I290" s="54">
        <v>0.084</v>
      </c>
      <c r="J290" s="55" t="s">
        <v>30</v>
      </c>
      <c r="K290" s="11" t="s">
        <v>228</v>
      </c>
    </row>
    <row r="291" ht="15" customHeight="1">
      <c r="A291" s="1"/>
      <c r="B291" s="4" t="s">
        <v>229</v>
      </c>
      <c r="C291" s="36" t="s">
        <v>30</v>
      </c>
      <c r="D291" s="36" t="s">
        <v>30</v>
      </c>
      <c r="E291" s="47">
        <f t="shared" si="97" ref="E291:I291">(E288-E290)*10000</f>
        <v>-5.0179060459254465</v>
      </c>
      <c r="F291" s="47">
        <f t="shared" si="97"/>
        <v>-2.557403008708464</v>
      </c>
      <c r="G291" s="47">
        <f t="shared" si="97"/>
        <v>-3.567892131040029</v>
      </c>
      <c r="H291" s="47">
        <f t="shared" si="97"/>
        <v>-4.877848491069842</v>
      </c>
      <c r="I291" s="47">
        <f t="shared" si="97"/>
        <v>-0.5891153918062553</v>
      </c>
      <c r="J291" s="55" t="s">
        <v>30</v>
      </c>
      <c r="K291" s="11" t="s">
        <v>230</v>
      </c>
    </row>
    <row r="292" ht="15" customHeight="1">
      <c r="A292" s="1"/>
      <c r="B292" s="3" t="s">
        <v>397</v>
      </c>
      <c r="C292" s="50">
        <f t="shared" si="98" ref="C292:J294">C318+C321+C324+C327+C330+C333+C336</f>
        <v>2034</v>
      </c>
      <c r="D292" s="50">
        <f t="shared" si="98"/>
        <v>2185</v>
      </c>
      <c r="E292" s="50">
        <f t="shared" si="98"/>
        <v>2216</v>
      </c>
      <c r="F292" s="50">
        <f t="shared" si="98"/>
        <v>2353</v>
      </c>
      <c r="G292" s="50">
        <f t="shared" si="98"/>
        <v>8788</v>
      </c>
      <c r="H292" s="50">
        <f t="shared" si="98"/>
        <v>2339</v>
      </c>
      <c r="I292" s="50">
        <f t="shared" si="98"/>
        <v>2503</v>
      </c>
      <c r="J292" s="51">
        <f t="shared" si="98"/>
        <v>2521</v>
      </c>
      <c r="K292" s="11"/>
    </row>
    <row r="293" ht="15" customHeight="1">
      <c r="A293" s="1"/>
      <c r="B293" s="3" t="s">
        <v>398</v>
      </c>
      <c r="C293" s="50">
        <f t="shared" si="98"/>
        <v>2419</v>
      </c>
      <c r="D293" s="50">
        <f t="shared" si="98"/>
        <v>2549</v>
      </c>
      <c r="E293" s="50">
        <f t="shared" si="98"/>
        <v>2531</v>
      </c>
      <c r="F293" s="50">
        <f t="shared" si="98"/>
        <v>2699</v>
      </c>
      <c r="G293" s="50">
        <f t="shared" si="98"/>
        <v>10198</v>
      </c>
      <c r="H293" s="50">
        <f t="shared" si="98"/>
        <v>2556</v>
      </c>
      <c r="I293" s="50">
        <f t="shared" si="98"/>
        <v>2866</v>
      </c>
      <c r="J293" s="51">
        <f t="shared" si="98"/>
        <v>2927</v>
      </c>
      <c r="K293" s="11"/>
    </row>
    <row r="294" ht="15" customHeight="1">
      <c r="A294" s="1"/>
      <c r="B294" s="3" t="s">
        <v>399</v>
      </c>
      <c r="C294" s="50">
        <f t="shared" si="98"/>
        <v>4453</v>
      </c>
      <c r="D294" s="50">
        <f t="shared" si="98"/>
        <v>4734</v>
      </c>
      <c r="E294" s="50">
        <f t="shared" si="98"/>
        <v>4747</v>
      </c>
      <c r="F294" s="50">
        <f t="shared" si="98"/>
        <v>5052</v>
      </c>
      <c r="G294" s="50">
        <f t="shared" si="98"/>
        <v>18986</v>
      </c>
      <c r="H294" s="50">
        <f t="shared" si="98"/>
        <v>4895</v>
      </c>
      <c r="I294" s="50">
        <f t="shared" si="98"/>
        <v>5369</v>
      </c>
      <c r="J294" s="51">
        <f t="shared" si="98"/>
        <v>5448</v>
      </c>
      <c r="K294" s="11"/>
    </row>
    <row r="295" ht="15" customHeight="1">
      <c r="A295" s="1"/>
      <c r="B295" s="1"/>
      <c r="C295" s="1"/>
      <c r="D295" s="1"/>
      <c r="E295" s="1"/>
      <c r="F295" s="1"/>
      <c r="G295" s="1"/>
      <c r="H295" s="1"/>
      <c r="I295" s="1"/>
      <c r="J295" s="35"/>
      <c r="K295" s="11"/>
    </row>
    <row r="296" ht="15" customHeight="1">
      <c r="A296" s="1"/>
      <c r="B296" s="3" t="s">
        <v>400</v>
      </c>
      <c r="C296" s="1"/>
      <c r="D296" s="1"/>
      <c r="E296" s="1"/>
      <c r="F296" s="1"/>
      <c r="G296" s="1"/>
      <c r="H296" s="1"/>
      <c r="I296" s="1"/>
      <c r="J296" s="35"/>
      <c r="K296" s="11"/>
    </row>
    <row r="297" ht="15" customHeight="1">
      <c r="A297" s="1"/>
      <c r="B297" s="1" t="s">
        <v>235</v>
      </c>
      <c r="C297" s="33">
        <f t="shared" si="99" ref="C297:J297">C272</f>
        <v>4895</v>
      </c>
      <c r="D297" s="33">
        <f t="shared" si="99"/>
        <v>5369</v>
      </c>
      <c r="E297" s="33">
        <f t="shared" si="99"/>
        <v>5448</v>
      </c>
      <c r="F297" s="33">
        <f t="shared" si="99"/>
        <v>5675</v>
      </c>
      <c r="G297" s="33">
        <f t="shared" si="99"/>
        <v>21387</v>
      </c>
      <c r="H297" s="33">
        <f t="shared" si="99"/>
        <v>5539</v>
      </c>
      <c r="I297" s="33">
        <f t="shared" si="99"/>
        <v>5853</v>
      </c>
      <c r="J297" s="43">
        <f t="shared" si="99"/>
        <v>5854.489049985908</v>
      </c>
      <c r="K297" s="11"/>
    </row>
    <row r="298" ht="15" customHeight="1">
      <c r="A298" s="1"/>
      <c r="B298" s="1" t="s">
        <v>236</v>
      </c>
      <c r="C298" s="29">
        <v>1598</v>
      </c>
      <c r="D298" s="29">
        <v>1758</v>
      </c>
      <c r="E298" s="29">
        <v>1767</v>
      </c>
      <c r="F298" s="33">
        <f t="shared" si="100"/>
        <v>1850</v>
      </c>
      <c r="G298" s="29">
        <v>6973</v>
      </c>
      <c r="H298" s="29">
        <v>1814</v>
      </c>
      <c r="I298" s="29">
        <v>1925</v>
      </c>
      <c r="J298" s="43">
        <f>J297*(I298/I297+E298/E297-D298/D297)</f>
        <v>1907.363830171289</v>
      </c>
      <c r="K298" s="11" t="s">
        <v>237</v>
      </c>
    </row>
    <row r="299" ht="15" customHeight="1">
      <c r="A299" s="1"/>
      <c r="B299" s="1" t="s">
        <v>238</v>
      </c>
      <c r="C299" s="29">
        <v>401</v>
      </c>
      <c r="D299" s="29">
        <v>430</v>
      </c>
      <c r="E299" s="29">
        <v>462</v>
      </c>
      <c r="F299" s="33">
        <f t="shared" si="100"/>
        <v>460</v>
      </c>
      <c r="G299" s="29">
        <v>1753</v>
      </c>
      <c r="H299" s="29">
        <v>444</v>
      </c>
      <c r="I299" s="29">
        <v>470</v>
      </c>
      <c r="J299" s="43">
        <f>J297*(I299/I297+E299/E297-D299/D297)</f>
        <v>497.70803172523</v>
      </c>
      <c r="K299" s="11" t="s">
        <v>237</v>
      </c>
    </row>
    <row r="300" ht="15" customHeight="1">
      <c r="A300" s="1"/>
      <c r="B300" s="1" t="s">
        <v>239</v>
      </c>
      <c r="C300" s="29">
        <v>1287</v>
      </c>
      <c r="D300" s="29">
        <v>1385</v>
      </c>
      <c r="E300" s="29">
        <v>1390</v>
      </c>
      <c r="F300" s="33">
        <f t="shared" si="100"/>
        <v>1387</v>
      </c>
      <c r="G300" s="29">
        <v>5449</v>
      </c>
      <c r="H300" s="29">
        <v>1388</v>
      </c>
      <c r="I300" s="29">
        <v>1489</v>
      </c>
      <c r="J300" s="43">
        <f>J297*(I300/I297+E300/E297-D300/D297)</f>
        <v>1472.8523176188694</v>
      </c>
      <c r="K300" s="11" t="s">
        <v>237</v>
      </c>
    </row>
    <row r="301" ht="15" customHeight="1">
      <c r="A301" s="1"/>
      <c r="B301" s="3" t="s">
        <v>240</v>
      </c>
      <c r="C301" s="50">
        <f t="shared" si="101" ref="C301:J315">C297-C298-C299-C300</f>
        <v>1609</v>
      </c>
      <c r="D301" s="50">
        <f t="shared" si="101"/>
        <v>1796</v>
      </c>
      <c r="E301" s="50">
        <f t="shared" si="101"/>
        <v>1829</v>
      </c>
      <c r="F301" s="50">
        <f t="shared" si="101"/>
        <v>1978</v>
      </c>
      <c r="G301" s="50">
        <f t="shared" si="101"/>
        <v>7212</v>
      </c>
      <c r="H301" s="50">
        <f t="shared" si="101"/>
        <v>1893</v>
      </c>
      <c r="I301" s="50">
        <f t="shared" si="101"/>
        <v>1969</v>
      </c>
      <c r="J301" s="51">
        <f t="shared" si="101"/>
        <v>1976.5648704705202</v>
      </c>
      <c r="K301" s="11" t="s">
        <v>241</v>
      </c>
    </row>
    <row r="302" ht="15" customHeight="1">
      <c r="A302" s="1"/>
      <c r="B302" s="4" t="s">
        <v>145</v>
      </c>
      <c r="C302" s="44">
        <f t="shared" si="102" ref="C302:J302">C301/C315-1</f>
        <v>0.18308823529411766</v>
      </c>
      <c r="D302" s="44">
        <f t="shared" si="102"/>
        <v>0.19177173191771724</v>
      </c>
      <c r="E302" s="44">
        <f t="shared" si="102"/>
        <v>0.2088565763384005</v>
      </c>
      <c r="F302" s="44">
        <f t="shared" si="102"/>
        <v>0.11562323745064851</v>
      </c>
      <c r="G302" s="44">
        <f t="shared" si="102"/>
        <v>0.17211116528522674</v>
      </c>
      <c r="H302" s="44">
        <f t="shared" si="102"/>
        <v>0.17650714729645745</v>
      </c>
      <c r="I302" s="44">
        <f t="shared" si="102"/>
        <v>0.09632516703786198</v>
      </c>
      <c r="J302" s="38">
        <f t="shared" si="102"/>
        <v>0.08068062901614015</v>
      </c>
      <c r="K302" s="11"/>
    </row>
    <row r="303" ht="15" customHeight="1">
      <c r="A303" s="1"/>
      <c r="B303" s="4" t="s">
        <v>242</v>
      </c>
      <c r="C303" s="44">
        <f t="shared" si="103" ref="C303:J303">1-C298/C297</f>
        <v>0.6735444330949949</v>
      </c>
      <c r="D303" s="44">
        <f t="shared" si="103"/>
        <v>0.672564723412181</v>
      </c>
      <c r="E303" s="44">
        <f t="shared" si="103"/>
        <v>0.6756607929515419</v>
      </c>
      <c r="F303" s="44">
        <f t="shared" si="103"/>
        <v>0.6740088105726872</v>
      </c>
      <c r="G303" s="44">
        <f t="shared" si="103"/>
        <v>0.673960817318932</v>
      </c>
      <c r="H303" s="44">
        <f t="shared" si="103"/>
        <v>0.6725040621050731</v>
      </c>
      <c r="I303" s="44">
        <f t="shared" si="103"/>
        <v>0.6711088330770545</v>
      </c>
      <c r="J303" s="38">
        <f t="shared" si="103"/>
        <v>0.6742049026164154</v>
      </c>
      <c r="K303" s="11"/>
    </row>
    <row r="304" ht="15" customHeight="1">
      <c r="A304" s="1"/>
      <c r="B304" s="4" t="s">
        <v>149</v>
      </c>
      <c r="C304" s="47">
        <f t="shared" si="104" ref="C304:J304">(C303-(1-C312/C311))*10000</f>
        <v>209.50676077253982</v>
      </c>
      <c r="D304" s="47">
        <f t="shared" si="104"/>
        <v>162.4871158286112</v>
      </c>
      <c r="E304" s="47">
        <f t="shared" si="104"/>
        <v>137.69071864539572</v>
      </c>
      <c r="F304" s="47">
        <f t="shared" si="104"/>
        <v>-35.44633607835301</v>
      </c>
      <c r="G304" s="47">
        <f t="shared" si="104"/>
        <v>114.72668156391141</v>
      </c>
      <c r="H304" s="47">
        <f t="shared" si="104"/>
        <v>-10.403709899218239</v>
      </c>
      <c r="I304" s="47">
        <f t="shared" si="104"/>
        <v>-14.558903351264973</v>
      </c>
      <c r="J304" s="48">
        <f t="shared" si="104"/>
        <v>-14.558903351264973</v>
      </c>
      <c r="K304" s="11" t="s">
        <v>401</v>
      </c>
    </row>
    <row r="305" ht="15" customHeight="1">
      <c r="A305" s="1"/>
      <c r="B305" s="4" t="s">
        <v>244</v>
      </c>
      <c r="C305" s="44">
        <f t="shared" si="105" ref="C305:J305">C299/C297</f>
        <v>0.08192032686414709</v>
      </c>
      <c r="D305" s="44">
        <f t="shared" si="105"/>
        <v>0.08008940212330043</v>
      </c>
      <c r="E305" s="44">
        <f t="shared" si="105"/>
        <v>0.08480176211453745</v>
      </c>
      <c r="F305" s="44">
        <f t="shared" si="105"/>
        <v>0.08105726872246696</v>
      </c>
      <c r="G305" s="44">
        <f t="shared" si="105"/>
        <v>0.08196568008603357</v>
      </c>
      <c r="H305" s="44">
        <f t="shared" si="105"/>
        <v>0.08015887344285973</v>
      </c>
      <c r="I305" s="44">
        <f t="shared" si="105"/>
        <v>0.0803007004954724</v>
      </c>
      <c r="J305" s="38">
        <f t="shared" si="105"/>
        <v>0.08501306048670942</v>
      </c>
      <c r="K305" s="11"/>
    </row>
    <row r="306" ht="15" customHeight="1">
      <c r="A306" s="1"/>
      <c r="B306" s="4" t="s">
        <v>149</v>
      </c>
      <c r="C306" s="47">
        <f t="shared" si="106" ref="C306:J306">(C305-(C313/C311))*10000</f>
        <v>-7.2058937209813765</v>
      </c>
      <c r="D306" s="47">
        <f t="shared" si="106"/>
        <v>0.30255524229874653</v>
      </c>
      <c r="E306" s="47">
        <f t="shared" si="106"/>
        <v>-11.472583194208353</v>
      </c>
      <c r="F306" s="47">
        <f t="shared" si="106"/>
        <v>36.62177669418662</v>
      </c>
      <c r="G306" s="47">
        <f t="shared" si="106"/>
        <v>5.372591442870251</v>
      </c>
      <c r="H306" s="47">
        <f t="shared" si="106"/>
        <v>-17.61453421287362</v>
      </c>
      <c r="I306" s="47">
        <f t="shared" si="106"/>
        <v>2.1129837217197247</v>
      </c>
      <c r="J306" s="48">
        <f t="shared" si="106"/>
        <v>2.1129837217197247</v>
      </c>
      <c r="K306" s="11" t="s">
        <v>402</v>
      </c>
    </row>
    <row r="307" ht="15" customHeight="1">
      <c r="A307" s="1"/>
      <c r="B307" s="4" t="s">
        <v>246</v>
      </c>
      <c r="C307" s="44">
        <f t="shared" si="107" ref="C307:J307">C300/C297</f>
        <v>0.26292134831460673</v>
      </c>
      <c r="D307" s="44">
        <f t="shared" si="107"/>
        <v>0.2579623766064444</v>
      </c>
      <c r="E307" s="44">
        <f t="shared" si="107"/>
        <v>0.2551395007342144</v>
      </c>
      <c r="F307" s="44">
        <f t="shared" si="107"/>
        <v>0.24440528634361233</v>
      </c>
      <c r="G307" s="44">
        <f t="shared" si="107"/>
        <v>0.25478094169355214</v>
      </c>
      <c r="H307" s="44">
        <f t="shared" si="107"/>
        <v>0.25058674851056145</v>
      </c>
      <c r="I307" s="44">
        <f t="shared" si="107"/>
        <v>0.2543994532718264</v>
      </c>
      <c r="J307" s="38">
        <f t="shared" si="107"/>
        <v>0.2515765773995964</v>
      </c>
      <c r="K307" s="11"/>
    </row>
    <row r="308" ht="15" customHeight="1">
      <c r="A308" s="1"/>
      <c r="B308" s="4" t="s">
        <v>149</v>
      </c>
      <c r="C308" s="47">
        <f t="shared" si="108" ref="C308:J308">(C307-(C314/C311))*10000</f>
        <v>-16.194107242434864</v>
      </c>
      <c r="D308" s="47">
        <f t="shared" si="108"/>
        <v>0.409570880666732</v>
      </c>
      <c r="E308" s="47">
        <f t="shared" si="108"/>
        <v>-20.7558247623435</v>
      </c>
      <c r="F308" s="47">
        <f t="shared" si="108"/>
        <v>-48.02948019016318</v>
      </c>
      <c r="G308" s="47">
        <f t="shared" si="108"/>
        <v>-21.97884810187456</v>
      </c>
      <c r="H308" s="47">
        <f t="shared" si="108"/>
        <v>-123.34599804045277</v>
      </c>
      <c r="I308" s="47">
        <f t="shared" si="108"/>
        <v>-35.62923334617996</v>
      </c>
      <c r="J308" s="48">
        <f t="shared" si="108"/>
        <v>-35.62923334617996</v>
      </c>
      <c r="K308" s="11" t="s">
        <v>402</v>
      </c>
    </row>
    <row r="309" ht="15" customHeight="1">
      <c r="A309" s="1"/>
      <c r="B309" s="4" t="s">
        <v>247</v>
      </c>
      <c r="C309" s="44">
        <f t="shared" si="109" ref="C309:J309">C301/C297</f>
        <v>0.32870275791624104</v>
      </c>
      <c r="D309" s="44">
        <f t="shared" si="109"/>
        <v>0.3345129446824362</v>
      </c>
      <c r="E309" s="44">
        <f t="shared" si="109"/>
        <v>0.33571953010279</v>
      </c>
      <c r="F309" s="44">
        <f t="shared" si="109"/>
        <v>0.34854625550660795</v>
      </c>
      <c r="G309" s="44">
        <f t="shared" si="109"/>
        <v>0.33721419553934634</v>
      </c>
      <c r="H309" s="44">
        <f t="shared" si="109"/>
        <v>0.3417584401516519</v>
      </c>
      <c r="I309" s="44">
        <f t="shared" si="109"/>
        <v>0.33640867930975565</v>
      </c>
      <c r="J309" s="38">
        <f t="shared" si="109"/>
        <v>0.33761526473010955</v>
      </c>
      <c r="K309" s="11"/>
    </row>
    <row r="310" ht="15" customHeight="1">
      <c r="A310" s="1"/>
      <c r="B310" s="4" t="s">
        <v>149</v>
      </c>
      <c r="C310" s="47">
        <f t="shared" si="110" ref="C310:J310">(C309-(C315/C311))*10000</f>
        <v>232.90676173595648</v>
      </c>
      <c r="D310" s="47">
        <f t="shared" si="110"/>
        <v>161.77498970564642</v>
      </c>
      <c r="E310" s="47">
        <f t="shared" si="110"/>
        <v>169.91912660194674</v>
      </c>
      <c r="F310" s="47">
        <f t="shared" si="110"/>
        <v>-24.038632582376597</v>
      </c>
      <c r="G310" s="47">
        <f t="shared" si="110"/>
        <v>131.3329382229167</v>
      </c>
      <c r="H310" s="47">
        <f t="shared" si="110"/>
        <v>130.5568223541087</v>
      </c>
      <c r="I310" s="47">
        <f t="shared" si="110"/>
        <v>18.957346273194563</v>
      </c>
      <c r="J310" s="48">
        <f t="shared" si="110"/>
        <v>18.957346273195675</v>
      </c>
      <c r="K310" s="11" t="s">
        <v>402</v>
      </c>
    </row>
    <row r="311" ht="15" customHeight="1">
      <c r="A311" s="1"/>
      <c r="B311" s="1" t="s">
        <v>248</v>
      </c>
      <c r="C311" s="33">
        <f t="shared" si="111" ref="C311:J311">C294</f>
        <v>4453</v>
      </c>
      <c r="D311" s="33">
        <f t="shared" si="111"/>
        <v>4734</v>
      </c>
      <c r="E311" s="33">
        <f t="shared" si="111"/>
        <v>4747</v>
      </c>
      <c r="F311" s="33">
        <f t="shared" si="111"/>
        <v>5052</v>
      </c>
      <c r="G311" s="33">
        <f t="shared" si="111"/>
        <v>18986</v>
      </c>
      <c r="H311" s="33">
        <f t="shared" si="111"/>
        <v>4895</v>
      </c>
      <c r="I311" s="33">
        <f t="shared" si="111"/>
        <v>5369</v>
      </c>
      <c r="J311" s="43">
        <f t="shared" si="111"/>
        <v>5448</v>
      </c>
      <c r="K311" s="11"/>
    </row>
    <row r="312" ht="15" customHeight="1">
      <c r="A312" s="1"/>
      <c r="B312" s="1" t="s">
        <v>249</v>
      </c>
      <c r="C312" s="29">
        <v>1547</v>
      </c>
      <c r="D312" s="29">
        <v>1627</v>
      </c>
      <c r="E312" s="29">
        <v>1605</v>
      </c>
      <c r="F312" s="33">
        <f t="shared" si="100"/>
        <v>1629</v>
      </c>
      <c r="G312" s="29">
        <v>6408</v>
      </c>
      <c r="H312" s="33">
        <f t="shared" si="112" ref="H312:J314">C298</f>
        <v>1598</v>
      </c>
      <c r="I312" s="33">
        <f t="shared" si="112"/>
        <v>1758</v>
      </c>
      <c r="J312" s="43">
        <f t="shared" si="112"/>
        <v>1767</v>
      </c>
      <c r="K312" s="11" t="s">
        <v>250</v>
      </c>
    </row>
    <row r="313" ht="15" customHeight="1">
      <c r="A313" s="1"/>
      <c r="B313" s="1" t="s">
        <v>251</v>
      </c>
      <c r="C313" s="29">
        <v>368</v>
      </c>
      <c r="D313" s="29">
        <v>379</v>
      </c>
      <c r="E313" s="29">
        <v>408</v>
      </c>
      <c r="F313" s="33">
        <f t="shared" si="100"/>
        <v>391</v>
      </c>
      <c r="G313" s="29">
        <v>1546</v>
      </c>
      <c r="H313" s="33">
        <f t="shared" si="112"/>
        <v>401</v>
      </c>
      <c r="I313" s="33">
        <f t="shared" si="112"/>
        <v>430</v>
      </c>
      <c r="J313" s="43">
        <f t="shared" si="112"/>
        <v>462</v>
      </c>
      <c r="K313" s="11" t="s">
        <v>250</v>
      </c>
    </row>
    <row r="314" ht="15" customHeight="1">
      <c r="A314" s="1"/>
      <c r="B314" s="1" t="s">
        <v>252</v>
      </c>
      <c r="C314" s="29">
        <v>1178</v>
      </c>
      <c r="D314" s="29">
        <v>1221</v>
      </c>
      <c r="E314" s="29">
        <v>1221</v>
      </c>
      <c r="F314" s="33">
        <f t="shared" si="100"/>
        <v>1259</v>
      </c>
      <c r="G314" s="29">
        <v>4879</v>
      </c>
      <c r="H314" s="33">
        <f t="shared" si="112"/>
        <v>1287</v>
      </c>
      <c r="I314" s="33">
        <f t="shared" si="112"/>
        <v>1385</v>
      </c>
      <c r="J314" s="43">
        <f t="shared" si="112"/>
        <v>1390</v>
      </c>
      <c r="K314" s="11" t="s">
        <v>250</v>
      </c>
    </row>
    <row r="315" ht="15" customHeight="1">
      <c r="A315" s="1"/>
      <c r="B315" s="3" t="s">
        <v>253</v>
      </c>
      <c r="C315" s="50">
        <f t="shared" si="101"/>
        <v>1360</v>
      </c>
      <c r="D315" s="50">
        <f t="shared" si="101"/>
        <v>1507</v>
      </c>
      <c r="E315" s="50">
        <f t="shared" si="101"/>
        <v>1513</v>
      </c>
      <c r="F315" s="50">
        <f t="shared" si="101"/>
        <v>1773</v>
      </c>
      <c r="G315" s="50">
        <f t="shared" si="101"/>
        <v>6153</v>
      </c>
      <c r="H315" s="50">
        <f t="shared" si="101"/>
        <v>1609</v>
      </c>
      <c r="I315" s="50">
        <f t="shared" si="101"/>
        <v>1796</v>
      </c>
      <c r="J315" s="51">
        <f t="shared" si="101"/>
        <v>1829</v>
      </c>
      <c r="K315" s="11"/>
    </row>
    <row r="316" ht="15" customHeight="1">
      <c r="A316" s="1"/>
      <c r="B316" s="1"/>
      <c r="C316" s="1"/>
      <c r="D316" s="1"/>
      <c r="E316" s="1"/>
      <c r="F316" s="1"/>
      <c r="G316" s="1"/>
      <c r="H316" s="1"/>
      <c r="I316" s="1"/>
      <c r="J316" s="35"/>
      <c r="K316" s="11"/>
    </row>
    <row r="317" ht="15" customHeight="1">
      <c r="A317" s="1"/>
      <c r="B317" s="3" t="s">
        <v>254</v>
      </c>
      <c r="C317" s="1"/>
      <c r="D317" s="1"/>
      <c r="E317" s="1"/>
      <c r="F317" s="1"/>
      <c r="G317" s="1"/>
      <c r="H317" s="1"/>
      <c r="I317" s="1"/>
      <c r="J317" s="35"/>
      <c r="K317" s="11"/>
    </row>
    <row r="318" ht="15" customHeight="1">
      <c r="A318" s="1"/>
      <c r="B318" s="1" t="s">
        <v>403</v>
      </c>
      <c r="C318" s="29">
        <v>271</v>
      </c>
      <c r="D318" s="29">
        <v>292</v>
      </c>
      <c r="E318" s="29">
        <v>288</v>
      </c>
      <c r="F318" s="33">
        <f t="shared" si="100"/>
        <v>303</v>
      </c>
      <c r="G318" s="29">
        <v>1154</v>
      </c>
      <c r="H318" s="33">
        <f t="shared" si="113" ref="H318:J318">C11</f>
        <v>304</v>
      </c>
      <c r="I318" s="33">
        <f t="shared" si="113"/>
        <v>340</v>
      </c>
      <c r="J318" s="43">
        <f t="shared" si="113"/>
        <v>350</v>
      </c>
      <c r="K318" s="11" t="s">
        <v>256</v>
      </c>
    </row>
    <row r="319" ht="15" customHeight="1">
      <c r="A319" s="1"/>
      <c r="B319" s="1" t="s">
        <v>404</v>
      </c>
      <c r="C319" s="29">
        <v>291</v>
      </c>
      <c r="D319" s="29">
        <v>315</v>
      </c>
      <c r="E319" s="29">
        <v>309</v>
      </c>
      <c r="F319" s="33">
        <f t="shared" si="100"/>
        <v>321</v>
      </c>
      <c r="G319" s="29">
        <v>1236</v>
      </c>
      <c r="H319" s="33">
        <f t="shared" si="114" ref="H319:J319">C16</f>
        <v>281</v>
      </c>
      <c r="I319" s="33">
        <f t="shared" si="114"/>
        <v>333</v>
      </c>
      <c r="J319" s="43">
        <f t="shared" si="114"/>
        <v>336</v>
      </c>
      <c r="K319" s="11" t="s">
        <v>256</v>
      </c>
    </row>
    <row r="320" ht="15" customHeight="1">
      <c r="A320" s="1"/>
      <c r="B320" s="3" t="s">
        <v>405</v>
      </c>
      <c r="C320" s="50">
        <f t="shared" si="19"/>
        <v>562</v>
      </c>
      <c r="D320" s="50">
        <f t="shared" si="19"/>
        <v>607</v>
      </c>
      <c r="E320" s="50">
        <f t="shared" si="19"/>
        <v>597</v>
      </c>
      <c r="F320" s="50">
        <f t="shared" si="19"/>
        <v>624</v>
      </c>
      <c r="G320" s="50">
        <f t="shared" si="19"/>
        <v>2390</v>
      </c>
      <c r="H320" s="50">
        <f t="shared" si="19"/>
        <v>585</v>
      </c>
      <c r="I320" s="50">
        <f t="shared" si="19"/>
        <v>673</v>
      </c>
      <c r="J320" s="51">
        <f t="shared" si="19"/>
        <v>686</v>
      </c>
      <c r="K320" s="11"/>
    </row>
    <row r="321" ht="15" customHeight="1">
      <c r="A321" s="1"/>
      <c r="B321" s="1" t="s">
        <v>406</v>
      </c>
      <c r="C321" s="29">
        <v>269</v>
      </c>
      <c r="D321" s="29">
        <v>287</v>
      </c>
      <c r="E321" s="29">
        <v>285</v>
      </c>
      <c r="F321" s="33">
        <f t="shared" si="100"/>
        <v>300</v>
      </c>
      <c r="G321" s="29">
        <v>1141</v>
      </c>
      <c r="H321" s="33">
        <f t="shared" si="115" ref="H321:J321">C44+H75</f>
        <v>333</v>
      </c>
      <c r="I321" s="33">
        <f t="shared" si="115"/>
        <v>362</v>
      </c>
      <c r="J321" s="43">
        <f t="shared" si="115"/>
        <v>362</v>
      </c>
      <c r="K321" s="11" t="s">
        <v>407</v>
      </c>
    </row>
    <row r="322" ht="15" customHeight="1">
      <c r="A322" s="1"/>
      <c r="B322" s="1" t="s">
        <v>408</v>
      </c>
      <c r="C322" s="29">
        <v>318</v>
      </c>
      <c r="D322" s="29">
        <v>340</v>
      </c>
      <c r="E322" s="29">
        <v>325</v>
      </c>
      <c r="F322" s="33">
        <f t="shared" si="100"/>
        <v>343</v>
      </c>
      <c r="G322" s="29">
        <v>1326</v>
      </c>
      <c r="H322" s="33">
        <f t="shared" si="116" ref="H322:J322">C49+H76</f>
        <v>342</v>
      </c>
      <c r="I322" s="33">
        <f t="shared" si="116"/>
        <v>393</v>
      </c>
      <c r="J322" s="43">
        <f t="shared" si="116"/>
        <v>398</v>
      </c>
      <c r="K322" s="11" t="s">
        <v>407</v>
      </c>
    </row>
    <row r="323" ht="15" customHeight="1">
      <c r="A323" s="1"/>
      <c r="B323" s="3" t="s">
        <v>409</v>
      </c>
      <c r="C323" s="50">
        <f t="shared" si="19"/>
        <v>587</v>
      </c>
      <c r="D323" s="50">
        <f t="shared" si="19"/>
        <v>627</v>
      </c>
      <c r="E323" s="50">
        <f t="shared" si="19"/>
        <v>610</v>
      </c>
      <c r="F323" s="50">
        <f t="shared" si="19"/>
        <v>643</v>
      </c>
      <c r="G323" s="50">
        <f t="shared" si="19"/>
        <v>2467</v>
      </c>
      <c r="H323" s="50">
        <f t="shared" si="19"/>
        <v>675</v>
      </c>
      <c r="I323" s="50">
        <f t="shared" si="19"/>
        <v>755</v>
      </c>
      <c r="J323" s="51">
        <f t="shared" si="19"/>
        <v>760</v>
      </c>
      <c r="K323" s="11"/>
    </row>
    <row r="324" ht="15" customHeight="1">
      <c r="A324" s="1"/>
      <c r="B324" s="1" t="s">
        <v>410</v>
      </c>
      <c r="C324" s="29">
        <v>237</v>
      </c>
      <c r="D324" s="29">
        <v>244</v>
      </c>
      <c r="E324" s="29">
        <v>252</v>
      </c>
      <c r="F324" s="33">
        <f t="shared" si="100"/>
        <v>253</v>
      </c>
      <c r="G324" s="29">
        <v>986</v>
      </c>
      <c r="H324" s="33">
        <f t="shared" si="117" ref="H324:J324">C79</f>
        <v>262</v>
      </c>
      <c r="I324" s="33">
        <f t="shared" si="117"/>
        <v>282</v>
      </c>
      <c r="J324" s="43">
        <f t="shared" si="117"/>
        <v>280</v>
      </c>
      <c r="K324" s="11" t="s">
        <v>256</v>
      </c>
    </row>
    <row r="325" ht="15" customHeight="1">
      <c r="A325" s="1"/>
      <c r="B325" s="1" t="s">
        <v>411</v>
      </c>
      <c r="C325" s="29">
        <v>68</v>
      </c>
      <c r="D325" s="29">
        <v>77</v>
      </c>
      <c r="E325" s="29">
        <v>70</v>
      </c>
      <c r="F325" s="33">
        <f t="shared" si="100"/>
        <v>78</v>
      </c>
      <c r="G325" s="29">
        <v>293</v>
      </c>
      <c r="H325" s="33">
        <f t="shared" si="118" ref="H325:J325">C84</f>
        <v>77</v>
      </c>
      <c r="I325" s="33">
        <f t="shared" si="118"/>
        <v>86</v>
      </c>
      <c r="J325" s="43">
        <f t="shared" si="118"/>
        <v>86</v>
      </c>
      <c r="K325" s="11" t="s">
        <v>256</v>
      </c>
    </row>
    <row r="326" ht="15" customHeight="1">
      <c r="A326" s="1"/>
      <c r="B326" s="3" t="s">
        <v>412</v>
      </c>
      <c r="C326" s="50">
        <f t="shared" si="19"/>
        <v>305</v>
      </c>
      <c r="D326" s="50">
        <f t="shared" si="19"/>
        <v>321</v>
      </c>
      <c r="E326" s="50">
        <f t="shared" si="19"/>
        <v>322</v>
      </c>
      <c r="F326" s="50">
        <f t="shared" si="19"/>
        <v>331</v>
      </c>
      <c r="G326" s="50">
        <f t="shared" si="19"/>
        <v>1279</v>
      </c>
      <c r="H326" s="50">
        <f t="shared" si="19"/>
        <v>339</v>
      </c>
      <c r="I326" s="50">
        <f t="shared" si="19"/>
        <v>368</v>
      </c>
      <c r="J326" s="51">
        <f t="shared" si="19"/>
        <v>366</v>
      </c>
      <c r="K326" s="11"/>
    </row>
    <row r="327" ht="15" customHeight="1">
      <c r="A327" s="1"/>
      <c r="B327" s="1" t="s">
        <v>413</v>
      </c>
      <c r="C327" s="29">
        <v>254</v>
      </c>
      <c r="D327" s="29">
        <v>275</v>
      </c>
      <c r="E327" s="29">
        <v>258</v>
      </c>
      <c r="F327" s="33">
        <f t="shared" si="100"/>
        <v>269</v>
      </c>
      <c r="G327" s="29">
        <v>1056</v>
      </c>
      <c r="H327" s="33">
        <f t="shared" si="119" ref="H327:J327">C112</f>
        <v>268</v>
      </c>
      <c r="I327" s="33">
        <f t="shared" si="119"/>
        <v>283</v>
      </c>
      <c r="J327" s="43">
        <f t="shared" si="119"/>
        <v>280</v>
      </c>
      <c r="K327" s="11" t="s">
        <v>256</v>
      </c>
    </row>
    <row r="328" ht="15" customHeight="1">
      <c r="A328" s="1"/>
      <c r="B328" s="1" t="s">
        <v>414</v>
      </c>
      <c r="C328" s="29">
        <v>435</v>
      </c>
      <c r="D328" s="29">
        <v>449</v>
      </c>
      <c r="E328" s="29">
        <v>441</v>
      </c>
      <c r="F328" s="33">
        <f t="shared" si="100"/>
        <v>456</v>
      </c>
      <c r="G328" s="29">
        <v>1781</v>
      </c>
      <c r="H328" s="33">
        <f t="shared" si="120" ref="H328:J328">C117</f>
        <v>442</v>
      </c>
      <c r="I328" s="33">
        <f t="shared" si="120"/>
        <v>474</v>
      </c>
      <c r="J328" s="43">
        <f t="shared" si="120"/>
        <v>465</v>
      </c>
      <c r="K328" s="11" t="s">
        <v>256</v>
      </c>
    </row>
    <row r="329" ht="15" customHeight="1">
      <c r="A329" s="1"/>
      <c r="B329" s="3" t="s">
        <v>415</v>
      </c>
      <c r="C329" s="50">
        <f t="shared" si="19"/>
        <v>689</v>
      </c>
      <c r="D329" s="50">
        <f t="shared" si="19"/>
        <v>724</v>
      </c>
      <c r="E329" s="50">
        <f t="shared" si="19"/>
        <v>699</v>
      </c>
      <c r="F329" s="50">
        <f t="shared" si="19"/>
        <v>725</v>
      </c>
      <c r="G329" s="50">
        <f t="shared" si="19"/>
        <v>2837</v>
      </c>
      <c r="H329" s="50">
        <f t="shared" si="19"/>
        <v>710</v>
      </c>
      <c r="I329" s="50">
        <f t="shared" si="19"/>
        <v>757</v>
      </c>
      <c r="J329" s="51">
        <f t="shared" si="19"/>
        <v>745</v>
      </c>
      <c r="K329" s="11"/>
    </row>
    <row r="330" ht="15" customHeight="1">
      <c r="A330" s="1"/>
      <c r="B330" s="1" t="s">
        <v>416</v>
      </c>
      <c r="C330" s="29">
        <v>233</v>
      </c>
      <c r="D330" s="29">
        <v>258</v>
      </c>
      <c r="E330" s="29">
        <v>270</v>
      </c>
      <c r="F330" s="33">
        <f t="shared" si="100"/>
        <v>290</v>
      </c>
      <c r="G330" s="29">
        <v>1051</v>
      </c>
      <c r="H330" s="33">
        <f t="shared" si="121" ref="H330:J330">C145-H75</f>
        <v>248</v>
      </c>
      <c r="I330" s="33">
        <f t="shared" si="121"/>
        <v>249</v>
      </c>
      <c r="J330" s="43">
        <f t="shared" si="121"/>
        <v>257</v>
      </c>
      <c r="K330" s="11" t="s">
        <v>407</v>
      </c>
    </row>
    <row r="331" ht="15" customHeight="1">
      <c r="A331" s="1"/>
      <c r="B331" s="1" t="s">
        <v>417</v>
      </c>
      <c r="C331" s="29">
        <v>282</v>
      </c>
      <c r="D331" s="29">
        <v>306</v>
      </c>
      <c r="E331" s="29">
        <v>288</v>
      </c>
      <c r="F331" s="33">
        <f t="shared" si="100"/>
        <v>319</v>
      </c>
      <c r="G331" s="29">
        <v>1195</v>
      </c>
      <c r="H331" s="33">
        <f t="shared" si="122" ref="H331:J331">C150-H76</f>
        <v>283</v>
      </c>
      <c r="I331" s="33">
        <f t="shared" si="122"/>
        <v>332</v>
      </c>
      <c r="J331" s="43">
        <f t="shared" si="122"/>
        <v>323</v>
      </c>
      <c r="K331" s="11" t="s">
        <v>407</v>
      </c>
    </row>
    <row r="332" ht="15" customHeight="1">
      <c r="A332" s="1"/>
      <c r="B332" s="3" t="s">
        <v>418</v>
      </c>
      <c r="C332" s="50">
        <f t="shared" si="19"/>
        <v>515</v>
      </c>
      <c r="D332" s="50">
        <f t="shared" si="19"/>
        <v>564</v>
      </c>
      <c r="E332" s="50">
        <f t="shared" si="19"/>
        <v>558</v>
      </c>
      <c r="F332" s="50">
        <f t="shared" si="19"/>
        <v>609</v>
      </c>
      <c r="G332" s="50">
        <f t="shared" si="19"/>
        <v>2246</v>
      </c>
      <c r="H332" s="50">
        <f t="shared" si="19"/>
        <v>531</v>
      </c>
      <c r="I332" s="50">
        <f t="shared" si="19"/>
        <v>581</v>
      </c>
      <c r="J332" s="51">
        <f t="shared" si="19"/>
        <v>580</v>
      </c>
      <c r="K332" s="11"/>
    </row>
    <row r="333" ht="15" customHeight="1">
      <c r="A333" s="1"/>
      <c r="B333" s="1" t="s">
        <v>419</v>
      </c>
      <c r="C333" s="29">
        <v>181</v>
      </c>
      <c r="D333" s="29">
        <v>192</v>
      </c>
      <c r="E333" s="29">
        <v>190</v>
      </c>
      <c r="F333" s="33">
        <f t="shared" si="100"/>
        <v>204</v>
      </c>
      <c r="G333" s="29">
        <v>767</v>
      </c>
      <c r="H333" s="33">
        <f t="shared" si="123" ref="H333:J333">C181</f>
        <v>176</v>
      </c>
      <c r="I333" s="33">
        <f t="shared" si="123"/>
        <v>193</v>
      </c>
      <c r="J333" s="43">
        <f t="shared" si="123"/>
        <v>196</v>
      </c>
      <c r="K333" s="11" t="s">
        <v>256</v>
      </c>
    </row>
    <row r="334" ht="15" customHeight="1">
      <c r="A334" s="1"/>
      <c r="B334" s="1" t="s">
        <v>420</v>
      </c>
      <c r="C334" s="29">
        <v>45</v>
      </c>
      <c r="D334" s="29">
        <v>51</v>
      </c>
      <c r="E334" s="29">
        <v>46</v>
      </c>
      <c r="F334" s="33">
        <f t="shared" si="100"/>
        <v>53</v>
      </c>
      <c r="G334" s="29">
        <v>195</v>
      </c>
      <c r="H334" s="33">
        <f t="shared" si="124" ref="H334:J334">C186</f>
        <v>52</v>
      </c>
      <c r="I334" s="33">
        <f t="shared" si="124"/>
        <v>61</v>
      </c>
      <c r="J334" s="43">
        <f t="shared" si="124"/>
        <v>58</v>
      </c>
      <c r="K334" s="11" t="s">
        <v>256</v>
      </c>
    </row>
    <row r="335" ht="15" customHeight="1">
      <c r="A335" s="1"/>
      <c r="B335" s="3" t="s">
        <v>421</v>
      </c>
      <c r="C335" s="50">
        <f t="shared" si="19"/>
        <v>226</v>
      </c>
      <c r="D335" s="50">
        <f t="shared" si="19"/>
        <v>243</v>
      </c>
      <c r="E335" s="50">
        <f t="shared" si="19"/>
        <v>236</v>
      </c>
      <c r="F335" s="50">
        <f t="shared" si="19"/>
        <v>257</v>
      </c>
      <c r="G335" s="50">
        <f t="shared" si="19"/>
        <v>962</v>
      </c>
      <c r="H335" s="50">
        <f t="shared" si="19"/>
        <v>228</v>
      </c>
      <c r="I335" s="50">
        <f t="shared" si="19"/>
        <v>254</v>
      </c>
      <c r="J335" s="51">
        <f t="shared" si="19"/>
        <v>254</v>
      </c>
      <c r="K335" s="11"/>
    </row>
    <row r="336" ht="15" customHeight="1">
      <c r="A336" s="1"/>
      <c r="B336" s="1" t="s">
        <v>422</v>
      </c>
      <c r="C336" s="29">
        <v>589</v>
      </c>
      <c r="D336" s="29">
        <v>637</v>
      </c>
      <c r="E336" s="29">
        <v>673</v>
      </c>
      <c r="F336" s="33">
        <f t="shared" si="100"/>
        <v>734</v>
      </c>
      <c r="G336" s="29">
        <v>2633</v>
      </c>
      <c r="H336" s="33">
        <f t="shared" si="125" ref="H336:J336">C214</f>
        <v>748</v>
      </c>
      <c r="I336" s="33">
        <f t="shared" si="125"/>
        <v>794</v>
      </c>
      <c r="J336" s="43">
        <f t="shared" si="125"/>
        <v>796</v>
      </c>
      <c r="K336" s="11" t="s">
        <v>256</v>
      </c>
    </row>
    <row r="337" ht="15" customHeight="1">
      <c r="A337" s="1"/>
      <c r="B337" s="1" t="s">
        <v>423</v>
      </c>
      <c r="C337" s="29">
        <v>980</v>
      </c>
      <c r="D337" s="29">
        <v>1011</v>
      </c>
      <c r="E337" s="29">
        <v>1052</v>
      </c>
      <c r="F337" s="33">
        <f t="shared" si="100"/>
        <v>1129</v>
      </c>
      <c r="G337" s="29">
        <v>4172</v>
      </c>
      <c r="H337" s="33">
        <f t="shared" si="126" ref="H337:J337">C219</f>
        <v>1079</v>
      </c>
      <c r="I337" s="33">
        <f t="shared" si="126"/>
        <v>1187</v>
      </c>
      <c r="J337" s="43">
        <f t="shared" si="126"/>
        <v>1261</v>
      </c>
      <c r="K337" s="11" t="s">
        <v>256</v>
      </c>
    </row>
    <row r="338" ht="15" customHeight="1">
      <c r="A338" s="1"/>
      <c r="B338" s="3" t="s">
        <v>424</v>
      </c>
      <c r="C338" s="50">
        <f t="shared" si="19"/>
        <v>1569</v>
      </c>
      <c r="D338" s="50">
        <f t="shared" si="19"/>
        <v>1648</v>
      </c>
      <c r="E338" s="50">
        <f t="shared" si="19"/>
        <v>1725</v>
      </c>
      <c r="F338" s="50">
        <f t="shared" si="19"/>
        <v>1863</v>
      </c>
      <c r="G338" s="50">
        <f t="shared" si="19"/>
        <v>6805</v>
      </c>
      <c r="H338" s="50">
        <f t="shared" si="19"/>
        <v>1827</v>
      </c>
      <c r="I338" s="50">
        <f t="shared" si="19"/>
        <v>1981</v>
      </c>
      <c r="J338" s="51">
        <f t="shared" si="19"/>
        <v>2057</v>
      </c>
      <c r="K338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E31EB3B-0278-CD24-08F8-C051682A2AD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425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3" t="s">
        <v>426</v>
      </c>
      <c r="C9" s="1"/>
      <c r="D9" s="1"/>
      <c r="E9" s="1"/>
      <c r="F9" s="1"/>
      <c r="G9" s="1"/>
      <c r="H9" s="1"/>
      <c r="I9" s="1"/>
      <c r="J9" s="35"/>
      <c r="K9" s="11"/>
    </row>
    <row r="10" ht="15" customHeight="1">
      <c r="A10" s="1"/>
      <c r="B10" s="3" t="s">
        <v>427</v>
      </c>
      <c r="C10" s="39">
        <f>'Revenue summary'!C74</f>
        <v>10358</v>
      </c>
      <c r="D10" s="39">
        <f>'Revenue summary'!D74</f>
        <v>11142</v>
      </c>
      <c r="E10" s="39">
        <f>'Revenue summary'!E74</f>
        <v>11369</v>
      </c>
      <c r="F10" s="39">
        <f>'Revenue summary'!F74</f>
        <v>11459</v>
      </c>
      <c r="G10" s="39">
        <f>'Revenue summary'!G74</f>
        <v>44328</v>
      </c>
      <c r="H10" s="39">
        <f>'Revenue summary'!H74</f>
        <v>11164</v>
      </c>
      <c r="I10" s="39">
        <f>'Revenue summary'!I74</f>
        <v>12593</v>
      </c>
      <c r="J10" s="40">
        <f>'Revenue summary'!J74</f>
        <v>12921.353943404734</v>
      </c>
      <c r="K10" s="11" t="s">
        <v>428</v>
      </c>
    </row>
    <row r="11" ht="15" customHeight="1">
      <c r="A11" s="1"/>
      <c r="B11" s="4" t="s">
        <v>145</v>
      </c>
      <c r="C11" s="41">
        <f>C10/'Revenue summary'!C92-1</f>
        <v>0.03954235246888804</v>
      </c>
      <c r="D11" s="41">
        <f>D10/'Revenue summary'!D92-1</f>
        <v>0.07372072853425848</v>
      </c>
      <c r="E11" s="41">
        <f>E10/'Revenue summary'!E92-1</f>
        <v>0.06901739539257168</v>
      </c>
      <c r="F11" s="41">
        <f>F10/'Revenue summary'!F92-1</f>
        <v>0.0441953708766174</v>
      </c>
      <c r="G11" s="41">
        <f>G10/'Revenue summary'!G92-1</f>
        <v>0.05668653158522052</v>
      </c>
      <c r="H11" s="41">
        <f>H10/'Revenue summary'!H92-1</f>
        <v>0.07781424985518437</v>
      </c>
      <c r="I11" s="41">
        <f>I10/'Revenue summary'!I92-1</f>
        <v>0.1302279662538144</v>
      </c>
      <c r="J11" s="42">
        <f>J10/'Revenue summary'!J92-1</f>
        <v>0.13654269886575188</v>
      </c>
      <c r="K11" s="11"/>
    </row>
    <row r="12" ht="15" customHeight="1">
      <c r="A12" s="1"/>
      <c r="B12" s="1" t="s">
        <v>429</v>
      </c>
      <c r="C12" s="29">
        <v>4468</v>
      </c>
      <c r="D12" s="29">
        <v>4854</v>
      </c>
      <c r="E12" s="29">
        <v>5075</v>
      </c>
      <c r="F12" s="29">
        <v>4922</v>
      </c>
      <c r="G12" s="33">
        <f t="shared" si="3" ref="G12:G64">SUM(C12:F12)</f>
        <v>19319</v>
      </c>
      <c r="H12" s="29">
        <v>4890</v>
      </c>
      <c r="I12" s="29">
        <v>5325</v>
      </c>
      <c r="J12" s="43">
        <f>J71+J61</f>
        <v>5429.1259483431795</v>
      </c>
      <c r="K12" s="11" t="s">
        <v>430</v>
      </c>
    </row>
    <row r="13" ht="15" customHeight="1">
      <c r="A13" s="1"/>
      <c r="B13" s="1" t="s">
        <v>431</v>
      </c>
      <c r="C13" s="29">
        <v>420</v>
      </c>
      <c r="D13" s="29">
        <v>420</v>
      </c>
      <c r="E13" s="29">
        <v>420</v>
      </c>
      <c r="F13" s="29">
        <v>422</v>
      </c>
      <c r="G13" s="33">
        <f t="shared" si="3"/>
        <v>1682</v>
      </c>
      <c r="H13" s="29">
        <v>422</v>
      </c>
      <c r="I13" s="29">
        <v>658</v>
      </c>
      <c r="J13" s="58">
        <v>660</v>
      </c>
      <c r="K13" s="11" t="s">
        <v>432</v>
      </c>
    </row>
    <row r="14" ht="15" customHeight="1">
      <c r="A14" s="1"/>
      <c r="B14" s="3" t="s">
        <v>433</v>
      </c>
      <c r="C14" s="50">
        <f t="shared" si="4" ref="C14:J14">C10-C12-C13</f>
        <v>5470</v>
      </c>
      <c r="D14" s="50">
        <f t="shared" si="4"/>
        <v>5868</v>
      </c>
      <c r="E14" s="50">
        <f t="shared" si="4"/>
        <v>5874</v>
      </c>
      <c r="F14" s="50">
        <f t="shared" si="4"/>
        <v>6115</v>
      </c>
      <c r="G14" s="50">
        <f t="shared" si="4"/>
        <v>23327</v>
      </c>
      <c r="H14" s="50">
        <f t="shared" si="4"/>
        <v>5852</v>
      </c>
      <c r="I14" s="50">
        <f t="shared" si="4"/>
        <v>6610</v>
      </c>
      <c r="J14" s="51">
        <f t="shared" si="4"/>
        <v>6832.227995061555</v>
      </c>
      <c r="K14" s="11" t="s">
        <v>434</v>
      </c>
    </row>
    <row r="15" ht="15" customHeight="1">
      <c r="A15" s="1"/>
      <c r="B15" s="4" t="s">
        <v>435</v>
      </c>
      <c r="C15" s="44">
        <f t="shared" si="5" ref="C15:J15">C14/C10</f>
        <v>0.5280942266846882</v>
      </c>
      <c r="D15" s="44">
        <f t="shared" si="5"/>
        <v>0.5266558966074314</v>
      </c>
      <c r="E15" s="44">
        <f t="shared" si="5"/>
        <v>0.5166681326413932</v>
      </c>
      <c r="F15" s="44">
        <f t="shared" si="5"/>
        <v>0.5336416790295837</v>
      </c>
      <c r="G15" s="44">
        <f t="shared" si="5"/>
        <v>0.5262362389460387</v>
      </c>
      <c r="H15" s="44">
        <f t="shared" si="5"/>
        <v>0.5241848799713364</v>
      </c>
      <c r="I15" s="44">
        <f t="shared" si="5"/>
        <v>0.5248947828158501</v>
      </c>
      <c r="J15" s="38">
        <f t="shared" si="5"/>
        <v>0.5287548058033681</v>
      </c>
      <c r="K15" s="11"/>
    </row>
    <row r="16" ht="15" customHeight="1">
      <c r="A16" s="1"/>
      <c r="B16" s="4" t="s">
        <v>149</v>
      </c>
      <c r="C16" s="47">
        <f t="shared" si="6" ref="C16:J16">(C15-C113/C112)*10000</f>
        <v>233.7724555261267</v>
      </c>
      <c r="D16" s="47">
        <f t="shared" si="6"/>
        <v>156.2187906864365</v>
      </c>
      <c r="E16" s="47">
        <f t="shared" si="6"/>
        <v>26.107748604811132</v>
      </c>
      <c r="F16" s="47">
        <f t="shared" si="6"/>
        <v>263.5172094684268</v>
      </c>
      <c r="G16" s="47">
        <f t="shared" si="6"/>
        <v>169.1561916057982</v>
      </c>
      <c r="H16" s="47">
        <f t="shared" si="6"/>
        <v>-39.093467133517464</v>
      </c>
      <c r="I16" s="47">
        <f t="shared" si="6"/>
        <v>-17.61113791581281</v>
      </c>
      <c r="J16" s="48">
        <f t="shared" si="6"/>
        <v>120.8667316197487</v>
      </c>
      <c r="K16" s="11"/>
    </row>
    <row r="17" ht="15" customHeight="1">
      <c r="A17" s="1"/>
      <c r="B17" s="1" t="s">
        <v>436</v>
      </c>
      <c r="C17" s="29">
        <v>716</v>
      </c>
      <c r="D17" s="29">
        <v>725</v>
      </c>
      <c r="E17" s="29">
        <v>766</v>
      </c>
      <c r="F17" s="29">
        <v>735</v>
      </c>
      <c r="G17" s="33">
        <f t="shared" si="3"/>
        <v>2942</v>
      </c>
      <c r="H17" s="29">
        <v>767</v>
      </c>
      <c r="I17" s="29">
        <v>892</v>
      </c>
      <c r="J17" s="43">
        <f>J75+J62</f>
        <v>918.5734220949267</v>
      </c>
      <c r="K17" s="11" t="s">
        <v>437</v>
      </c>
    </row>
    <row r="18" ht="15" customHeight="1">
      <c r="A18" s="1"/>
      <c r="B18" s="1" t="s">
        <v>438</v>
      </c>
      <c r="C18" s="29">
        <v>3061</v>
      </c>
      <c r="D18" s="29">
        <v>3091</v>
      </c>
      <c r="E18" s="29">
        <v>3051</v>
      </c>
      <c r="F18" s="29">
        <v>3129</v>
      </c>
      <c r="G18" s="33">
        <f t="shared" si="3"/>
        <v>12332</v>
      </c>
      <c r="H18" s="29">
        <v>3740</v>
      </c>
      <c r="I18" s="29">
        <v>4025</v>
      </c>
      <c r="J18" s="43">
        <f>J78+J63</f>
        <v>3654.215042323112</v>
      </c>
      <c r="K18" s="11" t="s">
        <v>437</v>
      </c>
    </row>
    <row r="19" ht="15" customHeight="1">
      <c r="A19" s="1"/>
      <c r="B19" s="3" t="s">
        <v>439</v>
      </c>
      <c r="C19" s="50">
        <f t="shared" si="7" ref="C19:J19">C12+C13+C17+C18</f>
        <v>8665</v>
      </c>
      <c r="D19" s="50">
        <f t="shared" si="7"/>
        <v>9090</v>
      </c>
      <c r="E19" s="50">
        <f t="shared" si="7"/>
        <v>9312</v>
      </c>
      <c r="F19" s="50">
        <f t="shared" si="7"/>
        <v>9208</v>
      </c>
      <c r="G19" s="50">
        <f t="shared" si="7"/>
        <v>36275</v>
      </c>
      <c r="H19" s="50">
        <f t="shared" si="7"/>
        <v>9819</v>
      </c>
      <c r="I19" s="50">
        <f t="shared" si="7"/>
        <v>10900</v>
      </c>
      <c r="J19" s="51">
        <f t="shared" si="7"/>
        <v>10661.914412761218</v>
      </c>
      <c r="K19" s="11"/>
    </row>
    <row r="20" ht="15" customHeight="1">
      <c r="A20" s="1"/>
      <c r="B20" s="3" t="s">
        <v>440</v>
      </c>
      <c r="C20" s="50">
        <f t="shared" si="8" ref="C20:J20">C10-C19</f>
        <v>1693</v>
      </c>
      <c r="D20" s="50">
        <f t="shared" si="8"/>
        <v>2052</v>
      </c>
      <c r="E20" s="50">
        <f t="shared" si="8"/>
        <v>2057</v>
      </c>
      <c r="F20" s="50">
        <f t="shared" si="8"/>
        <v>2251</v>
      </c>
      <c r="G20" s="50">
        <f t="shared" si="8"/>
        <v>8053</v>
      </c>
      <c r="H20" s="50">
        <f t="shared" si="8"/>
        <v>1345</v>
      </c>
      <c r="I20" s="50">
        <f t="shared" si="8"/>
        <v>1693</v>
      </c>
      <c r="J20" s="51">
        <f t="shared" si="8"/>
        <v>2259.4395306435163</v>
      </c>
      <c r="K20" s="11"/>
    </row>
    <row r="21" ht="15" customHeight="1">
      <c r="A21" s="1"/>
      <c r="B21" s="4" t="s">
        <v>145</v>
      </c>
      <c r="C21" s="44">
        <f t="shared" si="9" ref="C21:J21">C20/C114-1</f>
        <v>0.22150072150072142</v>
      </c>
      <c r="D21" s="44">
        <f t="shared" si="9"/>
        <v>0.2294787297783103</v>
      </c>
      <c r="E21" s="44">
        <f t="shared" si="9"/>
        <v>0.10650887573964507</v>
      </c>
      <c r="F21" s="44">
        <f t="shared" si="9"/>
        <v>0.17791732077446354</v>
      </c>
      <c r="G21" s="44">
        <f t="shared" si="9"/>
        <v>0.1799267399267399</v>
      </c>
      <c r="H21" s="44">
        <f t="shared" si="9"/>
        <v>-0.20555227406969878</v>
      </c>
      <c r="I21" s="44">
        <f t="shared" si="9"/>
        <v>-0.1749512670565302</v>
      </c>
      <c r="J21" s="38">
        <f t="shared" si="9"/>
        <v>0.09841493954473313</v>
      </c>
      <c r="K21" s="11"/>
    </row>
    <row r="22" ht="15" customHeight="1">
      <c r="A22" s="1"/>
      <c r="B22" s="4" t="s">
        <v>441</v>
      </c>
      <c r="C22" s="44">
        <f t="shared" si="10" ref="C22:J22">C20/C10</f>
        <v>0.16344854218961188</v>
      </c>
      <c r="D22" s="44">
        <f t="shared" si="10"/>
        <v>0.1841680129240711</v>
      </c>
      <c r="E22" s="44">
        <f t="shared" si="10"/>
        <v>0.18093060075644296</v>
      </c>
      <c r="F22" s="44">
        <f t="shared" si="10"/>
        <v>0.1964394798848067</v>
      </c>
      <c r="G22" s="44">
        <f t="shared" si="10"/>
        <v>0.18166847139505504</v>
      </c>
      <c r="H22" s="44">
        <f t="shared" si="10"/>
        <v>0.12047653170906485</v>
      </c>
      <c r="I22" s="44">
        <f t="shared" si="10"/>
        <v>0.13443976812514888</v>
      </c>
      <c r="J22" s="38">
        <f t="shared" si="10"/>
        <v>0.17486089619863485</v>
      </c>
      <c r="K22" s="11"/>
    </row>
    <row r="23" ht="15" customHeight="1">
      <c r="A23" s="1"/>
      <c r="B23" s="4" t="s">
        <v>149</v>
      </c>
      <c r="C23" s="47">
        <f t="shared" si="11" ref="C23:J23">(C22-C114/C112)*10000</f>
        <v>243.47779443726708</v>
      </c>
      <c r="D23" s="47">
        <f t="shared" si="11"/>
        <v>233.31547664362128</v>
      </c>
      <c r="E23" s="47">
        <f t="shared" si="11"/>
        <v>61.30412698144877</v>
      </c>
      <c r="F23" s="47">
        <f t="shared" si="11"/>
        <v>223.0060618333049</v>
      </c>
      <c r="G23" s="47">
        <f t="shared" si="11"/>
        <v>189.74788439155148</v>
      </c>
      <c r="H23" s="47">
        <f t="shared" si="11"/>
        <v>-429.7201048054704</v>
      </c>
      <c r="I23" s="47">
        <f t="shared" si="11"/>
        <v>-497.28244798922213</v>
      </c>
      <c r="J23" s="48">
        <f t="shared" si="11"/>
        <v>-60.697045578081145</v>
      </c>
      <c r="K23" s="11"/>
    </row>
    <row r="24" ht="15" customHeight="1">
      <c r="A24" s="1"/>
      <c r="B24" s="1" t="s">
        <v>442</v>
      </c>
      <c r="C24" s="29">
        <v>131</v>
      </c>
      <c r="D24" s="29">
        <v>121</v>
      </c>
      <c r="E24" s="29">
        <v>121</v>
      </c>
      <c r="F24" s="33">
        <f t="shared" si="12" ref="F24:F115">G24-C24-D24-E24</f>
        <v>120</v>
      </c>
      <c r="G24" s="29">
        <v>493</v>
      </c>
      <c r="H24" s="29">
        <v>174</v>
      </c>
      <c r="I24" s="29">
        <v>351</v>
      </c>
      <c r="J24" s="58">
        <v>345</v>
      </c>
      <c r="K24" s="11" t="s">
        <v>443</v>
      </c>
    </row>
    <row r="25" ht="15" customHeight="1">
      <c r="A25" s="1"/>
      <c r="B25" s="1" t="s">
        <v>444</v>
      </c>
      <c r="C25" s="29">
        <v>-82</v>
      </c>
      <c r="D25" s="29">
        <v>-71</v>
      </c>
      <c r="E25" s="29">
        <v>-77</v>
      </c>
      <c r="F25" s="33">
        <f t="shared" si="12"/>
        <v>-78</v>
      </c>
      <c r="G25" s="29">
        <v>-308</v>
      </c>
      <c r="H25" s="29">
        <v>-106</v>
      </c>
      <c r="I25" s="29">
        <v>-52</v>
      </c>
      <c r="J25" s="58">
        <v>-45</v>
      </c>
      <c r="K25" s="11" t="s">
        <v>445</v>
      </c>
    </row>
    <row r="26" ht="15" customHeight="1">
      <c r="A26" s="1"/>
      <c r="B26" s="3" t="s">
        <v>446</v>
      </c>
      <c r="C26" s="50">
        <f t="shared" si="13" ref="C26:J26">C24+C25</f>
        <v>49</v>
      </c>
      <c r="D26" s="50">
        <f t="shared" si="13"/>
        <v>50</v>
      </c>
      <c r="E26" s="50">
        <f t="shared" si="13"/>
        <v>44</v>
      </c>
      <c r="F26" s="50">
        <f t="shared" si="13"/>
        <v>42</v>
      </c>
      <c r="G26" s="50">
        <f t="shared" si="13"/>
        <v>185</v>
      </c>
      <c r="H26" s="50">
        <f t="shared" si="13"/>
        <v>68</v>
      </c>
      <c r="I26" s="50">
        <f t="shared" si="13"/>
        <v>299</v>
      </c>
      <c r="J26" s="51">
        <f t="shared" si="13"/>
        <v>300</v>
      </c>
      <c r="K26" s="11" t="s">
        <v>447</v>
      </c>
    </row>
    <row r="27" ht="15" customHeight="1">
      <c r="A27" s="1"/>
      <c r="B27" s="1" t="s">
        <v>448</v>
      </c>
      <c r="C27" s="29">
        <v>-7</v>
      </c>
      <c r="D27" s="29">
        <v>-11</v>
      </c>
      <c r="E27" s="29">
        <v>-17</v>
      </c>
      <c r="F27" s="29">
        <v>-15</v>
      </c>
      <c r="G27" s="33">
        <f t="shared" si="3"/>
        <v>-50</v>
      </c>
      <c r="H27" s="29">
        <v>-13</v>
      </c>
      <c r="I27" s="29">
        <v>4</v>
      </c>
      <c r="J27" s="58">
        <v>-10</v>
      </c>
      <c r="K27" s="11" t="s">
        <v>449</v>
      </c>
    </row>
    <row r="28" ht="15" customHeight="1">
      <c r="A28" s="1"/>
      <c r="B28" s="1" t="s">
        <v>450</v>
      </c>
      <c r="C28" s="29">
        <v>-127</v>
      </c>
      <c r="D28" s="29">
        <v>-137</v>
      </c>
      <c r="E28" s="29">
        <v>-150</v>
      </c>
      <c r="F28" s="29">
        <v>-134</v>
      </c>
      <c r="G28" s="33">
        <f t="shared" si="3"/>
        <v>-548</v>
      </c>
      <c r="H28" s="29">
        <v>-159</v>
      </c>
      <c r="I28" s="29">
        <v>-134</v>
      </c>
      <c r="J28" s="43">
        <f>J87+J64</f>
        <v>-160</v>
      </c>
      <c r="K28" s="11" t="s">
        <v>437</v>
      </c>
    </row>
    <row r="29" ht="15" customHeight="1">
      <c r="A29" s="1"/>
      <c r="B29" s="3" t="s">
        <v>451</v>
      </c>
      <c r="C29" s="50">
        <f t="shared" si="14" ref="C29:J29">C20-C26-C27-C28</f>
        <v>1778</v>
      </c>
      <c r="D29" s="50">
        <f t="shared" si="14"/>
        <v>2150</v>
      </c>
      <c r="E29" s="50">
        <f t="shared" si="14"/>
        <v>2180</v>
      </c>
      <c r="F29" s="50">
        <f t="shared" si="14"/>
        <v>2358</v>
      </c>
      <c r="G29" s="50">
        <f t="shared" si="14"/>
        <v>8466</v>
      </c>
      <c r="H29" s="50">
        <f t="shared" si="14"/>
        <v>1449</v>
      </c>
      <c r="I29" s="50">
        <f t="shared" si="14"/>
        <v>1524</v>
      </c>
      <c r="J29" s="51">
        <f t="shared" si="14"/>
        <v>2129.4395306435163</v>
      </c>
      <c r="K29" s="11"/>
    </row>
    <row r="30" ht="15" customHeight="1">
      <c r="A30" s="1"/>
      <c r="B30" s="1" t="s">
        <v>452</v>
      </c>
      <c r="C30" s="29">
        <v>453</v>
      </c>
      <c r="D30" s="29">
        <v>371</v>
      </c>
      <c r="E30" s="29">
        <v>536</v>
      </c>
      <c r="F30" s="29">
        <v>582</v>
      </c>
      <c r="G30" s="33">
        <f t="shared" si="3"/>
        <v>1942</v>
      </c>
      <c r="H30" s="29">
        <v>372</v>
      </c>
      <c r="I30" s="29">
        <v>596</v>
      </c>
      <c r="J30" s="43">
        <f>J90+J54</f>
        <v>533.1548086578144</v>
      </c>
      <c r="K30" s="11" t="s">
        <v>453</v>
      </c>
    </row>
    <row r="31" ht="15" customHeight="1">
      <c r="A31" s="1"/>
      <c r="B31" s="4" t="s">
        <v>454</v>
      </c>
      <c r="C31" s="44">
        <f t="shared" si="15" ref="C31:J31">C30/C29</f>
        <v>0.2547806524184477</v>
      </c>
      <c r="D31" s="44">
        <f t="shared" si="15"/>
        <v>0.17255813953488372</v>
      </c>
      <c r="E31" s="44">
        <f t="shared" si="15"/>
        <v>0.24587155963302754</v>
      </c>
      <c r="F31" s="44">
        <f t="shared" si="15"/>
        <v>0.24681933842239187</v>
      </c>
      <c r="G31" s="44">
        <f t="shared" si="15"/>
        <v>0.22938814079848807</v>
      </c>
      <c r="H31" s="44">
        <f t="shared" si="15"/>
        <v>0.2567287784679089</v>
      </c>
      <c r="I31" s="44">
        <f t="shared" si="15"/>
        <v>0.3910761154855643</v>
      </c>
      <c r="J31" s="38">
        <f t="shared" si="15"/>
        <v>0.250373302921025</v>
      </c>
      <c r="K31" s="11"/>
    </row>
    <row r="32" ht="15" customHeight="1">
      <c r="A32" s="1"/>
      <c r="B32" s="4" t="s">
        <v>149</v>
      </c>
      <c r="C32" s="36" t="s">
        <v>30</v>
      </c>
      <c r="D32" s="36" t="s">
        <v>30</v>
      </c>
      <c r="E32" s="36" t="s">
        <v>30</v>
      </c>
      <c r="F32" s="36" t="s">
        <v>30</v>
      </c>
      <c r="G32" s="36" t="s">
        <v>30</v>
      </c>
      <c r="H32" s="47">
        <f t="shared" si="16" ref="H32:J92">(H31-C31)*10000</f>
        <v>19.481260494612073</v>
      </c>
      <c r="I32" s="47">
        <f t="shared" si="16"/>
        <v>2185.179759506806</v>
      </c>
      <c r="J32" s="48">
        <f t="shared" si="16"/>
        <v>45.01743287997462</v>
      </c>
      <c r="K32" s="11" t="s">
        <v>455</v>
      </c>
    </row>
    <row r="33" ht="15" customHeight="1">
      <c r="A33" s="1"/>
      <c r="B33" s="3" t="s">
        <v>456</v>
      </c>
      <c r="C33" s="50">
        <f t="shared" si="17" ref="C33:J33">C29-C30</f>
        <v>1325</v>
      </c>
      <c r="D33" s="50">
        <f t="shared" si="17"/>
        <v>1779</v>
      </c>
      <c r="E33" s="50">
        <f t="shared" si="17"/>
        <v>1644</v>
      </c>
      <c r="F33" s="50">
        <f t="shared" si="17"/>
        <v>1776</v>
      </c>
      <c r="G33" s="50">
        <f t="shared" si="17"/>
        <v>6524</v>
      </c>
      <c r="H33" s="50">
        <f t="shared" si="17"/>
        <v>1077</v>
      </c>
      <c r="I33" s="50">
        <f t="shared" si="17"/>
        <v>928</v>
      </c>
      <c r="J33" s="51">
        <f t="shared" si="17"/>
        <v>1596.2847219857017</v>
      </c>
      <c r="K33" s="11"/>
    </row>
    <row r="34" ht="15" customHeight="1">
      <c r="A34" s="1"/>
      <c r="B34" s="4" t="s">
        <v>145</v>
      </c>
      <c r="C34" s="44">
        <f t="shared" si="18" ref="C34:J34">C33/C115-1</f>
        <v>0.08163265306122458</v>
      </c>
      <c r="D34" s="44">
        <f t="shared" si="18"/>
        <v>0.3663594470046083</v>
      </c>
      <c r="E34" s="44">
        <f t="shared" si="18"/>
        <v>-0.0012150668286755595</v>
      </c>
      <c r="F34" s="44">
        <f t="shared" si="18"/>
        <v>-0.8075631162639506</v>
      </c>
      <c r="G34" s="44">
        <f t="shared" si="18"/>
        <v>-0.513206984032234</v>
      </c>
      <c r="H34" s="44">
        <f t="shared" si="18"/>
        <v>-0.18716981132075472</v>
      </c>
      <c r="I34" s="44">
        <f t="shared" si="18"/>
        <v>-0.4783586284429455</v>
      </c>
      <c r="J34" s="38">
        <f t="shared" si="18"/>
        <v>-0.029023891736191132</v>
      </c>
      <c r="K34" s="11"/>
    </row>
    <row r="35" ht="15" customHeight="1">
      <c r="A35" s="1"/>
      <c r="B35" s="4" t="s">
        <v>457</v>
      </c>
      <c r="C35" s="44">
        <f t="shared" si="19" ref="C35:J35">C33/C10</f>
        <v>0.1279204479629272</v>
      </c>
      <c r="D35" s="44">
        <f t="shared" si="19"/>
        <v>0.1596661281637049</v>
      </c>
      <c r="E35" s="44">
        <f t="shared" si="19"/>
        <v>0.1446037470314012</v>
      </c>
      <c r="F35" s="44">
        <f t="shared" si="19"/>
        <v>0.1549873461907671</v>
      </c>
      <c r="G35" s="44">
        <f t="shared" si="19"/>
        <v>0.14717560007218913</v>
      </c>
      <c r="H35" s="44">
        <f t="shared" si="19"/>
        <v>0.09647079899677535</v>
      </c>
      <c r="I35" s="44">
        <f t="shared" si="19"/>
        <v>0.07369173350273962</v>
      </c>
      <c r="J35" s="38">
        <f t="shared" si="19"/>
        <v>0.12353850292913546</v>
      </c>
      <c r="K35" s="11"/>
    </row>
    <row r="36" ht="15" customHeight="1">
      <c r="A36" s="1"/>
      <c r="B36" s="4" t="s">
        <v>149</v>
      </c>
      <c r="C36" s="47">
        <f t="shared" si="20" ref="C36:J36">(C35-C115/C112)*10000</f>
        <v>49.778546269175635</v>
      </c>
      <c r="D36" s="47">
        <f t="shared" si="20"/>
        <v>341.9633920735915</v>
      </c>
      <c r="E36" s="47">
        <f t="shared" si="20"/>
        <v>-101.68232282186024</v>
      </c>
      <c r="F36" s="47">
        <f t="shared" si="20"/>
        <v>-6860.004431294444</v>
      </c>
      <c r="G36" s="47">
        <f t="shared" si="20"/>
        <v>-1722.9996607798967</v>
      </c>
      <c r="H36" s="47">
        <f t="shared" si="20"/>
        <v>-314.4964896615185</v>
      </c>
      <c r="I36" s="47">
        <f t="shared" si="20"/>
        <v>-859.7439466096528</v>
      </c>
      <c r="J36" s="48">
        <f t="shared" si="20"/>
        <v>-210.65244102265734</v>
      </c>
      <c r="K36" s="11"/>
    </row>
    <row r="37" ht="15" customHeight="1">
      <c r="A37" s="1"/>
      <c r="B37" s="4" t="s">
        <v>458</v>
      </c>
      <c r="C37" s="54">
        <v>0.004</v>
      </c>
      <c r="D37" s="44">
        <f t="shared" si="21" ref="D37:J37">$C37</f>
        <v>0.004</v>
      </c>
      <c r="E37" s="44">
        <f t="shared" si="21"/>
        <v>0.004</v>
      </c>
      <c r="F37" s="44">
        <f t="shared" si="21"/>
        <v>0.004</v>
      </c>
      <c r="G37" s="44">
        <f t="shared" si="21"/>
        <v>0.004</v>
      </c>
      <c r="H37" s="44">
        <f t="shared" si="21"/>
        <v>0.004</v>
      </c>
      <c r="I37" s="44">
        <f t="shared" si="21"/>
        <v>0.004</v>
      </c>
      <c r="J37" s="38">
        <f t="shared" si="21"/>
        <v>0.004</v>
      </c>
      <c r="K37" s="11" t="s">
        <v>459</v>
      </c>
    </row>
    <row r="38" ht="15" customHeight="1">
      <c r="A38" s="1"/>
      <c r="B38" s="4" t="s">
        <v>149</v>
      </c>
      <c r="C38" s="36" t="s">
        <v>30</v>
      </c>
      <c r="D38" s="36" t="s">
        <v>30</v>
      </c>
      <c r="E38" s="36" t="s">
        <v>30</v>
      </c>
      <c r="F38" s="36" t="s">
        <v>30</v>
      </c>
      <c r="G38" s="36" t="s">
        <v>30</v>
      </c>
      <c r="H38" s="47">
        <f t="shared" si="16"/>
        <v>0</v>
      </c>
      <c r="I38" s="47">
        <f t="shared" si="16"/>
        <v>0</v>
      </c>
      <c r="J38" s="48">
        <f t="shared" si="16"/>
        <v>0</v>
      </c>
      <c r="K38" s="11"/>
    </row>
    <row r="39" ht="15" customHeight="1">
      <c r="A39" s="1"/>
      <c r="B39" s="1" t="s">
        <v>460</v>
      </c>
      <c r="C39" s="27">
        <f>'Share Count'!C17</f>
        <v>1739.206</v>
      </c>
      <c r="D39" s="27">
        <f>'Share Count'!D17</f>
        <v>1743.437</v>
      </c>
      <c r="E39" s="27">
        <f>'Share Count'!E17</f>
        <v>1742.142</v>
      </c>
      <c r="F39" s="27" t="str">
        <f>'Share Count'!F17</f>
        <v>n/a</v>
      </c>
      <c r="G39" s="27">
        <f>'Share Count'!G17</f>
        <v>1741</v>
      </c>
      <c r="H39" s="27">
        <f>'Share Count'!H17</f>
        <v>1742.48</v>
      </c>
      <c r="I39" s="27">
        <f>'Share Count'!I17</f>
        <v>1740.42</v>
      </c>
      <c r="J39" s="53">
        <f>'Share Count'!J17</f>
        <v>1731.6396538461538</v>
      </c>
      <c r="K39" s="11" t="s">
        <v>461</v>
      </c>
    </row>
    <row r="40" ht="15" customHeight="1">
      <c r="A40" s="1"/>
      <c r="B40" s="1" t="s">
        <v>462</v>
      </c>
      <c r="C40" s="27">
        <f>'Share Count'!C21</f>
        <v>1747.2199999999998</v>
      </c>
      <c r="D40" s="27">
        <f>'Share Count'!D21</f>
        <v>1750.8349999999998</v>
      </c>
      <c r="E40" s="27">
        <f>'Share Count'!E21</f>
        <v>1749.361</v>
      </c>
      <c r="F40" s="27">
        <f>'Share Count'!F21</f>
        <v>1747</v>
      </c>
      <c r="G40" s="27">
        <f>'Share Count'!G21</f>
        <v>1748</v>
      </c>
      <c r="H40" s="27">
        <f>'Share Count'!H21</f>
        <v>1747.073</v>
      </c>
      <c r="I40" s="27">
        <f>'Share Count'!I21</f>
        <v>1742.981</v>
      </c>
      <c r="J40" s="53">
        <f>'Share Count'!J21</f>
        <v>1734.6396538461538</v>
      </c>
      <c r="K40" s="11" t="s">
        <v>461</v>
      </c>
    </row>
    <row r="41" ht="15" customHeight="1">
      <c r="A41" s="1"/>
      <c r="B41" s="1" t="s">
        <v>463</v>
      </c>
      <c r="C41" s="32">
        <f t="shared" si="22" ref="C41:J41">C33*(1-C37)/C39</f>
        <v>0.7587945303776552</v>
      </c>
      <c r="D41" s="32">
        <f t="shared" si="22"/>
        <v>1.0163166205604217</v>
      </c>
      <c r="E41" s="32">
        <f t="shared" si="22"/>
        <v>0.9398912373388622</v>
      </c>
      <c r="F41" s="13" t="s">
        <v>30</v>
      </c>
      <c r="G41" s="32">
        <f t="shared" si="22"/>
        <v>3.732282596209075</v>
      </c>
      <c r="H41" s="32">
        <f t="shared" si="22"/>
        <v>0.6156122308433957</v>
      </c>
      <c r="I41" s="32">
        <f t="shared" si="22"/>
        <v>0.5310718102526976</v>
      </c>
      <c r="J41" s="59">
        <f t="shared" si="22"/>
        <v>0.9181469017335245</v>
      </c>
      <c r="K41" s="11"/>
    </row>
    <row r="42" ht="15" customHeight="1">
      <c r="A42" s="1"/>
      <c r="B42" s="1" t="s">
        <v>464</v>
      </c>
      <c r="C42" s="32">
        <f t="shared" si="23" ref="C42:J42">C33*(1-C37)/C40</f>
        <v>0.7553141562024245</v>
      </c>
      <c r="D42" s="32">
        <f t="shared" si="23"/>
        <v>1.0120222636627667</v>
      </c>
      <c r="E42" s="32">
        <f t="shared" si="23"/>
        <v>0.9360126354708947</v>
      </c>
      <c r="F42" s="32">
        <f t="shared" si="23"/>
        <v>1.0125334859759587</v>
      </c>
      <c r="G42" s="32">
        <f t="shared" si="23"/>
        <v>3.717336384439359</v>
      </c>
      <c r="H42" s="32">
        <f t="shared" si="23"/>
        <v>0.6139938056394896</v>
      </c>
      <c r="I42" s="32">
        <f t="shared" si="23"/>
        <v>0.5302914948585211</v>
      </c>
      <c r="J42" s="59">
        <f t="shared" si="23"/>
        <v>0.9165589980446556</v>
      </c>
      <c r="K42" s="11"/>
    </row>
    <row r="43" ht="15" customHeight="1">
      <c r="A43" s="1"/>
      <c r="B43" s="3" t="s">
        <v>465</v>
      </c>
      <c r="C43" s="60">
        <f>Inputs!G101</f>
        <v>0.76</v>
      </c>
      <c r="D43" s="60">
        <f>Inputs!G102</f>
        <v>1.01</v>
      </c>
      <c r="E43" s="60">
        <f>Inputs!G103</f>
        <v>0.94</v>
      </c>
      <c r="F43" s="60">
        <f>Inputs!G104</f>
        <v>1.01</v>
      </c>
      <c r="G43" s="61">
        <v>3.72</v>
      </c>
      <c r="H43" s="60">
        <f>Inputs!G105</f>
        <v>0.61</v>
      </c>
      <c r="I43" s="60">
        <f>Inputs!G106</f>
        <v>0.53</v>
      </c>
      <c r="J43" s="62">
        <f t="shared" si="60" ref="J43:J97">ROUND(J42,2)</f>
        <v>0.92</v>
      </c>
      <c r="K43" s="11" t="s">
        <v>466</v>
      </c>
    </row>
    <row r="44" ht="15" customHeight="1">
      <c r="A44" s="1"/>
      <c r="B44" s="4" t="s">
        <v>145</v>
      </c>
      <c r="C44" s="44">
        <f t="shared" si="24" ref="C44:J44">C43/C116-1</f>
        <v>0.08571428571428585</v>
      </c>
      <c r="D44" s="44">
        <f t="shared" si="24"/>
        <v>0.3648648648648649</v>
      </c>
      <c r="E44" s="44">
        <f t="shared" si="24"/>
        <v>0</v>
      </c>
      <c r="F44" s="44">
        <f t="shared" si="24"/>
        <v>-0.8083491461100569</v>
      </c>
      <c r="G44" s="44">
        <f t="shared" si="24"/>
        <v>-0.5130890052356021</v>
      </c>
      <c r="H44" s="44">
        <f t="shared" si="24"/>
        <v>-0.19736842105263164</v>
      </c>
      <c r="I44" s="44">
        <f t="shared" si="24"/>
        <v>-0.4752475247524752</v>
      </c>
      <c r="J44" s="38">
        <f t="shared" si="24"/>
        <v>-0.02127659574468077</v>
      </c>
      <c r="K44" s="11"/>
    </row>
    <row r="45" ht="15" customHeight="1">
      <c r="A45" s="1"/>
      <c r="B45" s="1" t="s">
        <v>467</v>
      </c>
      <c r="C45" s="13" t="b">
        <f t="shared" si="25" ref="C45:J99">ABS(C42-C43)&lt;0.006</f>
        <v>1</v>
      </c>
      <c r="D45" s="13" t="b">
        <f t="shared" si="25"/>
        <v>1</v>
      </c>
      <c r="E45" s="13" t="b">
        <f t="shared" si="25"/>
        <v>1</v>
      </c>
      <c r="F45" s="13" t="b">
        <f t="shared" si="25"/>
        <v>1</v>
      </c>
      <c r="G45" s="13" t="b">
        <f t="shared" si="25"/>
        <v>1</v>
      </c>
      <c r="H45" s="13" t="b">
        <f t="shared" si="25"/>
        <v>1</v>
      </c>
      <c r="I45" s="13" t="b">
        <f t="shared" si="25"/>
        <v>1</v>
      </c>
      <c r="J45" s="52" t="b">
        <f t="shared" si="25"/>
        <v>1</v>
      </c>
      <c r="K45" s="11" t="s">
        <v>468</v>
      </c>
    </row>
    <row r="46" ht="15" customHeight="1">
      <c r="A46" s="1"/>
      <c r="B46" s="1" t="s">
        <v>469</v>
      </c>
      <c r="C46" s="33">
        <f t="shared" si="26" ref="C46:J46">C33*(1-C37)</f>
        <v>1319.7</v>
      </c>
      <c r="D46" s="33">
        <f t="shared" si="26"/>
        <v>1771.884</v>
      </c>
      <c r="E46" s="33">
        <f t="shared" si="26"/>
        <v>1637.424</v>
      </c>
      <c r="F46" s="33">
        <f t="shared" si="26"/>
        <v>1768.896</v>
      </c>
      <c r="G46" s="33">
        <f t="shared" si="26"/>
        <v>6497.9039999999995</v>
      </c>
      <c r="H46" s="33">
        <f t="shared" si="26"/>
        <v>1072.692</v>
      </c>
      <c r="I46" s="33">
        <f t="shared" si="26"/>
        <v>924.288</v>
      </c>
      <c r="J46" s="43">
        <f t="shared" si="26"/>
        <v>1589.899583097759</v>
      </c>
      <c r="K46" s="11" t="s">
        <v>470</v>
      </c>
    </row>
    <row r="47" ht="15" customHeight="1">
      <c r="A47" s="1"/>
      <c r="B47" s="3" t="s">
        <v>471</v>
      </c>
      <c r="C47" s="1"/>
      <c r="D47" s="1"/>
      <c r="E47" s="1"/>
      <c r="F47" s="1"/>
      <c r="G47" s="1"/>
      <c r="H47" s="1"/>
      <c r="I47" s="1"/>
      <c r="J47" s="35"/>
      <c r="K47" s="11"/>
    </row>
    <row r="48" ht="15" customHeight="1">
      <c r="A48" s="1"/>
      <c r="B48" s="1" t="s">
        <v>456</v>
      </c>
      <c r="C48" s="33">
        <f t="shared" si="27" ref="C48:J48">C33</f>
        <v>1325</v>
      </c>
      <c r="D48" s="33">
        <f t="shared" si="27"/>
        <v>1779</v>
      </c>
      <c r="E48" s="33">
        <f t="shared" si="27"/>
        <v>1644</v>
      </c>
      <c r="F48" s="33">
        <f t="shared" si="27"/>
        <v>1776</v>
      </c>
      <c r="G48" s="33">
        <f t="shared" si="27"/>
        <v>6524</v>
      </c>
      <c r="H48" s="33">
        <f t="shared" si="27"/>
        <v>1077</v>
      </c>
      <c r="I48" s="33">
        <f t="shared" si="27"/>
        <v>928</v>
      </c>
      <c r="J48" s="43">
        <f t="shared" si="27"/>
        <v>1596.2847219857017</v>
      </c>
      <c r="K48" s="11"/>
    </row>
    <row r="49" ht="15" customHeight="1">
      <c r="A49" s="1"/>
      <c r="B49" s="1" t="s">
        <v>472</v>
      </c>
      <c r="C49" s="33">
        <f t="shared" si="28" ref="C49:J49">C13</f>
        <v>420</v>
      </c>
      <c r="D49" s="33">
        <f t="shared" si="28"/>
        <v>420</v>
      </c>
      <c r="E49" s="33">
        <f t="shared" si="28"/>
        <v>420</v>
      </c>
      <c r="F49" s="33">
        <f t="shared" si="28"/>
        <v>422</v>
      </c>
      <c r="G49" s="33">
        <f t="shared" si="28"/>
        <v>1682</v>
      </c>
      <c r="H49" s="33">
        <f t="shared" si="28"/>
        <v>422</v>
      </c>
      <c r="I49" s="33">
        <f t="shared" si="28"/>
        <v>658</v>
      </c>
      <c r="J49" s="43">
        <f t="shared" si="28"/>
        <v>660</v>
      </c>
      <c r="K49" s="11"/>
    </row>
    <row r="50" ht="15" customHeight="1">
      <c r="A50" s="1"/>
      <c r="B50" s="1" t="s">
        <v>473</v>
      </c>
      <c r="C50" s="29">
        <v>28</v>
      </c>
      <c r="D50" s="29">
        <v>5</v>
      </c>
      <c r="E50" s="33">
        <f t="shared" si="29" ref="E50:E52">G50-C50-D50-F50</f>
        <v>2</v>
      </c>
      <c r="F50" s="29">
        <v>48</v>
      </c>
      <c r="G50" s="29">
        <v>83</v>
      </c>
      <c r="H50" s="29">
        <v>449</v>
      </c>
      <c r="I50" s="29">
        <v>83</v>
      </c>
      <c r="J50" s="58">
        <v>80</v>
      </c>
      <c r="K50" s="11" t="s">
        <v>474</v>
      </c>
    </row>
    <row r="51" ht="15" customHeight="1">
      <c r="A51" s="1"/>
      <c r="B51" s="1" t="s">
        <v>475</v>
      </c>
      <c r="C51" s="29">
        <v>49</v>
      </c>
      <c r="D51" s="29">
        <v>61</v>
      </c>
      <c r="E51" s="33">
        <f t="shared" si="29"/>
        <v>106</v>
      </c>
      <c r="F51" s="29">
        <v>71</v>
      </c>
      <c r="G51" s="29">
        <v>287</v>
      </c>
      <c r="H51" s="29">
        <v>52</v>
      </c>
      <c r="I51" s="29">
        <v>6</v>
      </c>
      <c r="J51" s="58">
        <v>20</v>
      </c>
      <c r="K51" s="11" t="s">
        <v>476</v>
      </c>
    </row>
    <row r="52" ht="15" customHeight="1">
      <c r="A52" s="1"/>
      <c r="B52" s="1" t="s">
        <v>477</v>
      </c>
      <c r="C52" s="29">
        <v>23</v>
      </c>
      <c r="D52" s="29">
        <v>14</v>
      </c>
      <c r="E52" s="33">
        <f t="shared" si="29"/>
        <v>20</v>
      </c>
      <c r="F52" s="29">
        <v>187</v>
      </c>
      <c r="G52" s="29">
        <v>244</v>
      </c>
      <c r="H52" s="29">
        <v>13</v>
      </c>
      <c r="I52" s="29">
        <v>430</v>
      </c>
      <c r="J52" s="43">
        <f>J65-J49-J50-J51</f>
        <v>30</v>
      </c>
      <c r="K52" s="11" t="s">
        <v>478</v>
      </c>
    </row>
    <row r="53" ht="15" customHeight="1">
      <c r="A53" s="1"/>
      <c r="B53" s="3" t="s">
        <v>479</v>
      </c>
      <c r="C53" s="50">
        <f t="shared" si="30" ref="C53:J53">C49+C50+C51+C52</f>
        <v>520</v>
      </c>
      <c r="D53" s="50">
        <f t="shared" si="30"/>
        <v>500</v>
      </c>
      <c r="E53" s="50">
        <f t="shared" si="30"/>
        <v>548</v>
      </c>
      <c r="F53" s="50">
        <f t="shared" si="30"/>
        <v>728</v>
      </c>
      <c r="G53" s="50">
        <f t="shared" si="30"/>
        <v>2296</v>
      </c>
      <c r="H53" s="50">
        <f t="shared" si="30"/>
        <v>936</v>
      </c>
      <c r="I53" s="50">
        <f t="shared" si="30"/>
        <v>1177</v>
      </c>
      <c r="J53" s="51">
        <f t="shared" si="30"/>
        <v>790</v>
      </c>
      <c r="K53" s="11"/>
    </row>
    <row r="54" ht="15" customHeight="1">
      <c r="A54" s="1"/>
      <c r="B54" s="1" t="s">
        <v>480</v>
      </c>
      <c r="C54" s="29">
        <v>74</v>
      </c>
      <c r="D54" s="29">
        <v>-66</v>
      </c>
      <c r="E54" s="29">
        <v>86</v>
      </c>
      <c r="F54" s="29">
        <v>126</v>
      </c>
      <c r="G54" s="33">
        <f t="shared" si="3"/>
        <v>220</v>
      </c>
      <c r="H54" s="29">
        <v>9</v>
      </c>
      <c r="I54" s="29">
        <v>185</v>
      </c>
      <c r="J54" s="43">
        <f>J67-J68*J53</f>
        <v>89.39999999999999</v>
      </c>
      <c r="K54" s="11" t="s">
        <v>481</v>
      </c>
    </row>
    <row r="55" ht="15" customHeight="1">
      <c r="A55" s="1"/>
      <c r="B55" s="3" t="s">
        <v>482</v>
      </c>
      <c r="C55" s="50">
        <f t="shared" si="31" ref="C55:J55">C48+C53+C54</f>
        <v>1919</v>
      </c>
      <c r="D55" s="50">
        <f t="shared" si="31"/>
        <v>2213</v>
      </c>
      <c r="E55" s="50">
        <f t="shared" si="31"/>
        <v>2278</v>
      </c>
      <c r="F55" s="50">
        <f t="shared" si="31"/>
        <v>2630</v>
      </c>
      <c r="G55" s="50">
        <f t="shared" si="31"/>
        <v>9040</v>
      </c>
      <c r="H55" s="50">
        <f t="shared" si="31"/>
        <v>2022</v>
      </c>
      <c r="I55" s="50">
        <f t="shared" si="31"/>
        <v>2290</v>
      </c>
      <c r="J55" s="51">
        <f t="shared" si="31"/>
        <v>2475.684721985702</v>
      </c>
      <c r="K55" s="11"/>
    </row>
    <row r="56" ht="15" customHeight="1">
      <c r="A56" s="1"/>
      <c r="B56" s="1" t="s">
        <v>483</v>
      </c>
      <c r="C56" s="29">
        <v>1919</v>
      </c>
      <c r="D56" s="29">
        <v>2213</v>
      </c>
      <c r="E56" s="29">
        <v>2278</v>
      </c>
      <c r="F56" s="29">
        <v>2630</v>
      </c>
      <c r="G56" s="33">
        <f t="shared" si="3"/>
        <v>9040</v>
      </c>
      <c r="H56" s="29">
        <v>2022</v>
      </c>
      <c r="I56" s="29">
        <v>2290</v>
      </c>
      <c r="J56" s="52" t="s">
        <v>30</v>
      </c>
      <c r="K56" s="11" t="s">
        <v>484</v>
      </c>
    </row>
    <row r="57" ht="15" customHeight="1">
      <c r="A57" s="1"/>
      <c r="B57" s="1" t="s">
        <v>485</v>
      </c>
      <c r="C57" s="33">
        <f t="shared" si="32" ref="C57:I57">C55-C56</f>
        <v>0</v>
      </c>
      <c r="D57" s="33">
        <f t="shared" si="32"/>
        <v>0</v>
      </c>
      <c r="E57" s="33">
        <f t="shared" si="32"/>
        <v>0</v>
      </c>
      <c r="F57" s="33">
        <f t="shared" si="32"/>
        <v>0</v>
      </c>
      <c r="G57" s="33">
        <f t="shared" si="32"/>
        <v>0</v>
      </c>
      <c r="H57" s="33">
        <f t="shared" si="32"/>
        <v>0</v>
      </c>
      <c r="I57" s="33">
        <f t="shared" si="32"/>
        <v>0</v>
      </c>
      <c r="J57" s="52" t="s">
        <v>30</v>
      </c>
      <c r="K57" s="11"/>
    </row>
    <row r="58" ht="15" customHeight="1">
      <c r="A58" s="1"/>
      <c r="B58" s="1"/>
      <c r="C58" s="1"/>
      <c r="D58" s="1"/>
      <c r="E58" s="1"/>
      <c r="F58" s="1"/>
      <c r="G58" s="1"/>
      <c r="H58" s="1"/>
      <c r="I58" s="1"/>
      <c r="J58" s="35"/>
      <c r="K58" s="11"/>
    </row>
    <row r="59" ht="15" customHeight="1">
      <c r="A59" s="1"/>
      <c r="B59" s="3" t="s">
        <v>486</v>
      </c>
      <c r="C59" s="1"/>
      <c r="D59" s="1"/>
      <c r="E59" s="1"/>
      <c r="F59" s="1"/>
      <c r="G59" s="1"/>
      <c r="H59" s="1"/>
      <c r="I59" s="1"/>
      <c r="J59" s="35"/>
      <c r="K59" s="11"/>
    </row>
    <row r="60" ht="15" customHeight="1">
      <c r="A60" s="1"/>
      <c r="B60" s="1" t="s">
        <v>487</v>
      </c>
      <c r="C60" s="29">
        <v>448</v>
      </c>
      <c r="D60" s="29">
        <v>478</v>
      </c>
      <c r="E60" s="29">
        <v>470</v>
      </c>
      <c r="F60" s="29">
        <v>428</v>
      </c>
      <c r="G60" s="33">
        <f t="shared" si="3"/>
        <v>1824</v>
      </c>
      <c r="H60" s="29">
        <v>432</v>
      </c>
      <c r="I60" s="29">
        <v>697</v>
      </c>
      <c r="J60" s="43">
        <f>J13+J61</f>
        <v>688</v>
      </c>
      <c r="K60" s="11" t="s">
        <v>488</v>
      </c>
    </row>
    <row r="61" ht="15" customHeight="1">
      <c r="A61" s="1"/>
      <c r="B61" s="1" t="s">
        <v>489</v>
      </c>
      <c r="C61" s="33">
        <f t="shared" si="33" ref="C61:I61">C60-C13</f>
        <v>28</v>
      </c>
      <c r="D61" s="33">
        <f t="shared" si="33"/>
        <v>58</v>
      </c>
      <c r="E61" s="33">
        <f t="shared" si="33"/>
        <v>50</v>
      </c>
      <c r="F61" s="33">
        <f t="shared" si="33"/>
        <v>6</v>
      </c>
      <c r="G61" s="33">
        <f t="shared" si="33"/>
        <v>142</v>
      </c>
      <c r="H61" s="33">
        <f t="shared" si="33"/>
        <v>10</v>
      </c>
      <c r="I61" s="33">
        <f t="shared" si="33"/>
        <v>39</v>
      </c>
      <c r="J61" s="58">
        <v>28</v>
      </c>
      <c r="K61" s="11" t="s">
        <v>490</v>
      </c>
    </row>
    <row r="62" ht="15" customHeight="1">
      <c r="A62" s="1"/>
      <c r="B62" s="1" t="s">
        <v>491</v>
      </c>
      <c r="C62" s="29">
        <v>27</v>
      </c>
      <c r="D62" s="29">
        <v>20</v>
      </c>
      <c r="E62" s="29">
        <v>36</v>
      </c>
      <c r="F62" s="29">
        <v>29</v>
      </c>
      <c r="G62" s="33">
        <f t="shared" si="3"/>
        <v>112</v>
      </c>
      <c r="H62" s="29">
        <v>24</v>
      </c>
      <c r="I62" s="29">
        <v>25</v>
      </c>
      <c r="J62" s="58">
        <v>27</v>
      </c>
      <c r="K62" s="11"/>
    </row>
    <row r="63" ht="15" customHeight="1">
      <c r="A63" s="1"/>
      <c r="B63" s="1" t="s">
        <v>492</v>
      </c>
      <c r="C63" s="29">
        <v>10</v>
      </c>
      <c r="D63" s="29">
        <v>1</v>
      </c>
      <c r="E63" s="29">
        <v>47</v>
      </c>
      <c r="F63" s="29">
        <v>254</v>
      </c>
      <c r="G63" s="33">
        <f t="shared" si="3"/>
        <v>312</v>
      </c>
      <c r="H63" s="29">
        <v>473</v>
      </c>
      <c r="I63" s="29">
        <v>428</v>
      </c>
      <c r="J63" s="58">
        <v>75</v>
      </c>
      <c r="K63" s="11" t="s">
        <v>493</v>
      </c>
    </row>
    <row r="64" ht="15" customHeight="1">
      <c r="A64" s="1"/>
      <c r="B64" s="1" t="s">
        <v>494</v>
      </c>
      <c r="C64" s="29">
        <v>35</v>
      </c>
      <c r="D64" s="29">
        <v>1</v>
      </c>
      <c r="E64" s="29">
        <v>-5</v>
      </c>
      <c r="F64" s="29">
        <v>17</v>
      </c>
      <c r="G64" s="33">
        <f t="shared" si="3"/>
        <v>48</v>
      </c>
      <c r="H64" s="29">
        <v>7</v>
      </c>
      <c r="I64" s="29">
        <v>27</v>
      </c>
      <c r="J64" s="58">
        <v>0</v>
      </c>
      <c r="K64" s="11" t="s">
        <v>495</v>
      </c>
    </row>
    <row r="65" ht="15" customHeight="1">
      <c r="A65" s="1"/>
      <c r="B65" s="3" t="s">
        <v>496</v>
      </c>
      <c r="C65" s="50">
        <f t="shared" si="34" ref="C65:J65">C60+C62+C63+C64</f>
        <v>520</v>
      </c>
      <c r="D65" s="50">
        <f t="shared" si="34"/>
        <v>500</v>
      </c>
      <c r="E65" s="50">
        <f t="shared" si="34"/>
        <v>548</v>
      </c>
      <c r="F65" s="50">
        <f t="shared" si="34"/>
        <v>728</v>
      </c>
      <c r="G65" s="50">
        <f t="shared" si="34"/>
        <v>2296</v>
      </c>
      <c r="H65" s="50">
        <f t="shared" si="34"/>
        <v>936</v>
      </c>
      <c r="I65" s="50">
        <f t="shared" si="34"/>
        <v>1177</v>
      </c>
      <c r="J65" s="51">
        <f t="shared" si="34"/>
        <v>790</v>
      </c>
      <c r="K65" s="11"/>
    </row>
    <row r="66" ht="15" customHeight="1">
      <c r="A66" s="1"/>
      <c r="B66" s="1" t="s">
        <v>497</v>
      </c>
      <c r="C66" s="33">
        <f t="shared" si="35" ref="C66:J66">C65-C53</f>
        <v>0</v>
      </c>
      <c r="D66" s="33">
        <f t="shared" si="35"/>
        <v>0</v>
      </c>
      <c r="E66" s="33">
        <f t="shared" si="35"/>
        <v>0</v>
      </c>
      <c r="F66" s="33">
        <f t="shared" si="35"/>
        <v>0</v>
      </c>
      <c r="G66" s="33">
        <f t="shared" si="35"/>
        <v>0</v>
      </c>
      <c r="H66" s="33">
        <f t="shared" si="35"/>
        <v>0</v>
      </c>
      <c r="I66" s="33">
        <f t="shared" si="35"/>
        <v>0</v>
      </c>
      <c r="J66" s="43">
        <f t="shared" si="35"/>
        <v>0</v>
      </c>
      <c r="K66" s="11" t="s">
        <v>498</v>
      </c>
    </row>
    <row r="67" ht="15" customHeight="1">
      <c r="A67" s="1"/>
      <c r="B67" s="1" t="s">
        <v>499</v>
      </c>
      <c r="C67" s="13"/>
      <c r="D67" s="13"/>
      <c r="E67" s="13"/>
      <c r="F67" s="13"/>
      <c r="G67" s="13"/>
      <c r="H67" s="13"/>
      <c r="I67" s="13"/>
      <c r="J67" s="58">
        <v>200</v>
      </c>
      <c r="K67" s="11" t="s">
        <v>500</v>
      </c>
    </row>
    <row r="68" ht="15" customHeight="1">
      <c r="A68" s="1"/>
      <c r="B68" s="4" t="s">
        <v>501</v>
      </c>
      <c r="C68" s="36"/>
      <c r="D68" s="36"/>
      <c r="E68" s="36"/>
      <c r="F68" s="36"/>
      <c r="G68" s="36"/>
      <c r="H68" s="36"/>
      <c r="I68" s="36"/>
      <c r="J68" s="37">
        <v>0.14</v>
      </c>
      <c r="K68" s="11" t="s">
        <v>502</v>
      </c>
    </row>
    <row r="69" ht="15" customHeight="1">
      <c r="A69" s="1"/>
      <c r="B69" s="1"/>
      <c r="C69" s="1"/>
      <c r="D69" s="1"/>
      <c r="E69" s="1"/>
      <c r="F69" s="1"/>
      <c r="G69" s="1"/>
      <c r="H69" s="1"/>
      <c r="I69" s="1"/>
      <c r="J69" s="35"/>
      <c r="K69" s="11"/>
    </row>
    <row r="70" ht="15" customHeight="1">
      <c r="A70" s="1"/>
      <c r="B70" s="3" t="s">
        <v>503</v>
      </c>
      <c r="C70" s="1"/>
      <c r="D70" s="1"/>
      <c r="E70" s="1"/>
      <c r="F70" s="1"/>
      <c r="G70" s="1"/>
      <c r="H70" s="1"/>
      <c r="I70" s="1"/>
      <c r="J70" s="35"/>
      <c r="K70" s="11"/>
    </row>
    <row r="71" ht="15" customHeight="1">
      <c r="A71" s="1"/>
      <c r="B71" s="1" t="s">
        <v>504</v>
      </c>
      <c r="C71" s="33">
        <f t="shared" si="36" ref="C71:I71">C12-C61</f>
        <v>4440</v>
      </c>
      <c r="D71" s="33">
        <f t="shared" si="36"/>
        <v>4796</v>
      </c>
      <c r="E71" s="33">
        <f t="shared" si="36"/>
        <v>5025</v>
      </c>
      <c r="F71" s="33">
        <f t="shared" si="36"/>
        <v>4916</v>
      </c>
      <c r="G71" s="33">
        <f t="shared" si="36"/>
        <v>19177</v>
      </c>
      <c r="H71" s="33">
        <f t="shared" si="36"/>
        <v>4880</v>
      </c>
      <c r="I71" s="33">
        <f t="shared" si="36"/>
        <v>5286</v>
      </c>
      <c r="J71" s="43">
        <f>J10*(1-J102)</f>
        <v>5401.1259483431795</v>
      </c>
      <c r="K71" s="11"/>
    </row>
    <row r="72" ht="15" customHeight="1">
      <c r="A72" s="1"/>
      <c r="B72" s="3" t="s">
        <v>505</v>
      </c>
      <c r="C72" s="50">
        <f t="shared" si="37" ref="C72:J72">C10-C71</f>
        <v>5918</v>
      </c>
      <c r="D72" s="50">
        <f t="shared" si="37"/>
        <v>6346</v>
      </c>
      <c r="E72" s="50">
        <f t="shared" si="37"/>
        <v>6344</v>
      </c>
      <c r="F72" s="50">
        <f t="shared" si="37"/>
        <v>6543</v>
      </c>
      <c r="G72" s="50">
        <f t="shared" si="37"/>
        <v>25151</v>
      </c>
      <c r="H72" s="50">
        <f t="shared" si="37"/>
        <v>6284</v>
      </c>
      <c r="I72" s="50">
        <f t="shared" si="37"/>
        <v>7307</v>
      </c>
      <c r="J72" s="51">
        <f t="shared" si="37"/>
        <v>7520.227995061555</v>
      </c>
      <c r="K72" s="11" t="s">
        <v>506</v>
      </c>
    </row>
    <row r="73" ht="15" customHeight="1">
      <c r="A73" s="1"/>
      <c r="B73" s="4" t="s">
        <v>507</v>
      </c>
      <c r="C73" s="44">
        <f t="shared" si="38" ref="C73:J73">C72/C10</f>
        <v>0.5713458196563043</v>
      </c>
      <c r="D73" s="44">
        <f t="shared" si="38"/>
        <v>0.569556632561479</v>
      </c>
      <c r="E73" s="44">
        <f t="shared" si="38"/>
        <v>0.5580086199313924</v>
      </c>
      <c r="F73" s="44">
        <f t="shared" si="38"/>
        <v>0.5709922331791605</v>
      </c>
      <c r="G73" s="44">
        <f t="shared" si="38"/>
        <v>0.5673840462010468</v>
      </c>
      <c r="H73" s="44">
        <f t="shared" si="38"/>
        <v>0.5628806879254747</v>
      </c>
      <c r="I73" s="44">
        <f t="shared" si="38"/>
        <v>0.5802429921384896</v>
      </c>
      <c r="J73" s="38">
        <f t="shared" si="38"/>
        <v>0.582</v>
      </c>
      <c r="K73" s="11"/>
    </row>
    <row r="74" ht="15" customHeight="1">
      <c r="A74" s="1"/>
      <c r="B74" s="4" t="s">
        <v>149</v>
      </c>
      <c r="C74" s="36" t="s">
        <v>30</v>
      </c>
      <c r="D74" s="36" t="s">
        <v>30</v>
      </c>
      <c r="E74" s="47">
        <f t="shared" si="39" ref="E74:J74">(E73-E118/E112)*10000</f>
        <v>-45.677787521994915</v>
      </c>
      <c r="F74" s="47">
        <f t="shared" si="39"/>
        <v>23.75502725360579</v>
      </c>
      <c r="G74" s="47">
        <f t="shared" si="39"/>
        <v>53.10148704026463</v>
      </c>
      <c r="H74" s="47">
        <f t="shared" si="39"/>
        <v>-84.65131730829523</v>
      </c>
      <c r="I74" s="47">
        <f t="shared" si="39"/>
        <v>106.86359577010585</v>
      </c>
      <c r="J74" s="48">
        <f t="shared" si="39"/>
        <v>239.91380068607572</v>
      </c>
      <c r="K74" s="11"/>
    </row>
    <row r="75" ht="15" customHeight="1">
      <c r="A75" s="1"/>
      <c r="B75" s="1" t="s">
        <v>508</v>
      </c>
      <c r="C75" s="33">
        <f t="shared" si="40" ref="C75:I75">C17-C62</f>
        <v>689</v>
      </c>
      <c r="D75" s="33">
        <f t="shared" si="40"/>
        <v>705</v>
      </c>
      <c r="E75" s="33">
        <f t="shared" si="40"/>
        <v>730</v>
      </c>
      <c r="F75" s="33">
        <f t="shared" si="40"/>
        <v>706</v>
      </c>
      <c r="G75" s="33">
        <f t="shared" si="40"/>
        <v>2830</v>
      </c>
      <c r="H75" s="33">
        <f t="shared" si="40"/>
        <v>743</v>
      </c>
      <c r="I75" s="33">
        <f t="shared" si="40"/>
        <v>867</v>
      </c>
      <c r="J75" s="43">
        <f>J10*J103</f>
        <v>891.5734220949267</v>
      </c>
      <c r="K75" s="11"/>
    </row>
    <row r="76" ht="15" customHeight="1">
      <c r="A76" s="1"/>
      <c r="B76" s="4" t="s">
        <v>509</v>
      </c>
      <c r="C76" s="44">
        <f t="shared" si="41" ref="C76:J76">C75/C10</f>
        <v>0.06651863294072215</v>
      </c>
      <c r="D76" s="44">
        <f t="shared" si="41"/>
        <v>0.06327409800753904</v>
      </c>
      <c r="E76" s="44">
        <f t="shared" si="41"/>
        <v>0.06420969302489225</v>
      </c>
      <c r="F76" s="44">
        <f t="shared" si="41"/>
        <v>0.061610960816825204</v>
      </c>
      <c r="G76" s="44">
        <f t="shared" si="41"/>
        <v>0.0638422667388558</v>
      </c>
      <c r="H76" s="44">
        <f t="shared" si="41"/>
        <v>0.06655320673593694</v>
      </c>
      <c r="I76" s="44">
        <f t="shared" si="41"/>
        <v>0.06884777257206384</v>
      </c>
      <c r="J76" s="38">
        <f t="shared" si="41"/>
        <v>0.069</v>
      </c>
      <c r="K76" s="11"/>
    </row>
    <row r="77" ht="15" customHeight="1">
      <c r="A77" s="1"/>
      <c r="B77" s="4" t="s">
        <v>149</v>
      </c>
      <c r="C77" s="36" t="s">
        <v>30</v>
      </c>
      <c r="D77" s="36" t="s">
        <v>30</v>
      </c>
      <c r="E77" s="47">
        <f t="shared" si="42" ref="E77:J77">(E76-E119/E112)*10000</f>
        <v>-10.465364062313965</v>
      </c>
      <c r="F77" s="47">
        <f t="shared" si="42"/>
        <v>-12.649276468161345</v>
      </c>
      <c r="G77" s="47">
        <f t="shared" si="42"/>
        <v>-6.154209846245262</v>
      </c>
      <c r="H77" s="47">
        <f t="shared" si="42"/>
        <v>0.3457379521479287</v>
      </c>
      <c r="I77" s="47">
        <f t="shared" si="42"/>
        <v>55.73674564524803</v>
      </c>
      <c r="J77" s="48">
        <f t="shared" si="42"/>
        <v>47.903069751077524</v>
      </c>
      <c r="K77" s="11"/>
    </row>
    <row r="78" ht="15" customHeight="1">
      <c r="A78" s="1"/>
      <c r="B78" s="1" t="s">
        <v>510</v>
      </c>
      <c r="C78" s="33">
        <f t="shared" si="43" ref="C78:I78">C18-C63</f>
        <v>3051</v>
      </c>
      <c r="D78" s="33">
        <f t="shared" si="43"/>
        <v>3090</v>
      </c>
      <c r="E78" s="33">
        <f t="shared" si="43"/>
        <v>3004</v>
      </c>
      <c r="F78" s="33">
        <f t="shared" si="43"/>
        <v>2875</v>
      </c>
      <c r="G78" s="33">
        <f t="shared" si="43"/>
        <v>12020</v>
      </c>
      <c r="H78" s="33">
        <f t="shared" si="43"/>
        <v>3267</v>
      </c>
      <c r="I78" s="33">
        <f t="shared" si="43"/>
        <v>3597</v>
      </c>
      <c r="J78" s="43">
        <f>J10*J104</f>
        <v>3579.215042323112</v>
      </c>
      <c r="K78" s="11"/>
    </row>
    <row r="79" ht="15" customHeight="1">
      <c r="A79" s="1"/>
      <c r="B79" s="4" t="s">
        <v>511</v>
      </c>
      <c r="C79" s="44">
        <f t="shared" si="44" ref="C79:J79">C78/C10</f>
        <v>0.2945549333848233</v>
      </c>
      <c r="D79" s="44">
        <f t="shared" si="44"/>
        <v>0.2773290253096392</v>
      </c>
      <c r="E79" s="44">
        <f t="shared" si="44"/>
        <v>0.2642272847216114</v>
      </c>
      <c r="F79" s="44">
        <f t="shared" si="44"/>
        <v>0.25089449341129244</v>
      </c>
      <c r="G79" s="44">
        <f t="shared" si="44"/>
        <v>0.2711604403537268</v>
      </c>
      <c r="H79" s="44">
        <f t="shared" si="44"/>
        <v>0.2926370476531709</v>
      </c>
      <c r="I79" s="44">
        <f t="shared" si="44"/>
        <v>0.28563487651870084</v>
      </c>
      <c r="J79" s="38">
        <f t="shared" si="44"/>
        <v>0.277</v>
      </c>
      <c r="K79" s="11"/>
    </row>
    <row r="80" ht="15" customHeight="1">
      <c r="A80" s="1"/>
      <c r="B80" s="4" t="s">
        <v>149</v>
      </c>
      <c r="C80" s="36" t="s">
        <v>30</v>
      </c>
      <c r="D80" s="36" t="s">
        <v>30</v>
      </c>
      <c r="E80" s="47">
        <f t="shared" si="45" ref="E80:J80">(E79-E120/E112)*10000</f>
        <v>-75.16955993010166</v>
      </c>
      <c r="F80" s="47">
        <f t="shared" si="45"/>
        <v>-120.90744423589983</v>
      </c>
      <c r="G80" s="47">
        <f t="shared" si="45"/>
        <v>-48.82467870349516</v>
      </c>
      <c r="H80" s="47">
        <f t="shared" si="45"/>
        <v>-19.178857316524134</v>
      </c>
      <c r="I80" s="47">
        <f t="shared" si="45"/>
        <v>83.05851209061632</v>
      </c>
      <c r="J80" s="48">
        <f t="shared" si="45"/>
        <v>127.72715278388635</v>
      </c>
      <c r="K80" s="11"/>
    </row>
    <row r="81" ht="15" customHeight="1">
      <c r="A81" s="1"/>
      <c r="B81" s="3" t="s">
        <v>512</v>
      </c>
      <c r="C81" s="50">
        <f t="shared" si="46" ref="C81:J81">C72-C75-C78</f>
        <v>2178</v>
      </c>
      <c r="D81" s="50">
        <f t="shared" si="46"/>
        <v>2551</v>
      </c>
      <c r="E81" s="50">
        <f t="shared" si="46"/>
        <v>2610</v>
      </c>
      <c r="F81" s="50">
        <f t="shared" si="46"/>
        <v>2962</v>
      </c>
      <c r="G81" s="50">
        <f t="shared" si="46"/>
        <v>10301</v>
      </c>
      <c r="H81" s="50">
        <f t="shared" si="46"/>
        <v>2274</v>
      </c>
      <c r="I81" s="50">
        <f t="shared" si="46"/>
        <v>2843</v>
      </c>
      <c r="J81" s="51">
        <f t="shared" si="46"/>
        <v>3049.439530643516</v>
      </c>
      <c r="K81" s="11" t="s">
        <v>513</v>
      </c>
    </row>
    <row r="82" ht="15" customHeight="1">
      <c r="A82" s="1"/>
      <c r="B82" s="4" t="s">
        <v>145</v>
      </c>
      <c r="C82" s="36" t="s">
        <v>30</v>
      </c>
      <c r="D82" s="36" t="s">
        <v>30</v>
      </c>
      <c r="E82" s="44">
        <f t="shared" si="47" ref="E82:J82">E81/(E118-E119-E120)-1</f>
        <v>0.08795331388078376</v>
      </c>
      <c r="F82" s="44">
        <f t="shared" si="47"/>
        <v>0.11186186186186187</v>
      </c>
      <c r="G82" s="44">
        <f t="shared" si="47"/>
        <v>0.10823023130715437</v>
      </c>
      <c r="H82" s="44">
        <f t="shared" si="47"/>
        <v>0.0440771349862259</v>
      </c>
      <c r="I82" s="44">
        <f t="shared" si="47"/>
        <v>0.11446491571932582</v>
      </c>
      <c r="J82" s="38">
        <f t="shared" si="47"/>
        <v>0.16836763626188356</v>
      </c>
      <c r="K82" s="11"/>
    </row>
    <row r="83" ht="15" customHeight="1">
      <c r="A83" s="1"/>
      <c r="B83" s="4" t="s">
        <v>514</v>
      </c>
      <c r="C83" s="44">
        <f t="shared" si="48" ref="C83:J83">C81/C10</f>
        <v>0.21027225333075883</v>
      </c>
      <c r="D83" s="44">
        <f t="shared" si="48"/>
        <v>0.22895350924430086</v>
      </c>
      <c r="E83" s="44">
        <f t="shared" si="48"/>
        <v>0.22957164218488874</v>
      </c>
      <c r="F83" s="44">
        <f t="shared" si="48"/>
        <v>0.25848677895104283</v>
      </c>
      <c r="G83" s="44">
        <f t="shared" si="48"/>
        <v>0.23238133910846417</v>
      </c>
      <c r="H83" s="44">
        <f t="shared" si="48"/>
        <v>0.2036904335363669</v>
      </c>
      <c r="I83" s="44">
        <f t="shared" si="48"/>
        <v>0.22576034304772494</v>
      </c>
      <c r="J83" s="38">
        <f t="shared" si="48"/>
        <v>0.23599999999999988</v>
      </c>
      <c r="K83" s="11"/>
    </row>
    <row r="84" ht="15" customHeight="1">
      <c r="A84" s="1"/>
      <c r="B84" s="4" t="s">
        <v>149</v>
      </c>
      <c r="C84" s="36" t="s">
        <v>30</v>
      </c>
      <c r="D84" s="36" t="s">
        <v>30</v>
      </c>
      <c r="E84" s="47">
        <f t="shared" si="49" ref="E84:J84">(E83-(E118-E119-E120)/E112)*10000</f>
        <v>39.95713647042015</v>
      </c>
      <c r="F84" s="47">
        <f t="shared" si="49"/>
        <v>157.31174795766717</v>
      </c>
      <c r="G84" s="47">
        <f t="shared" si="49"/>
        <v>108.08037559000533</v>
      </c>
      <c r="H84" s="47">
        <f t="shared" si="49"/>
        <v>-65.8181979439193</v>
      </c>
      <c r="I84" s="47">
        <f t="shared" si="49"/>
        <v>-31.931661965759194</v>
      </c>
      <c r="J84" s="48">
        <f t="shared" si="49"/>
        <v>64.28357815111141</v>
      </c>
      <c r="K84" s="11"/>
    </row>
    <row r="85" ht="15" customHeight="1">
      <c r="A85" s="1"/>
      <c r="B85" s="1" t="s">
        <v>515</v>
      </c>
      <c r="C85" s="33">
        <f t="shared" si="50" ref="C85:J86">C26</f>
        <v>49</v>
      </c>
      <c r="D85" s="33">
        <f t="shared" si="50"/>
        <v>50</v>
      </c>
      <c r="E85" s="33">
        <f t="shared" si="50"/>
        <v>44</v>
      </c>
      <c r="F85" s="33">
        <f t="shared" si="50"/>
        <v>42</v>
      </c>
      <c r="G85" s="33">
        <f t="shared" si="50"/>
        <v>185</v>
      </c>
      <c r="H85" s="33">
        <f t="shared" si="50"/>
        <v>68</v>
      </c>
      <c r="I85" s="33">
        <f t="shared" si="50"/>
        <v>299</v>
      </c>
      <c r="J85" s="43">
        <f t="shared" si="50"/>
        <v>300</v>
      </c>
      <c r="K85" s="11"/>
    </row>
    <row r="86" ht="15" customHeight="1">
      <c r="A86" s="1"/>
      <c r="B86" s="1" t="s">
        <v>516</v>
      </c>
      <c r="C86" s="33">
        <f t="shared" si="50"/>
        <v>-7</v>
      </c>
      <c r="D86" s="33">
        <f t="shared" si="50"/>
        <v>-11</v>
      </c>
      <c r="E86" s="33">
        <f t="shared" si="50"/>
        <v>-17</v>
      </c>
      <c r="F86" s="33">
        <f t="shared" si="50"/>
        <v>-15</v>
      </c>
      <c r="G86" s="33">
        <f t="shared" si="50"/>
        <v>-50</v>
      </c>
      <c r="H86" s="33">
        <f t="shared" si="50"/>
        <v>-13</v>
      </c>
      <c r="I86" s="33">
        <f t="shared" si="50"/>
        <v>4</v>
      </c>
      <c r="J86" s="43">
        <f t="shared" si="50"/>
        <v>-10</v>
      </c>
      <c r="K86" s="11"/>
    </row>
    <row r="87" ht="15" customHeight="1">
      <c r="A87" s="1"/>
      <c r="B87" s="1" t="s">
        <v>517</v>
      </c>
      <c r="C87" s="33">
        <f t="shared" si="51" ref="C87:I87">C28-C64</f>
        <v>-162</v>
      </c>
      <c r="D87" s="33">
        <f t="shared" si="51"/>
        <v>-138</v>
      </c>
      <c r="E87" s="33">
        <f t="shared" si="51"/>
        <v>-145</v>
      </c>
      <c r="F87" s="33">
        <f t="shared" si="51"/>
        <v>-151</v>
      </c>
      <c r="G87" s="33">
        <f t="shared" si="51"/>
        <v>-596</v>
      </c>
      <c r="H87" s="33">
        <f t="shared" si="51"/>
        <v>-166</v>
      </c>
      <c r="I87" s="33">
        <f t="shared" si="51"/>
        <v>-161</v>
      </c>
      <c r="J87" s="58">
        <v>-160</v>
      </c>
      <c r="K87" s="11" t="s">
        <v>518</v>
      </c>
    </row>
    <row r="88" ht="15" customHeight="1">
      <c r="A88" s="1"/>
      <c r="B88" s="3" t="s">
        <v>519</v>
      </c>
      <c r="C88" s="50">
        <f t="shared" si="52" ref="C88:J88">C81-C85-C86-C87</f>
        <v>2298</v>
      </c>
      <c r="D88" s="50">
        <f t="shared" si="52"/>
        <v>2650</v>
      </c>
      <c r="E88" s="50">
        <f t="shared" si="52"/>
        <v>2728</v>
      </c>
      <c r="F88" s="50">
        <f t="shared" si="52"/>
        <v>3086</v>
      </c>
      <c r="G88" s="50">
        <f t="shared" si="52"/>
        <v>10762</v>
      </c>
      <c r="H88" s="50">
        <f t="shared" si="52"/>
        <v>2385</v>
      </c>
      <c r="I88" s="50">
        <f t="shared" si="52"/>
        <v>2701</v>
      </c>
      <c r="J88" s="51">
        <f t="shared" si="52"/>
        <v>2919.439530643516</v>
      </c>
      <c r="K88" s="11"/>
    </row>
    <row r="89" ht="15" customHeight="1">
      <c r="A89" s="1"/>
      <c r="B89" s="1" t="s">
        <v>520</v>
      </c>
      <c r="C89" s="33">
        <f t="shared" si="53" ref="C89:J89">C29+C53-C88</f>
        <v>0</v>
      </c>
      <c r="D89" s="33">
        <f t="shared" si="53"/>
        <v>0</v>
      </c>
      <c r="E89" s="33">
        <f t="shared" si="53"/>
        <v>0</v>
      </c>
      <c r="F89" s="33">
        <f t="shared" si="53"/>
        <v>0</v>
      </c>
      <c r="G89" s="33">
        <f t="shared" si="53"/>
        <v>0</v>
      </c>
      <c r="H89" s="33">
        <f t="shared" si="53"/>
        <v>0</v>
      </c>
      <c r="I89" s="33">
        <f t="shared" si="53"/>
        <v>0</v>
      </c>
      <c r="J89" s="43">
        <f t="shared" si="53"/>
        <v>0</v>
      </c>
      <c r="K89" s="11" t="s">
        <v>521</v>
      </c>
    </row>
    <row r="90" ht="15" customHeight="1">
      <c r="A90" s="1"/>
      <c r="B90" s="1" t="s">
        <v>522</v>
      </c>
      <c r="C90" s="33">
        <f t="shared" si="54" ref="C90:I90">C30-C54</f>
        <v>379</v>
      </c>
      <c r="D90" s="33">
        <f t="shared" si="54"/>
        <v>437</v>
      </c>
      <c r="E90" s="33">
        <f t="shared" si="54"/>
        <v>450</v>
      </c>
      <c r="F90" s="33">
        <f t="shared" si="54"/>
        <v>456</v>
      </c>
      <c r="G90" s="33">
        <f t="shared" si="54"/>
        <v>1722</v>
      </c>
      <c r="H90" s="33">
        <f t="shared" si="54"/>
        <v>363</v>
      </c>
      <c r="I90" s="33">
        <f t="shared" si="54"/>
        <v>411</v>
      </c>
      <c r="J90" s="43">
        <f>J88*J105</f>
        <v>443.7548086578144</v>
      </c>
      <c r="K90" s="11"/>
    </row>
    <row r="91" ht="15" customHeight="1">
      <c r="A91" s="1"/>
      <c r="B91" s="4" t="s">
        <v>523</v>
      </c>
      <c r="C91" s="44">
        <f t="shared" si="55" ref="C91:J91">C90/C88</f>
        <v>0.1649260226283725</v>
      </c>
      <c r="D91" s="44">
        <f t="shared" si="55"/>
        <v>0.1649056603773585</v>
      </c>
      <c r="E91" s="44">
        <f t="shared" si="55"/>
        <v>0.16495601173020527</v>
      </c>
      <c r="F91" s="44">
        <f t="shared" si="55"/>
        <v>0.14776409591704473</v>
      </c>
      <c r="G91" s="44">
        <f t="shared" si="55"/>
        <v>0.16000743356253486</v>
      </c>
      <c r="H91" s="44">
        <f t="shared" si="55"/>
        <v>0.15220125786163521</v>
      </c>
      <c r="I91" s="44">
        <f t="shared" si="55"/>
        <v>0.15216586449463163</v>
      </c>
      <c r="J91" s="38">
        <f t="shared" si="55"/>
        <v>0.152</v>
      </c>
      <c r="K91" s="11"/>
    </row>
    <row r="92" ht="15" customHeight="1">
      <c r="A92" s="1"/>
      <c r="B92" s="4" t="s">
        <v>149</v>
      </c>
      <c r="C92" s="36" t="s">
        <v>30</v>
      </c>
      <c r="D92" s="36" t="s">
        <v>30</v>
      </c>
      <c r="E92" s="36" t="s">
        <v>30</v>
      </c>
      <c r="F92" s="36" t="s">
        <v>30</v>
      </c>
      <c r="G92" s="36" t="s">
        <v>30</v>
      </c>
      <c r="H92" s="47">
        <f t="shared" si="16"/>
        <v>-127.24764766737285</v>
      </c>
      <c r="I92" s="47">
        <f t="shared" si="16"/>
        <v>-127.39795882726862</v>
      </c>
      <c r="J92" s="48">
        <f t="shared" si="16"/>
        <v>-129.56011730205276</v>
      </c>
      <c r="K92" s="11"/>
    </row>
    <row r="93" ht="15" customHeight="1">
      <c r="A93" s="1"/>
      <c r="B93" s="3" t="s">
        <v>524</v>
      </c>
      <c r="C93" s="50">
        <f t="shared" si="56" ref="C93:J93">C88-C90</f>
        <v>1919</v>
      </c>
      <c r="D93" s="50">
        <f t="shared" si="56"/>
        <v>2213</v>
      </c>
      <c r="E93" s="50">
        <f t="shared" si="56"/>
        <v>2278</v>
      </c>
      <c r="F93" s="50">
        <f t="shared" si="56"/>
        <v>2630</v>
      </c>
      <c r="G93" s="50">
        <f t="shared" si="56"/>
        <v>9040</v>
      </c>
      <c r="H93" s="50">
        <f t="shared" si="56"/>
        <v>2022</v>
      </c>
      <c r="I93" s="50">
        <f t="shared" si="56"/>
        <v>2290</v>
      </c>
      <c r="J93" s="51">
        <f t="shared" si="56"/>
        <v>2475.6847219857013</v>
      </c>
      <c r="K93" s="11"/>
    </row>
    <row r="94" ht="15" customHeight="1">
      <c r="A94" s="1"/>
      <c r="B94" s="4" t="s">
        <v>145</v>
      </c>
      <c r="C94" s="36" t="s">
        <v>30</v>
      </c>
      <c r="D94" s="36" t="s">
        <v>30</v>
      </c>
      <c r="E94" s="44">
        <f t="shared" si="57" ref="E94:J94">E93/E121-1</f>
        <v>0.07503539405379889</v>
      </c>
      <c r="F94" s="44">
        <f t="shared" si="57"/>
        <v>0.11962537249893579</v>
      </c>
      <c r="G94" s="44">
        <f t="shared" si="57"/>
        <v>0.102439024390244</v>
      </c>
      <c r="H94" s="44">
        <f t="shared" si="57"/>
        <v>0.053673788431474634</v>
      </c>
      <c r="I94" s="44">
        <f t="shared" si="57"/>
        <v>0.03479439674649787</v>
      </c>
      <c r="J94" s="38">
        <f t="shared" si="57"/>
        <v>0.08677994819389867</v>
      </c>
      <c r="K94" s="11"/>
    </row>
    <row r="95" ht="15" customHeight="1">
      <c r="A95" s="1"/>
      <c r="B95" s="1" t="s">
        <v>525</v>
      </c>
      <c r="C95" s="33">
        <f t="shared" si="58" ref="C95:J95">C93-C55</f>
        <v>0</v>
      </c>
      <c r="D95" s="33">
        <f t="shared" si="58"/>
        <v>0</v>
      </c>
      <c r="E95" s="33">
        <f t="shared" si="58"/>
        <v>0</v>
      </c>
      <c r="F95" s="33">
        <f t="shared" si="58"/>
        <v>0</v>
      </c>
      <c r="G95" s="33">
        <f t="shared" si="58"/>
        <v>0</v>
      </c>
      <c r="H95" s="33">
        <f t="shared" si="58"/>
        <v>0</v>
      </c>
      <c r="I95" s="33">
        <f t="shared" si="58"/>
        <v>0</v>
      </c>
      <c r="J95" s="43">
        <f t="shared" si="58"/>
        <v>0</v>
      </c>
      <c r="K95" s="11" t="s">
        <v>526</v>
      </c>
    </row>
    <row r="96" ht="15" customHeight="1">
      <c r="A96" s="1"/>
      <c r="B96" s="1" t="s">
        <v>527</v>
      </c>
      <c r="C96" s="32">
        <f t="shared" si="59" ref="C96:J96">C93*(1-C37)/C40</f>
        <v>1.0939229175490208</v>
      </c>
      <c r="D96" s="32">
        <f t="shared" si="59"/>
        <v>1.2589124617682421</v>
      </c>
      <c r="E96" s="32">
        <f t="shared" si="59"/>
        <v>1.2969810119237823</v>
      </c>
      <c r="F96" s="32">
        <f t="shared" si="59"/>
        <v>1.4994161419576417</v>
      </c>
      <c r="G96" s="32">
        <f t="shared" si="59"/>
        <v>5.150938215102975</v>
      </c>
      <c r="H96" s="32">
        <f t="shared" si="59"/>
        <v>1.1527348885822173</v>
      </c>
      <c r="I96" s="32">
        <f t="shared" si="59"/>
        <v>1.30858569313148</v>
      </c>
      <c r="J96" s="59">
        <f t="shared" si="59"/>
        <v>1.4214952238814957</v>
      </c>
      <c r="K96" s="11"/>
    </row>
    <row r="97" ht="15" customHeight="1">
      <c r="A97" s="1"/>
      <c r="B97" s="3" t="s">
        <v>528</v>
      </c>
      <c r="C97" s="60">
        <f>Inputs!E101</f>
        <v>1.09</v>
      </c>
      <c r="D97" s="60">
        <f>Inputs!E102</f>
        <v>1.26</v>
      </c>
      <c r="E97" s="60">
        <f>Inputs!E103</f>
        <v>1.3</v>
      </c>
      <c r="F97" s="60">
        <f>Inputs!E104</f>
        <v>1.5</v>
      </c>
      <c r="G97" s="61">
        <v>5.15</v>
      </c>
      <c r="H97" s="60">
        <f>Inputs!E105</f>
        <v>1.15</v>
      </c>
      <c r="I97" s="60">
        <f>Inputs!E106</f>
        <v>1.31</v>
      </c>
      <c r="J97" s="62">
        <f t="shared" si="60"/>
        <v>1.42</v>
      </c>
      <c r="K97" s="11" t="s">
        <v>529</v>
      </c>
    </row>
    <row r="98" ht="15" customHeight="1">
      <c r="A98" s="1"/>
      <c r="B98" s="4" t="s">
        <v>145</v>
      </c>
      <c r="C98" s="44">
        <f t="shared" si="61" ref="C98:J98">C97/C117-1</f>
        <v>0.11224489795918369</v>
      </c>
      <c r="D98" s="44">
        <f t="shared" si="61"/>
        <v>0.10526315789473695</v>
      </c>
      <c r="E98" s="44">
        <f t="shared" si="61"/>
        <v>0.07438016528925617</v>
      </c>
      <c r="F98" s="44">
        <f t="shared" si="61"/>
        <v>0.11940298507462677</v>
      </c>
      <c r="G98" s="44">
        <f t="shared" si="61"/>
        <v>0.10278372591006435</v>
      </c>
      <c r="H98" s="44">
        <f t="shared" si="61"/>
        <v>0.05504587155963292</v>
      </c>
      <c r="I98" s="44">
        <f t="shared" si="61"/>
        <v>0.039682539682539764</v>
      </c>
      <c r="J98" s="38">
        <f t="shared" si="61"/>
        <v>0.0923076923076922</v>
      </c>
      <c r="K98" s="11"/>
    </row>
    <row r="99" ht="15" customHeight="1">
      <c r="A99" s="1"/>
      <c r="B99" s="1" t="s">
        <v>530</v>
      </c>
      <c r="C99" s="13" t="b">
        <f t="shared" si="25"/>
        <v>1</v>
      </c>
      <c r="D99" s="13" t="b">
        <f t="shared" si="25"/>
        <v>1</v>
      </c>
      <c r="E99" s="13" t="b">
        <f t="shared" si="25"/>
        <v>1</v>
      </c>
      <c r="F99" s="13" t="b">
        <f t="shared" si="25"/>
        <v>1</v>
      </c>
      <c r="G99" s="13" t="b">
        <f t="shared" si="25"/>
        <v>1</v>
      </c>
      <c r="H99" s="13" t="b">
        <f t="shared" si="25"/>
        <v>1</v>
      </c>
      <c r="I99" s="13" t="b">
        <f t="shared" si="25"/>
        <v>1</v>
      </c>
      <c r="J99" s="52" t="b">
        <f t="shared" si="25"/>
        <v>1</v>
      </c>
      <c r="K99" s="11" t="s">
        <v>531</v>
      </c>
    </row>
    <row r="100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35"/>
      <c r="K100" s="11"/>
    </row>
    <row r="101" ht="15" customHeight="1">
      <c r="A101" s="1"/>
      <c r="B101" s="3" t="s">
        <v>532</v>
      </c>
      <c r="C101" s="1"/>
      <c r="D101" s="1"/>
      <c r="E101" s="1"/>
      <c r="F101" s="1"/>
      <c r="G101" s="1"/>
      <c r="H101" s="1"/>
      <c r="I101" s="1"/>
      <c r="J101" s="35"/>
      <c r="K101" s="11"/>
    </row>
    <row r="102" ht="15" customHeight="1">
      <c r="A102" s="1"/>
      <c r="B102" s="4" t="s">
        <v>533</v>
      </c>
      <c r="C102" s="36"/>
      <c r="D102" s="36"/>
      <c r="E102" s="36"/>
      <c r="F102" s="36"/>
      <c r="G102" s="36"/>
      <c r="H102" s="36"/>
      <c r="I102" s="36"/>
      <c r="J102" s="37">
        <v>0.582</v>
      </c>
      <c r="K102" s="11" t="s">
        <v>534</v>
      </c>
    </row>
    <row r="103" ht="15" customHeight="1">
      <c r="A103" s="1"/>
      <c r="B103" s="4" t="s">
        <v>535</v>
      </c>
      <c r="C103" s="36"/>
      <c r="D103" s="36"/>
      <c r="E103" s="36"/>
      <c r="F103" s="36"/>
      <c r="G103" s="36"/>
      <c r="H103" s="36"/>
      <c r="I103" s="36"/>
      <c r="J103" s="37">
        <v>0.069</v>
      </c>
      <c r="K103" s="11" t="s">
        <v>536</v>
      </c>
    </row>
    <row r="104" ht="15" customHeight="1">
      <c r="A104" s="1"/>
      <c r="B104" s="4" t="s">
        <v>537</v>
      </c>
      <c r="C104" s="36"/>
      <c r="D104" s="36"/>
      <c r="E104" s="36"/>
      <c r="F104" s="36"/>
      <c r="G104" s="36"/>
      <c r="H104" s="36"/>
      <c r="I104" s="36"/>
      <c r="J104" s="37">
        <v>0.277</v>
      </c>
      <c r="K104" s="11" t="s">
        <v>538</v>
      </c>
    </row>
    <row r="105" ht="15" customHeight="1">
      <c r="A105" s="1"/>
      <c r="B105" s="4" t="s">
        <v>539</v>
      </c>
      <c r="C105" s="36"/>
      <c r="D105" s="36"/>
      <c r="E105" s="36"/>
      <c r="F105" s="36"/>
      <c r="G105" s="36"/>
      <c r="H105" s="36"/>
      <c r="I105" s="36"/>
      <c r="J105" s="37">
        <v>0.152</v>
      </c>
      <c r="K105" s="11" t="s">
        <v>540</v>
      </c>
    </row>
    <row r="106" ht="15" customHeight="1">
      <c r="A106" s="1"/>
      <c r="B106" s="1"/>
      <c r="C106" s="1"/>
      <c r="D106" s="1"/>
      <c r="E106" s="1"/>
      <c r="F106" s="1"/>
      <c r="G106" s="1"/>
      <c r="H106" s="1"/>
      <c r="I106" s="1"/>
      <c r="J106" s="35"/>
      <c r="K106" s="11"/>
    </row>
    <row r="107" ht="15" customHeight="1">
      <c r="A107" s="1"/>
      <c r="B107" s="3" t="s">
        <v>541</v>
      </c>
      <c r="C107" s="1"/>
      <c r="D107" s="1"/>
      <c r="E107" s="1"/>
      <c r="F107" s="1"/>
      <c r="G107" s="1"/>
      <c r="H107" s="1"/>
      <c r="I107" s="1"/>
      <c r="J107" s="35"/>
      <c r="K107" s="11"/>
    </row>
    <row r="108" ht="15" customHeight="1">
      <c r="A108" s="1"/>
      <c r="B108" s="3" t="s">
        <v>542</v>
      </c>
      <c r="C108" s="39">
        <f>'Segment - Nutrition'!C112+'Segment - Diagnostics'!C249+'Segment - Established Pharma'!C90+'Segment - Medical Devices'!C301</f>
        <v>2660</v>
      </c>
      <c r="D108" s="39">
        <f>'Segment - Nutrition'!D112+'Segment - Diagnostics'!D249+'Segment - Established Pharma'!D90+'Segment - Medical Devices'!D301</f>
        <v>2932</v>
      </c>
      <c r="E108" s="39">
        <f>'Segment - Nutrition'!E112+'Segment - Diagnostics'!E249+'Segment - Established Pharma'!E90+'Segment - Medical Devices'!E301</f>
        <v>2980</v>
      </c>
      <c r="F108" s="39">
        <f>'Segment - Nutrition'!F112+'Segment - Diagnostics'!F249+'Segment - Established Pharma'!F90+'Segment - Medical Devices'!F301</f>
        <v>3228</v>
      </c>
      <c r="G108" s="39">
        <f>'Segment - Nutrition'!G112+'Segment - Diagnostics'!G249+'Segment - Established Pharma'!G90+'Segment - Medical Devices'!G301</f>
        <v>11800</v>
      </c>
      <c r="H108" s="39">
        <f>'Segment - Nutrition'!H112+'Segment - Diagnostics'!H249+'Segment - Established Pharma'!H90+'Segment - Medical Devices'!H301</f>
        <v>2904</v>
      </c>
      <c r="I108" s="39">
        <f>'Segment - Nutrition'!I112+'Segment - Diagnostics'!I249+'Segment - Established Pharma'!I90+'Segment - Medical Devices'!I301</f>
        <v>3218</v>
      </c>
      <c r="J108" s="40">
        <f>'Segment - Nutrition'!J112+'Segment - Diagnostics'!J249+'Segment - Established Pharma'!J90+'Segment - Medical Devices'!J301</f>
        <v>3275.865239150269</v>
      </c>
      <c r="K108" s="11" t="s">
        <v>543</v>
      </c>
    </row>
    <row r="109" ht="15" customHeight="1">
      <c r="A109" s="1"/>
      <c r="B109" s="1" t="s">
        <v>544</v>
      </c>
      <c r="C109" s="33">
        <f t="shared" si="62" ref="C109:J109">C108-C81</f>
        <v>482</v>
      </c>
      <c r="D109" s="33">
        <f t="shared" si="62"/>
        <v>381</v>
      </c>
      <c r="E109" s="33">
        <f t="shared" si="62"/>
        <v>370</v>
      </c>
      <c r="F109" s="33">
        <f t="shared" si="62"/>
        <v>266</v>
      </c>
      <c r="G109" s="33">
        <f t="shared" si="62"/>
        <v>1499</v>
      </c>
      <c r="H109" s="33">
        <f t="shared" si="62"/>
        <v>630</v>
      </c>
      <c r="I109" s="33">
        <f t="shared" si="62"/>
        <v>375</v>
      </c>
      <c r="J109" s="43">
        <f t="shared" si="62"/>
        <v>226.42570850675338</v>
      </c>
      <c r="K109" s="11" t="s">
        <v>545</v>
      </c>
    </row>
    <row r="110" ht="15" customHeight="1">
      <c r="A110" s="1"/>
      <c r="B110" s="1" t="s">
        <v>546</v>
      </c>
      <c r="C110" s="13" t="s">
        <v>30</v>
      </c>
      <c r="D110" s="13" t="s">
        <v>30</v>
      </c>
      <c r="E110" s="13" t="s">
        <v>30</v>
      </c>
      <c r="F110" s="13" t="s">
        <v>30</v>
      </c>
      <c r="G110" s="13" t="s">
        <v>30</v>
      </c>
      <c r="H110" s="13" t="s">
        <v>30</v>
      </c>
      <c r="I110" s="13" t="s">
        <v>30</v>
      </c>
      <c r="J110" s="52" t="s">
        <v>30</v>
      </c>
      <c r="K110" s="11" t="s">
        <v>547</v>
      </c>
    </row>
    <row r="111" ht="15" customHeight="1">
      <c r="A111" s="1"/>
      <c r="B111" s="3" t="s">
        <v>548</v>
      </c>
      <c r="C111" s="1"/>
      <c r="D111" s="1"/>
      <c r="E111" s="1"/>
      <c r="F111" s="1"/>
      <c r="G111" s="1"/>
      <c r="H111" s="1"/>
      <c r="I111" s="1"/>
      <c r="J111" s="35"/>
      <c r="K111" s="11"/>
    </row>
    <row r="112" ht="15" customHeight="1">
      <c r="A112" s="1"/>
      <c r="B112" s="1" t="s">
        <v>549</v>
      </c>
      <c r="C112" s="27">
        <f>'Revenue summary'!C92</f>
        <v>9964</v>
      </c>
      <c r="D112" s="27">
        <f>'Revenue summary'!D92</f>
        <v>10377</v>
      </c>
      <c r="E112" s="27">
        <f>'Revenue summary'!E92</f>
        <v>10635</v>
      </c>
      <c r="F112" s="27">
        <f>'Revenue summary'!F92</f>
        <v>10974</v>
      </c>
      <c r="G112" s="27">
        <f>'Revenue summary'!G92</f>
        <v>41950</v>
      </c>
      <c r="H112" s="27">
        <f>'Revenue summary'!H92</f>
        <v>10358</v>
      </c>
      <c r="I112" s="27">
        <f>'Revenue summary'!I92</f>
        <v>11142</v>
      </c>
      <c r="J112" s="53">
        <f>'Revenue summary'!J92</f>
        <v>11369</v>
      </c>
      <c r="K112" s="11"/>
    </row>
    <row r="113" ht="15" customHeight="1">
      <c r="A113" s="1"/>
      <c r="B113" s="1" t="s">
        <v>550</v>
      </c>
      <c r="C113" s="29">
        <v>5029</v>
      </c>
      <c r="D113" s="29">
        <v>5303</v>
      </c>
      <c r="E113" s="29">
        <v>5467</v>
      </c>
      <c r="F113" s="33">
        <f t="shared" si="12"/>
        <v>5567</v>
      </c>
      <c r="G113" s="29">
        <v>21366</v>
      </c>
      <c r="H113" s="33">
        <f t="shared" si="63" ref="H113:J113">C14</f>
        <v>5470</v>
      </c>
      <c r="I113" s="33">
        <f t="shared" si="63"/>
        <v>5868</v>
      </c>
      <c r="J113" s="43">
        <f t="shared" si="63"/>
        <v>5874</v>
      </c>
      <c r="K113" s="11" t="s">
        <v>551</v>
      </c>
    </row>
    <row r="114" ht="15" customHeight="1">
      <c r="A114" s="1"/>
      <c r="B114" s="1" t="s">
        <v>552</v>
      </c>
      <c r="C114" s="29">
        <v>1386</v>
      </c>
      <c r="D114" s="29">
        <v>1669</v>
      </c>
      <c r="E114" s="29">
        <v>1859</v>
      </c>
      <c r="F114" s="33">
        <f t="shared" si="12"/>
        <v>1911</v>
      </c>
      <c r="G114" s="29">
        <v>6825</v>
      </c>
      <c r="H114" s="33">
        <f t="shared" si="64" ref="H114:J114">C20</f>
        <v>1693</v>
      </c>
      <c r="I114" s="33">
        <f t="shared" si="64"/>
        <v>2052</v>
      </c>
      <c r="J114" s="43">
        <f t="shared" si="64"/>
        <v>2057</v>
      </c>
      <c r="K114" s="11" t="s">
        <v>181</v>
      </c>
    </row>
    <row r="115" ht="15" customHeight="1">
      <c r="A115" s="1"/>
      <c r="B115" s="1" t="s">
        <v>553</v>
      </c>
      <c r="C115" s="29">
        <v>1225</v>
      </c>
      <c r="D115" s="29">
        <v>1302</v>
      </c>
      <c r="E115" s="29">
        <v>1646</v>
      </c>
      <c r="F115" s="33">
        <f t="shared" si="12"/>
        <v>9229</v>
      </c>
      <c r="G115" s="29">
        <v>13402</v>
      </c>
      <c r="H115" s="33">
        <f t="shared" si="65" ref="H115:J115">C33</f>
        <v>1325</v>
      </c>
      <c r="I115" s="33">
        <f t="shared" si="65"/>
        <v>1779</v>
      </c>
      <c r="J115" s="43">
        <f t="shared" si="65"/>
        <v>1644</v>
      </c>
      <c r="K115" s="11" t="s">
        <v>181</v>
      </c>
    </row>
    <row r="116" ht="15" customHeight="1">
      <c r="A116" s="1"/>
      <c r="B116" s="1" t="s">
        <v>554</v>
      </c>
      <c r="C116" s="28">
        <v>0.7</v>
      </c>
      <c r="D116" s="28">
        <v>0.74</v>
      </c>
      <c r="E116" s="28">
        <v>0.94</v>
      </c>
      <c r="F116" s="28">
        <v>5.27</v>
      </c>
      <c r="G116" s="28">
        <v>7.64</v>
      </c>
      <c r="H116" s="32">
        <f t="shared" si="66" ref="H116:J116">C43</f>
        <v>0.76</v>
      </c>
      <c r="I116" s="32">
        <f t="shared" si="66"/>
        <v>1.01</v>
      </c>
      <c r="J116" s="59">
        <f t="shared" si="66"/>
        <v>0.94</v>
      </c>
      <c r="K116" s="11" t="s">
        <v>325</v>
      </c>
    </row>
    <row r="117" ht="15" customHeight="1">
      <c r="A117" s="1"/>
      <c r="B117" s="1" t="s">
        <v>555</v>
      </c>
      <c r="C117" s="28">
        <v>0.98</v>
      </c>
      <c r="D117" s="28">
        <v>1.14</v>
      </c>
      <c r="E117" s="28">
        <v>1.21</v>
      </c>
      <c r="F117" s="28">
        <v>1.34</v>
      </c>
      <c r="G117" s="28">
        <v>4.67</v>
      </c>
      <c r="H117" s="32">
        <f t="shared" si="67" ref="H117:J117">C97</f>
        <v>1.09</v>
      </c>
      <c r="I117" s="32">
        <f t="shared" si="67"/>
        <v>1.26</v>
      </c>
      <c r="J117" s="59">
        <f t="shared" si="67"/>
        <v>1.3</v>
      </c>
      <c r="K117" s="11" t="s">
        <v>556</v>
      </c>
    </row>
    <row r="118" ht="15" customHeight="1">
      <c r="A118" s="1"/>
      <c r="B118" s="1" t="s">
        <v>557</v>
      </c>
      <c r="C118" s="13" t="s">
        <v>30</v>
      </c>
      <c r="D118" s="13" t="s">
        <v>30</v>
      </c>
      <c r="E118" s="29">
        <v>5983</v>
      </c>
      <c r="F118" s="29">
        <v>6240</v>
      </c>
      <c r="G118" s="29">
        <v>23579</v>
      </c>
      <c r="H118" s="33">
        <f t="shared" si="68" ref="H118:J118">C72</f>
        <v>5918</v>
      </c>
      <c r="I118" s="33">
        <f t="shared" si="68"/>
        <v>6346</v>
      </c>
      <c r="J118" s="43">
        <f t="shared" si="68"/>
        <v>6344</v>
      </c>
      <c r="K118" s="11" t="s">
        <v>558</v>
      </c>
    </row>
    <row r="119" ht="15" customHeight="1">
      <c r="A119" s="1"/>
      <c r="B119" s="1" t="s">
        <v>559</v>
      </c>
      <c r="C119" s="13" t="s">
        <v>30</v>
      </c>
      <c r="D119" s="13" t="s">
        <v>30</v>
      </c>
      <c r="E119" s="29">
        <v>694</v>
      </c>
      <c r="F119" s="29">
        <v>690</v>
      </c>
      <c r="G119" s="29">
        <v>2704</v>
      </c>
      <c r="H119" s="33">
        <f t="shared" si="69" ref="H119:J119">C75</f>
        <v>689</v>
      </c>
      <c r="I119" s="33">
        <f t="shared" si="69"/>
        <v>705</v>
      </c>
      <c r="J119" s="43">
        <f t="shared" si="69"/>
        <v>730</v>
      </c>
      <c r="K119" s="11" t="s">
        <v>560</v>
      </c>
    </row>
    <row r="120" ht="15" customHeight="1">
      <c r="A120" s="1"/>
      <c r="B120" s="1" t="s">
        <v>561</v>
      </c>
      <c r="C120" s="13" t="s">
        <v>30</v>
      </c>
      <c r="D120" s="13" t="s">
        <v>30</v>
      </c>
      <c r="E120" s="29">
        <v>2890</v>
      </c>
      <c r="F120" s="29">
        <v>2886</v>
      </c>
      <c r="G120" s="29">
        <v>11580</v>
      </c>
      <c r="H120" s="33">
        <f t="shared" si="70" ref="H120:J120">C78</f>
        <v>3051</v>
      </c>
      <c r="I120" s="33">
        <f t="shared" si="70"/>
        <v>3090</v>
      </c>
      <c r="J120" s="43">
        <f t="shared" si="70"/>
        <v>3004</v>
      </c>
      <c r="K120" s="11" t="s">
        <v>560</v>
      </c>
    </row>
    <row r="121" ht="15" customHeight="1">
      <c r="A121" s="1"/>
      <c r="B121" s="1" t="s">
        <v>562</v>
      </c>
      <c r="C121" s="13" t="s">
        <v>30</v>
      </c>
      <c r="D121" s="13" t="s">
        <v>30</v>
      </c>
      <c r="E121" s="29">
        <v>2119</v>
      </c>
      <c r="F121" s="29">
        <v>2349</v>
      </c>
      <c r="G121" s="29">
        <v>8200</v>
      </c>
      <c r="H121" s="33">
        <f t="shared" si="71" ref="H121:J121">C93</f>
        <v>1919</v>
      </c>
      <c r="I121" s="33">
        <f t="shared" si="71"/>
        <v>2213</v>
      </c>
      <c r="J121" s="43">
        <f t="shared" si="71"/>
        <v>2278</v>
      </c>
      <c r="K121" s="11" t="s">
        <v>560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ECE0E28-975D-1109-4278-ED607182433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563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5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 t="shared" si="17" ref="H7:H57"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3" t="s">
        <v>564</v>
      </c>
      <c r="C9" s="1"/>
      <c r="D9" s="1"/>
      <c r="E9" s="1"/>
      <c r="F9" s="1"/>
      <c r="G9" s="1"/>
      <c r="H9" s="1"/>
      <c r="I9" s="1"/>
      <c r="J9" s="35"/>
      <c r="K9" s="11"/>
    </row>
    <row r="10" ht="15" customHeight="1">
      <c r="A10" s="1"/>
      <c r="B10" s="1" t="s">
        <v>565</v>
      </c>
      <c r="C10" s="29">
        <v>6532</v>
      </c>
      <c r="D10" s="29">
        <v>6951</v>
      </c>
      <c r="E10" s="29">
        <v>7511</v>
      </c>
      <c r="F10" s="29">
        <v>8522</v>
      </c>
      <c r="G10" s="33">
        <f t="shared" si="3" ref="G10:J48">F10</f>
        <v>8522</v>
      </c>
      <c r="H10" s="29">
        <v>6803</v>
      </c>
      <c r="I10" s="29">
        <v>5104</v>
      </c>
      <c r="J10" s="53">
        <f>'Cash Flow Statement'!J37</f>
        <v>5747.284721985701</v>
      </c>
      <c r="K10" s="11" t="s">
        <v>566</v>
      </c>
    </row>
    <row r="11" ht="15" customHeight="1">
      <c r="A11" s="1"/>
      <c r="B11" s="1" t="s">
        <v>567</v>
      </c>
      <c r="C11" s="29">
        <v>312</v>
      </c>
      <c r="D11" s="29">
        <v>331</v>
      </c>
      <c r="E11" s="29">
        <v>222</v>
      </c>
      <c r="F11" s="29">
        <v>417</v>
      </c>
      <c r="G11" s="33">
        <f t="shared" si="3"/>
        <v>417</v>
      </c>
      <c r="H11" s="29">
        <v>492</v>
      </c>
      <c r="I11" s="29">
        <v>499</v>
      </c>
      <c r="J11" s="43">
        <f t="shared" si="3"/>
        <v>499</v>
      </c>
      <c r="K11" s="11" t="s">
        <v>568</v>
      </c>
    </row>
    <row r="12" ht="15" customHeight="1">
      <c r="A12" s="1"/>
      <c r="B12" s="1" t="s">
        <v>569</v>
      </c>
      <c r="C12" s="29">
        <v>7327</v>
      </c>
      <c r="D12" s="29">
        <v>7972</v>
      </c>
      <c r="E12" s="29">
        <v>8138</v>
      </c>
      <c r="F12" s="29">
        <v>7929</v>
      </c>
      <c r="G12" s="33">
        <f t="shared" si="3"/>
        <v>7929</v>
      </c>
      <c r="H12" s="29">
        <v>8210</v>
      </c>
      <c r="I12" s="29">
        <v>8599</v>
      </c>
      <c r="J12" s="53">
        <f>I12-'Cash Flow Statement'!J14</f>
        <v>8749</v>
      </c>
      <c r="K12" s="11" t="s">
        <v>570</v>
      </c>
    </row>
    <row r="13" ht="15" customHeight="1">
      <c r="A13" s="1"/>
      <c r="B13" s="1" t="s">
        <v>571</v>
      </c>
      <c r="C13" s="29">
        <v>4063</v>
      </c>
      <c r="D13" s="29">
        <v>4319</v>
      </c>
      <c r="E13" s="29">
        <v>4130</v>
      </c>
      <c r="F13" s="29">
        <v>3976</v>
      </c>
      <c r="G13" s="33">
        <f t="shared" si="3"/>
        <v>3976</v>
      </c>
      <c r="H13" s="29">
        <v>4274</v>
      </c>
      <c r="I13" s="29">
        <v>4512</v>
      </c>
      <c r="J13" s="53">
        <f>I13-'Cash Flow Statement'!J15</f>
        <v>4662</v>
      </c>
      <c r="K13" s="11" t="s">
        <v>572</v>
      </c>
    </row>
    <row r="14" ht="15" customHeight="1">
      <c r="A14" s="1"/>
      <c r="B14" s="1" t="s">
        <v>573</v>
      </c>
      <c r="C14" s="29">
        <v>890</v>
      </c>
      <c r="D14" s="29">
        <v>962</v>
      </c>
      <c r="E14" s="29">
        <v>961</v>
      </c>
      <c r="F14" s="29">
        <v>904</v>
      </c>
      <c r="G14" s="33">
        <f t="shared" si="3"/>
        <v>904</v>
      </c>
      <c r="H14" s="29">
        <v>994</v>
      </c>
      <c r="I14" s="29">
        <v>1023</v>
      </c>
      <c r="J14" s="43">
        <f t="shared" si="3"/>
        <v>1023</v>
      </c>
      <c r="K14" s="11" t="s">
        <v>574</v>
      </c>
    </row>
    <row r="15" ht="15" customHeight="1">
      <c r="A15" s="1"/>
      <c r="B15" s="1" t="s">
        <v>575</v>
      </c>
      <c r="C15" s="29">
        <v>1686</v>
      </c>
      <c r="D15" s="29">
        <v>1673</v>
      </c>
      <c r="E15" s="29">
        <v>1617</v>
      </c>
      <c r="F15" s="29">
        <v>1608</v>
      </c>
      <c r="G15" s="33">
        <f t="shared" si="3"/>
        <v>1608</v>
      </c>
      <c r="H15" s="29">
        <v>1721</v>
      </c>
      <c r="I15" s="29">
        <v>1780</v>
      </c>
      <c r="J15" s="43">
        <f t="shared" si="3"/>
        <v>1780</v>
      </c>
      <c r="K15" s="11" t="s">
        <v>574</v>
      </c>
    </row>
    <row r="16" ht="15" customHeight="1">
      <c r="A16" s="1"/>
      <c r="B16" s="3" t="s">
        <v>576</v>
      </c>
      <c r="C16" s="50">
        <f t="shared" si="4" ref="C16:J37">C13+C14+C15</f>
        <v>6639</v>
      </c>
      <c r="D16" s="50">
        <f t="shared" si="4"/>
        <v>6954</v>
      </c>
      <c r="E16" s="50">
        <f t="shared" si="4"/>
        <v>6708</v>
      </c>
      <c r="F16" s="50">
        <f t="shared" si="4"/>
        <v>6488</v>
      </c>
      <c r="G16" s="50">
        <f t="shared" si="4"/>
        <v>6488</v>
      </c>
      <c r="H16" s="50">
        <f t="shared" si="4"/>
        <v>6989</v>
      </c>
      <c r="I16" s="50">
        <f t="shared" si="4"/>
        <v>7315</v>
      </c>
      <c r="J16" s="51">
        <f t="shared" si="4"/>
        <v>7465</v>
      </c>
      <c r="K16" s="11"/>
    </row>
    <row r="17" ht="15" customHeight="1">
      <c r="A17" s="1"/>
      <c r="B17" s="1" t="s">
        <v>577</v>
      </c>
      <c r="C17" s="29">
        <v>2343</v>
      </c>
      <c r="D17" s="29">
        <v>2260</v>
      </c>
      <c r="E17" s="29">
        <v>2260</v>
      </c>
      <c r="F17" s="29">
        <v>2640</v>
      </c>
      <c r="G17" s="33">
        <f t="shared" si="3"/>
        <v>2640</v>
      </c>
      <c r="H17" s="29">
        <v>3014</v>
      </c>
      <c r="I17" s="29">
        <v>3000</v>
      </c>
      <c r="J17" s="43">
        <f t="shared" si="3"/>
        <v>3000</v>
      </c>
      <c r="K17" s="11" t="s">
        <v>574</v>
      </c>
    </row>
    <row r="18" ht="15" customHeight="1">
      <c r="A18" s="1"/>
      <c r="B18" s="3" t="s">
        <v>578</v>
      </c>
      <c r="C18" s="50">
        <f t="shared" si="5" ref="C18:J18">C10+C11+C12+C16+C17</f>
        <v>23153</v>
      </c>
      <c r="D18" s="50">
        <f t="shared" si="5"/>
        <v>24468</v>
      </c>
      <c r="E18" s="50">
        <f t="shared" si="5"/>
        <v>24839</v>
      </c>
      <c r="F18" s="50">
        <f t="shared" si="5"/>
        <v>25996</v>
      </c>
      <c r="G18" s="50">
        <f t="shared" si="5"/>
        <v>25996</v>
      </c>
      <c r="H18" s="50">
        <f t="shared" si="5"/>
        <v>25508</v>
      </c>
      <c r="I18" s="50">
        <f t="shared" si="5"/>
        <v>24517</v>
      </c>
      <c r="J18" s="51">
        <f t="shared" si="5"/>
        <v>25460.2847219857</v>
      </c>
      <c r="K18" s="11"/>
    </row>
    <row r="19" ht="15" customHeight="1">
      <c r="A19" s="1"/>
      <c r="B19" s="1" t="s">
        <v>579</v>
      </c>
      <c r="C19" s="29">
        <v>907</v>
      </c>
      <c r="D19" s="29">
        <v>958</v>
      </c>
      <c r="E19" s="29">
        <v>951</v>
      </c>
      <c r="F19" s="29">
        <v>918</v>
      </c>
      <c r="G19" s="33">
        <f t="shared" si="3"/>
        <v>918</v>
      </c>
      <c r="H19" s="29">
        <v>1090</v>
      </c>
      <c r="I19" s="29">
        <v>1111</v>
      </c>
      <c r="J19" s="43">
        <f t="shared" si="3"/>
        <v>1111</v>
      </c>
      <c r="K19" s="11" t="s">
        <v>574</v>
      </c>
    </row>
    <row r="20" ht="15" customHeight="1">
      <c r="A20" s="1"/>
      <c r="B20" s="1" t="s">
        <v>580</v>
      </c>
      <c r="C20" s="29">
        <v>23418</v>
      </c>
      <c r="D20" s="29">
        <v>24472</v>
      </c>
      <c r="E20" s="29">
        <v>24816</v>
      </c>
      <c r="F20" s="29">
        <v>25222</v>
      </c>
      <c r="G20" s="33">
        <f t="shared" si="3"/>
        <v>25222</v>
      </c>
      <c r="H20" s="29">
        <v>25737</v>
      </c>
      <c r="I20" s="29">
        <v>26469</v>
      </c>
      <c r="J20" s="53">
        <f>I20-'Cash Flow Statement'!J20</f>
        <v>26969</v>
      </c>
      <c r="K20" s="11" t="s">
        <v>581</v>
      </c>
    </row>
    <row r="21" ht="15" customHeight="1">
      <c r="A21" s="1"/>
      <c r="B21" s="1" t="s">
        <v>582</v>
      </c>
      <c r="C21" s="29">
        <v>12486</v>
      </c>
      <c r="D21" s="29">
        <v>13077</v>
      </c>
      <c r="E21" s="29">
        <v>13312</v>
      </c>
      <c r="F21" s="29">
        <v>13406</v>
      </c>
      <c r="G21" s="33">
        <f t="shared" si="3"/>
        <v>13406</v>
      </c>
      <c r="H21" s="29">
        <v>13360</v>
      </c>
      <c r="I21" s="29">
        <v>13657</v>
      </c>
      <c r="J21" s="53">
        <f>I21+'Cash Flow Statement'!J11</f>
        <v>14057</v>
      </c>
      <c r="K21" s="11" t="s">
        <v>583</v>
      </c>
    </row>
    <row r="22" ht="15" customHeight="1">
      <c r="A22" s="1"/>
      <c r="B22" s="3" t="s">
        <v>584</v>
      </c>
      <c r="C22" s="50">
        <f t="shared" si="6" ref="C22:J22">C20-C21</f>
        <v>10932</v>
      </c>
      <c r="D22" s="50">
        <f t="shared" si="6"/>
        <v>11395</v>
      </c>
      <c r="E22" s="50">
        <f t="shared" si="6"/>
        <v>11504</v>
      </c>
      <c r="F22" s="50">
        <f t="shared" si="6"/>
        <v>11816</v>
      </c>
      <c r="G22" s="50">
        <f t="shared" si="6"/>
        <v>11816</v>
      </c>
      <c r="H22" s="50">
        <f t="shared" si="6"/>
        <v>12377</v>
      </c>
      <c r="I22" s="50">
        <f t="shared" si="6"/>
        <v>12812</v>
      </c>
      <c r="J22" s="51">
        <f t="shared" si="6"/>
        <v>12912</v>
      </c>
      <c r="K22" s="11"/>
    </row>
    <row r="23" ht="15" customHeight="1">
      <c r="A23" s="1"/>
      <c r="B23" s="1" t="s">
        <v>585</v>
      </c>
      <c r="C23" s="29">
        <v>6261</v>
      </c>
      <c r="D23" s="29">
        <v>5920</v>
      </c>
      <c r="E23" s="29">
        <v>5598</v>
      </c>
      <c r="F23" s="29">
        <v>5526</v>
      </c>
      <c r="G23" s="33">
        <f t="shared" si="3"/>
        <v>5526</v>
      </c>
      <c r="H23" s="29">
        <v>17875</v>
      </c>
      <c r="I23" s="29">
        <v>17211</v>
      </c>
      <c r="J23" s="53">
        <f>I23-'Income Statement'!J13</f>
        <v>16551</v>
      </c>
      <c r="K23" s="11" t="s">
        <v>586</v>
      </c>
    </row>
    <row r="24" ht="15" customHeight="1">
      <c r="A24" s="1"/>
      <c r="B24" s="1" t="s">
        <v>587</v>
      </c>
      <c r="C24" s="29">
        <v>23359</v>
      </c>
      <c r="D24" s="29">
        <v>23952</v>
      </c>
      <c r="E24" s="29">
        <v>23971</v>
      </c>
      <c r="F24" s="29">
        <v>24035</v>
      </c>
      <c r="G24" s="33">
        <f t="shared" si="3"/>
        <v>24035</v>
      </c>
      <c r="H24" s="29">
        <v>35221</v>
      </c>
      <c r="I24" s="29">
        <v>35244</v>
      </c>
      <c r="J24" s="43">
        <f t="shared" si="3"/>
        <v>35244</v>
      </c>
      <c r="K24" s="11" t="s">
        <v>574</v>
      </c>
    </row>
    <row r="25" ht="15" customHeight="1">
      <c r="A25" s="1"/>
      <c r="B25" s="1" t="s">
        <v>588</v>
      </c>
      <c r="C25" s="29">
        <v>16836</v>
      </c>
      <c r="D25" s="29">
        <v>17306</v>
      </c>
      <c r="E25" s="29">
        <v>17318</v>
      </c>
      <c r="F25" s="29">
        <v>18422</v>
      </c>
      <c r="G25" s="33">
        <f t="shared" si="3"/>
        <v>18422</v>
      </c>
      <c r="H25" s="29">
        <v>18358</v>
      </c>
      <c r="I25" s="29">
        <v>18320</v>
      </c>
      <c r="J25" s="43">
        <f t="shared" si="3"/>
        <v>18320</v>
      </c>
      <c r="K25" s="11" t="s">
        <v>574</v>
      </c>
    </row>
    <row r="26" ht="15" customHeight="1">
      <c r="A26" s="1"/>
      <c r="B26" s="3" t="s">
        <v>589</v>
      </c>
      <c r="C26" s="50">
        <f t="shared" si="7" ref="C26:J26">C18+C19+C22+C23+C24+C25</f>
        <v>81448</v>
      </c>
      <c r="D26" s="50">
        <f t="shared" si="7"/>
        <v>83999</v>
      </c>
      <c r="E26" s="50">
        <f t="shared" si="7"/>
        <v>84181</v>
      </c>
      <c r="F26" s="50">
        <f t="shared" si="7"/>
        <v>86713</v>
      </c>
      <c r="G26" s="50">
        <f t="shared" si="7"/>
        <v>86713</v>
      </c>
      <c r="H26" s="50">
        <f t="shared" si="7"/>
        <v>110429</v>
      </c>
      <c r="I26" s="50">
        <f t="shared" si="7"/>
        <v>109215</v>
      </c>
      <c r="J26" s="51">
        <f t="shared" si="7"/>
        <v>109598.28472198569</v>
      </c>
      <c r="K26" s="11"/>
    </row>
    <row r="27" ht="15" customHeight="1">
      <c r="A27" s="1"/>
      <c r="B27" s="3" t="s">
        <v>590</v>
      </c>
      <c r="C27" s="1"/>
      <c r="D27" s="1"/>
      <c r="E27" s="1"/>
      <c r="F27" s="1"/>
      <c r="G27" s="1"/>
      <c r="H27" s="1"/>
      <c r="I27" s="1"/>
      <c r="J27" s="35"/>
      <c r="K27" s="11"/>
    </row>
    <row r="28" ht="15" customHeight="1">
      <c r="A28" s="1"/>
      <c r="B28" s="1" t="s">
        <v>591</v>
      </c>
      <c r="C28" s="29">
        <v>4214</v>
      </c>
      <c r="D28" s="29">
        <v>4306</v>
      </c>
      <c r="E28" s="29">
        <v>4123</v>
      </c>
      <c r="F28" s="29">
        <v>4240</v>
      </c>
      <c r="G28" s="33">
        <f t="shared" si="3"/>
        <v>4240</v>
      </c>
      <c r="H28" s="29">
        <v>4679</v>
      </c>
      <c r="I28" s="29">
        <v>4794</v>
      </c>
      <c r="J28" s="43">
        <f t="shared" si="3"/>
        <v>4794</v>
      </c>
      <c r="K28" s="11" t="s">
        <v>574</v>
      </c>
    </row>
    <row r="29" ht="15" customHeight="1">
      <c r="A29" s="1"/>
      <c r="B29" s="1" t="s">
        <v>592</v>
      </c>
      <c r="C29" s="29">
        <v>1167</v>
      </c>
      <c r="D29" s="29">
        <v>1550</v>
      </c>
      <c r="E29" s="29">
        <v>1735</v>
      </c>
      <c r="F29" s="29">
        <v>1745</v>
      </c>
      <c r="G29" s="33">
        <f t="shared" si="3"/>
        <v>1745</v>
      </c>
      <c r="H29" s="29">
        <v>1212</v>
      </c>
      <c r="I29" s="29">
        <v>1619</v>
      </c>
      <c r="J29" s="43">
        <f t="shared" si="3"/>
        <v>1619</v>
      </c>
      <c r="K29" s="11" t="s">
        <v>574</v>
      </c>
    </row>
    <row r="30" ht="15" customHeight="1">
      <c r="A30" s="1"/>
      <c r="B30" s="1" t="s">
        <v>593</v>
      </c>
      <c r="C30" s="29">
        <v>5600</v>
      </c>
      <c r="D30" s="29">
        <v>5656</v>
      </c>
      <c r="E30" s="29">
        <v>5880</v>
      </c>
      <c r="F30" s="29">
        <v>5812</v>
      </c>
      <c r="G30" s="33">
        <f t="shared" si="3"/>
        <v>5812</v>
      </c>
      <c r="H30" s="29">
        <v>6379</v>
      </c>
      <c r="I30" s="29">
        <v>6892</v>
      </c>
      <c r="J30" s="53">
        <f>I30+'Cash Flow Statement'!J16</f>
        <v>7092</v>
      </c>
      <c r="K30" s="11" t="s">
        <v>594</v>
      </c>
    </row>
    <row r="31" ht="15" customHeight="1">
      <c r="A31" s="1"/>
      <c r="B31" s="1" t="s">
        <v>595</v>
      </c>
      <c r="C31" s="29">
        <v>1032</v>
      </c>
      <c r="D31" s="29">
        <v>1030</v>
      </c>
      <c r="E31" s="29">
        <v>1030</v>
      </c>
      <c r="F31" s="29">
        <v>1097</v>
      </c>
      <c r="G31" s="33">
        <f t="shared" si="3"/>
        <v>1097</v>
      </c>
      <c r="H31" s="29">
        <v>1100</v>
      </c>
      <c r="I31" s="29">
        <v>1093</v>
      </c>
      <c r="J31" s="53">
        <f>'Cash Flow Statement'!J49</f>
        <v>1087.3020738461537</v>
      </c>
      <c r="K31" s="11" t="s">
        <v>596</v>
      </c>
    </row>
    <row r="32" ht="15" customHeight="1">
      <c r="A32" s="1"/>
      <c r="B32" s="1" t="s">
        <v>597</v>
      </c>
      <c r="C32" s="29">
        <v>485</v>
      </c>
      <c r="D32" s="29">
        <v>390</v>
      </c>
      <c r="E32" s="29">
        <v>469</v>
      </c>
      <c r="F32" s="29">
        <v>569</v>
      </c>
      <c r="G32" s="33">
        <f t="shared" si="3"/>
        <v>569</v>
      </c>
      <c r="H32" s="29">
        <v>598</v>
      </c>
      <c r="I32" s="29">
        <v>411</v>
      </c>
      <c r="J32" s="43">
        <f t="shared" si="3"/>
        <v>411</v>
      </c>
      <c r="K32" s="11" t="s">
        <v>574</v>
      </c>
    </row>
    <row r="33" ht="15" customHeight="1">
      <c r="A33" s="1"/>
      <c r="B33" s="1" t="s">
        <v>598</v>
      </c>
      <c r="C33" s="29">
        <v>506</v>
      </c>
      <c r="D33" s="29">
        <v>507</v>
      </c>
      <c r="E33" s="29">
        <v>1345</v>
      </c>
      <c r="F33" s="29">
        <v>3033</v>
      </c>
      <c r="G33" s="33">
        <f t="shared" si="3"/>
        <v>3033</v>
      </c>
      <c r="H33" s="29">
        <v>4409</v>
      </c>
      <c r="I33" s="29">
        <v>3005</v>
      </c>
      <c r="J33" s="43">
        <f t="shared" si="3"/>
        <v>3005</v>
      </c>
      <c r="K33" s="11" t="s">
        <v>599</v>
      </c>
    </row>
    <row r="34" ht="15" customHeight="1">
      <c r="A34" s="1"/>
      <c r="B34" s="3" t="s">
        <v>600</v>
      </c>
      <c r="C34" s="50">
        <f t="shared" si="8" ref="C34:J34">C28+C29+C30+C31+C32+C33</f>
        <v>13004</v>
      </c>
      <c r="D34" s="50">
        <f t="shared" si="8"/>
        <v>13439</v>
      </c>
      <c r="E34" s="50">
        <f t="shared" si="8"/>
        <v>14582</v>
      </c>
      <c r="F34" s="50">
        <f t="shared" si="8"/>
        <v>16496</v>
      </c>
      <c r="G34" s="50">
        <f t="shared" si="8"/>
        <v>16496</v>
      </c>
      <c r="H34" s="50">
        <f t="shared" si="8"/>
        <v>18377</v>
      </c>
      <c r="I34" s="50">
        <f t="shared" si="8"/>
        <v>17814</v>
      </c>
      <c r="J34" s="51">
        <f t="shared" si="8"/>
        <v>18008.302073846153</v>
      </c>
      <c r="K34" s="11"/>
    </row>
    <row r="35" ht="15" customHeight="1">
      <c r="A35" s="1"/>
      <c r="B35" s="1" t="s">
        <v>601</v>
      </c>
      <c r="C35" s="29">
        <v>12736</v>
      </c>
      <c r="D35" s="29">
        <v>12930</v>
      </c>
      <c r="E35" s="29">
        <v>11596</v>
      </c>
      <c r="F35" s="29">
        <v>9896</v>
      </c>
      <c r="G35" s="33">
        <f t="shared" si="3"/>
        <v>9896</v>
      </c>
      <c r="H35" s="29">
        <v>29638</v>
      </c>
      <c r="I35" s="29">
        <v>29603</v>
      </c>
      <c r="J35" s="43">
        <f t="shared" si="3"/>
        <v>29603</v>
      </c>
      <c r="K35" s="11" t="s">
        <v>574</v>
      </c>
    </row>
    <row r="36" ht="15" customHeight="1">
      <c r="A36" s="1"/>
      <c r="B36" s="1" t="s">
        <v>602</v>
      </c>
      <c r="C36" s="29">
        <v>6644</v>
      </c>
      <c r="D36" s="29">
        <v>6801</v>
      </c>
      <c r="E36" s="29">
        <v>6739</v>
      </c>
      <c r="F36" s="29">
        <v>7550</v>
      </c>
      <c r="G36" s="33">
        <f t="shared" si="3"/>
        <v>7550</v>
      </c>
      <c r="H36" s="29">
        <v>9713</v>
      </c>
      <c r="I36" s="29">
        <v>10036</v>
      </c>
      <c r="J36" s="43">
        <f t="shared" si="3"/>
        <v>10036</v>
      </c>
      <c r="K36" s="11" t="s">
        <v>574</v>
      </c>
    </row>
    <row r="37" ht="15" customHeight="1">
      <c r="A37" s="1"/>
      <c r="B37" s="3" t="s">
        <v>603</v>
      </c>
      <c r="C37" s="50">
        <f t="shared" si="4"/>
        <v>32384</v>
      </c>
      <c r="D37" s="50">
        <f t="shared" si="4"/>
        <v>33170</v>
      </c>
      <c r="E37" s="50">
        <f t="shared" si="4"/>
        <v>32917</v>
      </c>
      <c r="F37" s="50">
        <f t="shared" si="4"/>
        <v>33942</v>
      </c>
      <c r="G37" s="50">
        <f t="shared" si="4"/>
        <v>33942</v>
      </c>
      <c r="H37" s="50">
        <f t="shared" si="4"/>
        <v>57728</v>
      </c>
      <c r="I37" s="50">
        <f t="shared" si="4"/>
        <v>57453</v>
      </c>
      <c r="J37" s="51">
        <f t="shared" si="4"/>
        <v>57647.30207384615</v>
      </c>
      <c r="K37" s="11"/>
    </row>
    <row r="38" ht="15" customHeight="1">
      <c r="A38" s="1"/>
      <c r="B38" s="3" t="s">
        <v>604</v>
      </c>
      <c r="C38" s="1"/>
      <c r="D38" s="1"/>
      <c r="E38" s="1"/>
      <c r="F38" s="1"/>
      <c r="G38" s="1"/>
      <c r="H38" s="1"/>
      <c r="I38" s="1"/>
      <c r="J38" s="35"/>
      <c r="K38" s="11"/>
    </row>
    <row r="39" ht="15" customHeight="1">
      <c r="A39" s="1"/>
      <c r="B39" s="1" t="s">
        <v>605</v>
      </c>
      <c r="C39" s="29">
        <v>25125</v>
      </c>
      <c r="D39" s="29">
        <v>25284</v>
      </c>
      <c r="E39" s="29">
        <v>25412</v>
      </c>
      <c r="F39" s="29">
        <v>25527</v>
      </c>
      <c r="G39" s="33">
        <f t="shared" si="3"/>
        <v>25527</v>
      </c>
      <c r="H39" s="29">
        <v>25352</v>
      </c>
      <c r="I39" s="29">
        <v>25495</v>
      </c>
      <c r="J39" s="53">
        <f>I39+'Cash Flow Statement'!J13+'Cash Flow Statement'!J30</f>
        <v>25675</v>
      </c>
      <c r="K39" s="11" t="s">
        <v>606</v>
      </c>
    </row>
    <row r="40" ht="15" customHeight="1">
      <c r="A40" s="1"/>
      <c r="B40" s="1" t="s">
        <v>607</v>
      </c>
      <c r="C40" s="29">
        <v>-16612</v>
      </c>
      <c r="D40" s="29">
        <v>-16610</v>
      </c>
      <c r="E40" s="29">
        <v>-16877</v>
      </c>
      <c r="F40" s="29">
        <v>-17177</v>
      </c>
      <c r="G40" s="33">
        <f t="shared" si="3"/>
        <v>-17177</v>
      </c>
      <c r="H40" s="29">
        <v>-16935</v>
      </c>
      <c r="I40" s="29">
        <v>-17967</v>
      </c>
      <c r="J40" s="53">
        <f>I40+'Cash Flow Statement'!J29</f>
        <v>-18467</v>
      </c>
      <c r="K40" s="11" t="s">
        <v>608</v>
      </c>
    </row>
    <row r="41" ht="15" customHeight="1">
      <c r="A41" s="1"/>
      <c r="B41" s="1" t="s">
        <v>609</v>
      </c>
      <c r="C41" s="29">
        <v>47715</v>
      </c>
      <c r="D41" s="29">
        <v>48467</v>
      </c>
      <c r="E41" s="29">
        <v>49103</v>
      </c>
      <c r="F41" s="29">
        <v>49781</v>
      </c>
      <c r="G41" s="33">
        <f t="shared" si="3"/>
        <v>49781</v>
      </c>
      <c r="H41" s="29">
        <v>49956</v>
      </c>
      <c r="I41" s="29">
        <v>49794</v>
      </c>
      <c r="J41" s="53">
        <f>I41+'Income Statement'!J33-'Cash Flow Statement'!J49</f>
        <v>50302.98264813954</v>
      </c>
      <c r="K41" s="11" t="s">
        <v>610</v>
      </c>
    </row>
    <row r="42" ht="15" customHeight="1">
      <c r="A42" s="1"/>
      <c r="B42" s="1" t="s">
        <v>611</v>
      </c>
      <c r="C42" s="29">
        <v>-7417</v>
      </c>
      <c r="D42" s="29">
        <v>-6576</v>
      </c>
      <c r="E42" s="29">
        <v>-6684</v>
      </c>
      <c r="F42" s="29">
        <v>-6001</v>
      </c>
      <c r="G42" s="33">
        <f t="shared" si="3"/>
        <v>-6001</v>
      </c>
      <c r="H42" s="29">
        <v>-6312</v>
      </c>
      <c r="I42" s="29">
        <v>-6212</v>
      </c>
      <c r="J42" s="43">
        <f t="shared" si="3"/>
        <v>-6212</v>
      </c>
      <c r="K42" s="11" t="s">
        <v>568</v>
      </c>
    </row>
    <row r="43" ht="15" customHeight="1">
      <c r="A43" s="1"/>
      <c r="B43" s="3" t="s">
        <v>612</v>
      </c>
      <c r="C43" s="50">
        <f t="shared" si="9" ref="C43:J43">C39+C40+C41+C42</f>
        <v>48811</v>
      </c>
      <c r="D43" s="50">
        <f t="shared" si="9"/>
        <v>50565</v>
      </c>
      <c r="E43" s="50">
        <f t="shared" si="9"/>
        <v>50954</v>
      </c>
      <c r="F43" s="50">
        <f t="shared" si="9"/>
        <v>52130</v>
      </c>
      <c r="G43" s="50">
        <f t="shared" si="9"/>
        <v>52130</v>
      </c>
      <c r="H43" s="50">
        <f t="shared" si="9"/>
        <v>52061</v>
      </c>
      <c r="I43" s="50">
        <f t="shared" si="9"/>
        <v>51110</v>
      </c>
      <c r="J43" s="51">
        <f t="shared" si="9"/>
        <v>51298.98264813954</v>
      </c>
      <c r="K43" s="11"/>
    </row>
    <row r="44" ht="15" customHeight="1">
      <c r="A44" s="1"/>
      <c r="B44" s="1" t="s">
        <v>613</v>
      </c>
      <c r="C44" s="29">
        <v>253</v>
      </c>
      <c r="D44" s="29">
        <v>264</v>
      </c>
      <c r="E44" s="29">
        <v>310</v>
      </c>
      <c r="F44" s="29">
        <v>641</v>
      </c>
      <c r="G44" s="33">
        <f t="shared" si="3"/>
        <v>641</v>
      </c>
      <c r="H44" s="29">
        <v>640</v>
      </c>
      <c r="I44" s="29">
        <v>652</v>
      </c>
      <c r="J44" s="43">
        <f t="shared" si="3"/>
        <v>652</v>
      </c>
      <c r="K44" s="11" t="s">
        <v>574</v>
      </c>
    </row>
    <row r="45" ht="15" customHeight="1">
      <c r="A45" s="1"/>
      <c r="B45" s="3" t="s">
        <v>614</v>
      </c>
      <c r="C45" s="50">
        <f t="shared" si="10" ref="C45:J45">C43+C44</f>
        <v>49064</v>
      </c>
      <c r="D45" s="50">
        <f t="shared" si="10"/>
        <v>50829</v>
      </c>
      <c r="E45" s="50">
        <f t="shared" si="10"/>
        <v>51264</v>
      </c>
      <c r="F45" s="50">
        <f t="shared" si="10"/>
        <v>52771</v>
      </c>
      <c r="G45" s="50">
        <f t="shared" si="10"/>
        <v>52771</v>
      </c>
      <c r="H45" s="50">
        <f t="shared" si="10"/>
        <v>52701</v>
      </c>
      <c r="I45" s="50">
        <f t="shared" si="10"/>
        <v>51762</v>
      </c>
      <c r="J45" s="51">
        <f t="shared" si="10"/>
        <v>51950.98264813954</v>
      </c>
      <c r="K45" s="11"/>
    </row>
    <row r="46" ht="15" customHeight="1">
      <c r="A46" s="1"/>
      <c r="B46" s="3" t="s">
        <v>615</v>
      </c>
      <c r="C46" s="50">
        <f t="shared" si="11" ref="C46:J46">C37+C45</f>
        <v>81448</v>
      </c>
      <c r="D46" s="50">
        <f t="shared" si="11"/>
        <v>83999</v>
      </c>
      <c r="E46" s="50">
        <f t="shared" si="11"/>
        <v>84181</v>
      </c>
      <c r="F46" s="50">
        <f t="shared" si="11"/>
        <v>86713</v>
      </c>
      <c r="G46" s="50">
        <f t="shared" si="11"/>
        <v>86713</v>
      </c>
      <c r="H46" s="50">
        <f t="shared" si="11"/>
        <v>110429</v>
      </c>
      <c r="I46" s="50">
        <f t="shared" si="11"/>
        <v>109215</v>
      </c>
      <c r="J46" s="51">
        <f t="shared" si="11"/>
        <v>109598.28472198569</v>
      </c>
      <c r="K46" s="11"/>
    </row>
    <row r="47" ht="15" customHeight="1">
      <c r="A47" s="1"/>
      <c r="B47" s="1" t="s">
        <v>616</v>
      </c>
      <c r="C47" s="33">
        <f t="shared" si="12" ref="C47:J47">C26-C37-C45</f>
        <v>0</v>
      </c>
      <c r="D47" s="33">
        <f t="shared" si="12"/>
        <v>0</v>
      </c>
      <c r="E47" s="33">
        <f t="shared" si="12"/>
        <v>0</v>
      </c>
      <c r="F47" s="33">
        <f t="shared" si="12"/>
        <v>0</v>
      </c>
      <c r="G47" s="33">
        <f t="shared" si="12"/>
        <v>0</v>
      </c>
      <c r="H47" s="33">
        <f t="shared" si="12"/>
        <v>0</v>
      </c>
      <c r="I47" s="33">
        <f t="shared" si="12"/>
        <v>0</v>
      </c>
      <c r="J47" s="43">
        <f t="shared" si="12"/>
        <v>0</v>
      </c>
      <c r="K47" s="11"/>
    </row>
    <row r="48" ht="15" customHeight="1">
      <c r="A48" s="1"/>
      <c r="B48" s="1" t="s">
        <v>617</v>
      </c>
      <c r="C48" s="29">
        <v>81448</v>
      </c>
      <c r="D48" s="29">
        <v>83999</v>
      </c>
      <c r="E48" s="29">
        <v>84181</v>
      </c>
      <c r="F48" s="29">
        <v>86713</v>
      </c>
      <c r="G48" s="33">
        <f t="shared" si="3"/>
        <v>86713</v>
      </c>
      <c r="H48" s="29">
        <v>110429</v>
      </c>
      <c r="I48" s="29">
        <v>109215</v>
      </c>
      <c r="J48" s="52" t="s">
        <v>30</v>
      </c>
      <c r="K48" s="11" t="s">
        <v>574</v>
      </c>
    </row>
    <row r="49" ht="15" customHeight="1">
      <c r="A49" s="1"/>
      <c r="B49" s="1" t="s">
        <v>618</v>
      </c>
      <c r="C49" s="33">
        <f t="shared" si="13" ref="C49:I49">C26-C48</f>
        <v>0</v>
      </c>
      <c r="D49" s="33">
        <f t="shared" si="13"/>
        <v>0</v>
      </c>
      <c r="E49" s="33">
        <f t="shared" si="13"/>
        <v>0</v>
      </c>
      <c r="F49" s="33">
        <f t="shared" si="13"/>
        <v>0</v>
      </c>
      <c r="G49" s="33">
        <f t="shared" si="13"/>
        <v>0</v>
      </c>
      <c r="H49" s="33">
        <f t="shared" si="13"/>
        <v>0</v>
      </c>
      <c r="I49" s="33">
        <f t="shared" si="13"/>
        <v>0</v>
      </c>
      <c r="J49" s="52" t="s">
        <v>30</v>
      </c>
      <c r="K49" s="11"/>
    </row>
    <row r="50" ht="15" customHeight="1">
      <c r="A50" s="1"/>
      <c r="B50" s="1"/>
      <c r="C50" s="1"/>
      <c r="D50" s="1"/>
      <c r="E50" s="1"/>
      <c r="F50" s="1"/>
      <c r="G50" s="1"/>
      <c r="H50" s="1"/>
      <c r="I50" s="1"/>
      <c r="J50" s="35"/>
      <c r="K50" s="11"/>
    </row>
    <row r="51" ht="15" customHeight="1">
      <c r="A51" s="1"/>
      <c r="B51" s="3" t="s">
        <v>619</v>
      </c>
      <c r="C51" s="1"/>
      <c r="D51" s="1"/>
      <c r="E51" s="1"/>
      <c r="F51" s="1"/>
      <c r="G51" s="1"/>
      <c r="H51" s="1"/>
      <c r="I51" s="1"/>
      <c r="J51" s="35"/>
      <c r="K51" s="11"/>
    </row>
    <row r="52" ht="15" customHeight="1">
      <c r="A52" s="1"/>
      <c r="B52" s="3" t="s">
        <v>620</v>
      </c>
      <c r="C52" s="50">
        <f t="shared" si="14" ref="C52:J52">C33+C35</f>
        <v>13242</v>
      </c>
      <c r="D52" s="50">
        <f t="shared" si="14"/>
        <v>13437</v>
      </c>
      <c r="E52" s="50">
        <f t="shared" si="14"/>
        <v>12941</v>
      </c>
      <c r="F52" s="50">
        <f t="shared" si="14"/>
        <v>12929</v>
      </c>
      <c r="G52" s="50">
        <f t="shared" si="14"/>
        <v>12929</v>
      </c>
      <c r="H52" s="50">
        <f t="shared" si="14"/>
        <v>34047</v>
      </c>
      <c r="I52" s="50">
        <f t="shared" si="14"/>
        <v>32608</v>
      </c>
      <c r="J52" s="51">
        <f t="shared" si="14"/>
        <v>32608</v>
      </c>
      <c r="K52" s="11"/>
    </row>
    <row r="53" ht="15" customHeight="1">
      <c r="A53" s="1"/>
      <c r="B53" s="1" t="s">
        <v>621</v>
      </c>
      <c r="C53" s="33">
        <f t="shared" si="15" ref="C53:J53">C52-C10-C11</f>
        <v>6398</v>
      </c>
      <c r="D53" s="33">
        <f t="shared" si="15"/>
        <v>6155</v>
      </c>
      <c r="E53" s="33">
        <f t="shared" si="15"/>
        <v>5208</v>
      </c>
      <c r="F53" s="33">
        <f t="shared" si="15"/>
        <v>3990</v>
      </c>
      <c r="G53" s="33">
        <f t="shared" si="15"/>
        <v>3990</v>
      </c>
      <c r="H53" s="33">
        <f t="shared" si="15"/>
        <v>26752</v>
      </c>
      <c r="I53" s="33">
        <f t="shared" si="15"/>
        <v>27005</v>
      </c>
      <c r="J53" s="43">
        <f t="shared" si="15"/>
        <v>26361.7152780143</v>
      </c>
      <c r="K53" s="11" t="s">
        <v>622</v>
      </c>
    </row>
    <row r="54" ht="15" customHeight="1">
      <c r="A54" s="1"/>
      <c r="B54" s="1" t="s">
        <v>623</v>
      </c>
      <c r="C54" s="33">
        <f t="shared" si="16" ref="C54:J54">C12+C16-C28</f>
        <v>9752</v>
      </c>
      <c r="D54" s="33">
        <f t="shared" si="16"/>
        <v>10620</v>
      </c>
      <c r="E54" s="33">
        <f t="shared" si="16"/>
        <v>10723</v>
      </c>
      <c r="F54" s="33">
        <f t="shared" si="16"/>
        <v>10177</v>
      </c>
      <c r="G54" s="33">
        <f t="shared" si="16"/>
        <v>10177</v>
      </c>
      <c r="H54" s="33">
        <f t="shared" si="16"/>
        <v>10520</v>
      </c>
      <c r="I54" s="33">
        <f t="shared" si="16"/>
        <v>11120</v>
      </c>
      <c r="J54" s="43">
        <f t="shared" si="16"/>
        <v>11420</v>
      </c>
      <c r="K54" s="11"/>
    </row>
    <row r="55" ht="15" customHeight="1">
      <c r="A55" s="1"/>
      <c r="B55" s="1" t="s">
        <v>146</v>
      </c>
      <c r="C55" s="13" t="s">
        <v>30</v>
      </c>
      <c r="D55" s="33">
        <f t="shared" si="1"/>
        <v>868</v>
      </c>
      <c r="E55" s="33">
        <f t="shared" si="1"/>
        <v>103</v>
      </c>
      <c r="F55" s="33">
        <f t="shared" si="1"/>
        <v>-546</v>
      </c>
      <c r="G55" s="13" t="s">
        <v>30</v>
      </c>
      <c r="H55" s="33">
        <f t="shared" si="17"/>
        <v>343</v>
      </c>
      <c r="I55" s="33">
        <f t="shared" si="1"/>
        <v>600</v>
      </c>
      <c r="J55" s="43">
        <f t="shared" si="1"/>
        <v>300</v>
      </c>
      <c r="K55" s="11"/>
    </row>
    <row r="56" ht="15" customHeight="1">
      <c r="A56" s="1"/>
      <c r="B56" s="1" t="s">
        <v>624</v>
      </c>
      <c r="C56" s="63">
        <f>C53/('Income Statement'!C81*4)</f>
        <v>0.7343893480257117</v>
      </c>
      <c r="D56" s="63">
        <f>D53/('Income Statement'!D81*4)</f>
        <v>0.6031948255586045</v>
      </c>
      <c r="E56" s="63">
        <f>E53/('Income Statement'!E81*4)</f>
        <v>0.49885057471264366</v>
      </c>
      <c r="F56" s="63">
        <f>F53/('Income Statement'!F81*4)</f>
        <v>0.3367656988521269</v>
      </c>
      <c r="G56" s="63">
        <f>G53/'Income Statement'!G81</f>
        <v>0.38734103485098537</v>
      </c>
      <c r="H56" s="63">
        <f>H53/('Income Statement'!H81*4)</f>
        <v>2.9410729991204927</v>
      </c>
      <c r="I56" s="63">
        <f>I53/('Income Statement'!I81*4)</f>
        <v>2.3746922265212804</v>
      </c>
      <c r="J56" s="64">
        <f>J53/('Income Statement'!J81*4)</f>
        <v>2.161193476137831</v>
      </c>
      <c r="K56" s="11"/>
    </row>
    <row r="57" ht="15" customHeight="1">
      <c r="A57" s="1"/>
      <c r="B57" s="1" t="s">
        <v>625</v>
      </c>
      <c r="C57" s="13" t="s">
        <v>30</v>
      </c>
      <c r="D57" s="65">
        <f t="shared" si="1"/>
        <v>-0.13119452246710717</v>
      </c>
      <c r="E57" s="65">
        <f t="shared" si="1"/>
        <v>-0.10434425084596083</v>
      </c>
      <c r="F57" s="65">
        <f t="shared" si="1"/>
        <v>-0.16208487586051673</v>
      </c>
      <c r="G57" s="13" t="s">
        <v>30</v>
      </c>
      <c r="H57" s="65">
        <f t="shared" si="17"/>
        <v>2.6043073002683657</v>
      </c>
      <c r="I57" s="65">
        <f t="shared" si="1"/>
        <v>-0.5663807725992123</v>
      </c>
      <c r="J57" s="66">
        <f t="shared" si="1"/>
        <v>-0.21349875038344956</v>
      </c>
      <c r="K57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BFBF594-E915-5811-2308-7021C63088C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626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3" t="s">
        <v>627</v>
      </c>
      <c r="C9" s="1"/>
      <c r="D9" s="1"/>
      <c r="E9" s="1"/>
      <c r="F9" s="1"/>
      <c r="G9" s="1"/>
      <c r="H9" s="1"/>
      <c r="I9" s="1"/>
      <c r="J9" s="35"/>
      <c r="K9" s="11"/>
    </row>
    <row r="10" ht="15" customHeight="1">
      <c r="A10" s="1"/>
      <c r="B10" s="1" t="s">
        <v>628</v>
      </c>
      <c r="C10" s="33">
        <f t="shared" si="4" ref="C10:H16">C52</f>
        <v>1325</v>
      </c>
      <c r="D10" s="33">
        <f t="shared" si="3" ref="D10:I16">D52-C52</f>
        <v>1779</v>
      </c>
      <c r="E10" s="33">
        <f t="shared" si="3"/>
        <v>1644</v>
      </c>
      <c r="F10" s="33">
        <f t="shared" si="3"/>
        <v>1776</v>
      </c>
      <c r="G10" s="33">
        <f t="shared" si="5" ref="G10:G34">SUM(C10:F10)</f>
        <v>6524</v>
      </c>
      <c r="H10" s="33">
        <f t="shared" si="4"/>
        <v>1077</v>
      </c>
      <c r="I10" s="33">
        <f t="shared" si="3"/>
        <v>928</v>
      </c>
      <c r="J10" s="53">
        <f>'Income Statement'!J33</f>
        <v>1596.2847219857017</v>
      </c>
      <c r="K10" s="11" t="s">
        <v>629</v>
      </c>
    </row>
    <row r="11" ht="15" customHeight="1">
      <c r="A11" s="1"/>
      <c r="B11" s="1" t="s">
        <v>630</v>
      </c>
      <c r="C11" s="33">
        <f t="shared" si="4"/>
        <v>336</v>
      </c>
      <c r="D11" s="33">
        <f t="shared" si="3"/>
        <v>357</v>
      </c>
      <c r="E11" s="33">
        <f t="shared" si="3"/>
        <v>371</v>
      </c>
      <c r="F11" s="33">
        <f t="shared" si="3"/>
        <v>370</v>
      </c>
      <c r="G11" s="33">
        <f t="shared" si="5"/>
        <v>1434</v>
      </c>
      <c r="H11" s="33">
        <f t="shared" si="4"/>
        <v>381</v>
      </c>
      <c r="I11" s="33">
        <f t="shared" si="3"/>
        <v>402</v>
      </c>
      <c r="J11" s="58">
        <v>400</v>
      </c>
      <c r="K11" s="11" t="s">
        <v>631</v>
      </c>
    </row>
    <row r="12" ht="15" customHeight="1">
      <c r="A12" s="1"/>
      <c r="B12" s="1" t="s">
        <v>632</v>
      </c>
      <c r="C12" s="33">
        <f t="shared" si="4"/>
        <v>420</v>
      </c>
      <c r="D12" s="33">
        <f t="shared" si="3"/>
        <v>420</v>
      </c>
      <c r="E12" s="33">
        <f t="shared" si="3"/>
        <v>420</v>
      </c>
      <c r="F12" s="33">
        <f t="shared" si="3"/>
        <v>422</v>
      </c>
      <c r="G12" s="33">
        <f t="shared" si="5"/>
        <v>1682</v>
      </c>
      <c r="H12" s="33">
        <f t="shared" si="4"/>
        <v>422</v>
      </c>
      <c r="I12" s="33">
        <f t="shared" si="3"/>
        <v>658</v>
      </c>
      <c r="J12" s="53">
        <f>'Income Statement'!J13</f>
        <v>660</v>
      </c>
      <c r="K12" s="11"/>
    </row>
    <row r="13" ht="15" customHeight="1">
      <c r="A13" s="1"/>
      <c r="B13" s="1" t="s">
        <v>633</v>
      </c>
      <c r="C13" s="33">
        <f t="shared" si="4"/>
        <v>289</v>
      </c>
      <c r="D13" s="33">
        <f t="shared" si="3"/>
        <v>142</v>
      </c>
      <c r="E13" s="33">
        <f t="shared" si="3"/>
        <v>120</v>
      </c>
      <c r="F13" s="33">
        <f t="shared" si="3"/>
        <v>113</v>
      </c>
      <c r="G13" s="33">
        <f t="shared" si="5"/>
        <v>664</v>
      </c>
      <c r="H13" s="33">
        <f t="shared" si="4"/>
        <v>317</v>
      </c>
      <c r="I13" s="33">
        <f t="shared" si="3"/>
        <v>168</v>
      </c>
      <c r="J13" s="58">
        <v>160</v>
      </c>
      <c r="K13" s="11" t="s">
        <v>634</v>
      </c>
    </row>
    <row r="14" ht="15" customHeight="1">
      <c r="A14" s="1"/>
      <c r="B14" s="1" t="s">
        <v>635</v>
      </c>
      <c r="C14" s="33">
        <f t="shared" si="4"/>
        <v>-262</v>
      </c>
      <c r="D14" s="33">
        <f t="shared" si="3"/>
        <v>-410</v>
      </c>
      <c r="E14" s="33">
        <f t="shared" si="3"/>
        <v>-202</v>
      </c>
      <c r="F14" s="33">
        <f t="shared" si="3"/>
        <v>222</v>
      </c>
      <c r="G14" s="33">
        <f t="shared" si="5"/>
        <v>-652</v>
      </c>
      <c r="H14" s="33">
        <f t="shared" si="4"/>
        <v>-42</v>
      </c>
      <c r="I14" s="33">
        <f t="shared" si="3"/>
        <v>-386</v>
      </c>
      <c r="J14" s="58">
        <v>-150</v>
      </c>
      <c r="K14" s="11" t="s">
        <v>636</v>
      </c>
    </row>
    <row r="15" ht="15" customHeight="1">
      <c r="A15" s="1"/>
      <c r="B15" s="1" t="s">
        <v>637</v>
      </c>
      <c r="C15" s="33">
        <f t="shared" si="4"/>
        <v>-255</v>
      </c>
      <c r="D15" s="33">
        <f t="shared" si="3"/>
        <v>3</v>
      </c>
      <c r="E15" s="33">
        <f t="shared" si="3"/>
        <v>213</v>
      </c>
      <c r="F15" s="33">
        <f t="shared" si="3"/>
        <v>234</v>
      </c>
      <c r="G15" s="33">
        <f t="shared" si="5"/>
        <v>195</v>
      </c>
      <c r="H15" s="33">
        <f t="shared" si="4"/>
        <v>-420</v>
      </c>
      <c r="I15" s="33">
        <f t="shared" si="3"/>
        <v>-301</v>
      </c>
      <c r="J15" s="58">
        <v>-150</v>
      </c>
      <c r="K15" s="11" t="s">
        <v>638</v>
      </c>
    </row>
    <row r="16" ht="15" customHeight="1">
      <c r="A16" s="1"/>
      <c r="B16" s="1" t="s">
        <v>639</v>
      </c>
      <c r="C16" s="33">
        <f t="shared" si="4"/>
        <v>-436</v>
      </c>
      <c r="D16" s="33">
        <f t="shared" si="3"/>
        <v>-244</v>
      </c>
      <c r="E16" s="33">
        <f t="shared" si="3"/>
        <v>221</v>
      </c>
      <c r="F16" s="33">
        <f t="shared" si="3"/>
        <v>178</v>
      </c>
      <c r="G16" s="33">
        <f t="shared" si="5"/>
        <v>-281</v>
      </c>
      <c r="H16" s="33">
        <f t="shared" si="4"/>
        <v>-420</v>
      </c>
      <c r="I16" s="33">
        <f t="shared" si="3"/>
        <v>1019</v>
      </c>
      <c r="J16" s="58">
        <v>200</v>
      </c>
      <c r="K16" s="11" t="s">
        <v>640</v>
      </c>
    </row>
    <row r="17" ht="15" customHeight="1">
      <c r="A17" s="1"/>
      <c r="B17" s="3" t="s">
        <v>641</v>
      </c>
      <c r="C17" s="50">
        <f t="shared" si="6" ref="C17:J33">C10+C11+C12+C13+C14+C15+C16</f>
        <v>1417</v>
      </c>
      <c r="D17" s="50">
        <f t="shared" si="6"/>
        <v>2047</v>
      </c>
      <c r="E17" s="50">
        <f t="shared" si="6"/>
        <v>2787</v>
      </c>
      <c r="F17" s="50">
        <f t="shared" si="6"/>
        <v>3315</v>
      </c>
      <c r="G17" s="50">
        <f t="shared" si="6"/>
        <v>9566</v>
      </c>
      <c r="H17" s="50">
        <f t="shared" si="6"/>
        <v>1315</v>
      </c>
      <c r="I17" s="50">
        <f t="shared" si="6"/>
        <v>2488</v>
      </c>
      <c r="J17" s="51">
        <f t="shared" si="6"/>
        <v>2716.2847219857017</v>
      </c>
      <c r="K17" s="11"/>
    </row>
    <row r="18" ht="15" customHeight="1">
      <c r="A18" s="1"/>
      <c r="B18" s="4" t="s">
        <v>145</v>
      </c>
      <c r="C18" s="36" t="s">
        <v>30</v>
      </c>
      <c r="D18" s="36" t="s">
        <v>30</v>
      </c>
      <c r="E18" s="36" t="s">
        <v>30</v>
      </c>
      <c r="F18" s="36" t="s">
        <v>30</v>
      </c>
      <c r="G18" s="36" t="s">
        <v>30</v>
      </c>
      <c r="H18" s="44">
        <f t="shared" si="7" ref="H18:J44">H17/C17-1</f>
        <v>-0.07198306280875089</v>
      </c>
      <c r="I18" s="44">
        <f t="shared" si="7"/>
        <v>0.21543722520762087</v>
      </c>
      <c r="J18" s="38">
        <f t="shared" si="7"/>
        <v>-0.025373260859095192</v>
      </c>
      <c r="K18" s="11"/>
    </row>
    <row r="19" ht="15" customHeight="1">
      <c r="A19" s="1"/>
      <c r="B19" s="3" t="s">
        <v>642</v>
      </c>
      <c r="C19" s="1"/>
      <c r="D19" s="1"/>
      <c r="E19" s="1"/>
      <c r="F19" s="1"/>
      <c r="G19" s="1"/>
      <c r="H19" s="1"/>
      <c r="I19" s="1"/>
      <c r="J19" s="35"/>
      <c r="K19" s="11"/>
    </row>
    <row r="20" ht="15" customHeight="1">
      <c r="A20" s="1"/>
      <c r="B20" s="1" t="s">
        <v>643</v>
      </c>
      <c r="C20" s="33">
        <f t="shared" si="9" ref="C20:H23">C59</f>
        <v>-484</v>
      </c>
      <c r="D20" s="33">
        <f t="shared" si="8" ref="D20:I23">D59-C59</f>
        <v>-502</v>
      </c>
      <c r="E20" s="33">
        <f t="shared" si="8"/>
        <v>-496</v>
      </c>
      <c r="F20" s="33">
        <f t="shared" si="8"/>
        <v>-689</v>
      </c>
      <c r="G20" s="33">
        <f t="shared" si="5"/>
        <v>-2171</v>
      </c>
      <c r="H20" s="33">
        <f t="shared" si="9"/>
        <v>-399</v>
      </c>
      <c r="I20" s="33">
        <f t="shared" si="8"/>
        <v>-497</v>
      </c>
      <c r="J20" s="58">
        <v>-500</v>
      </c>
      <c r="K20" s="11" t="s">
        <v>644</v>
      </c>
    </row>
    <row r="21" ht="15" customHeight="1">
      <c r="A21" s="1"/>
      <c r="B21" s="1" t="s">
        <v>645</v>
      </c>
      <c r="C21" s="33">
        <f t="shared" si="9"/>
        <v>0</v>
      </c>
      <c r="D21" s="33">
        <f t="shared" si="8"/>
        <v>-30</v>
      </c>
      <c r="E21" s="33">
        <f t="shared" si="8"/>
        <v>-55</v>
      </c>
      <c r="F21" s="33">
        <f t="shared" si="8"/>
        <v>-20</v>
      </c>
      <c r="G21" s="33">
        <f t="shared" si="5"/>
        <v>-105</v>
      </c>
      <c r="H21" s="33">
        <f t="shared" si="9"/>
        <v>-19798</v>
      </c>
      <c r="I21" s="33">
        <f t="shared" si="8"/>
        <v>-164</v>
      </c>
      <c r="J21" s="58">
        <v>0</v>
      </c>
      <c r="K21" s="11" t="s">
        <v>646</v>
      </c>
    </row>
    <row r="22" ht="15" customHeight="1">
      <c r="A22" s="1"/>
      <c r="B22" s="1" t="s">
        <v>647</v>
      </c>
      <c r="C22" s="33">
        <f t="shared" si="9"/>
        <v>8</v>
      </c>
      <c r="D22" s="33">
        <f t="shared" si="8"/>
        <v>-52</v>
      </c>
      <c r="E22" s="33">
        <f t="shared" si="8"/>
        <v>90</v>
      </c>
      <c r="F22" s="33">
        <f t="shared" si="8"/>
        <v>-210</v>
      </c>
      <c r="G22" s="33">
        <f t="shared" si="5"/>
        <v>-164</v>
      </c>
      <c r="H22" s="33">
        <f t="shared" si="9"/>
        <v>-161</v>
      </c>
      <c r="I22" s="33">
        <f t="shared" si="8"/>
        <v>-26</v>
      </c>
      <c r="J22" s="58">
        <v>0</v>
      </c>
      <c r="K22" s="11" t="s">
        <v>648</v>
      </c>
    </row>
    <row r="23" ht="15" customHeight="1">
      <c r="A23" s="1"/>
      <c r="B23" s="1" t="s">
        <v>649</v>
      </c>
      <c r="C23" s="33">
        <f t="shared" si="9"/>
        <v>6</v>
      </c>
      <c r="D23" s="33">
        <f t="shared" si="8"/>
        <v>2</v>
      </c>
      <c r="E23" s="33">
        <f t="shared" si="8"/>
        <v>4</v>
      </c>
      <c r="F23" s="33">
        <f t="shared" si="8"/>
        <v>6</v>
      </c>
      <c r="G23" s="33">
        <f t="shared" si="5"/>
        <v>18</v>
      </c>
      <c r="H23" s="33">
        <f t="shared" si="9"/>
        <v>34</v>
      </c>
      <c r="I23" s="33">
        <f t="shared" si="8"/>
        <v>14</v>
      </c>
      <c r="J23" s="58">
        <v>0</v>
      </c>
      <c r="K23" s="11" t="s">
        <v>648</v>
      </c>
    </row>
    <row r="24" ht="15" customHeight="1">
      <c r="A24" s="1"/>
      <c r="B24" s="3" t="s">
        <v>650</v>
      </c>
      <c r="C24" s="50">
        <f t="shared" si="10" ref="C24:J24">C20+C21+C22+C23</f>
        <v>-470</v>
      </c>
      <c r="D24" s="50">
        <f t="shared" si="10"/>
        <v>-582</v>
      </c>
      <c r="E24" s="50">
        <f t="shared" si="10"/>
        <v>-457</v>
      </c>
      <c r="F24" s="50">
        <f t="shared" si="10"/>
        <v>-913</v>
      </c>
      <c r="G24" s="50">
        <f t="shared" si="10"/>
        <v>-2422</v>
      </c>
      <c r="H24" s="50">
        <f t="shared" si="10"/>
        <v>-20324</v>
      </c>
      <c r="I24" s="50">
        <f t="shared" si="10"/>
        <v>-673</v>
      </c>
      <c r="J24" s="51">
        <f t="shared" si="10"/>
        <v>-500</v>
      </c>
      <c r="K24" s="11"/>
    </row>
    <row r="25" ht="15" customHeight="1">
      <c r="A25" s="1"/>
      <c r="B25" s="3" t="s">
        <v>651</v>
      </c>
      <c r="C25" s="1"/>
      <c r="D25" s="1"/>
      <c r="E25" s="1"/>
      <c r="F25" s="1"/>
      <c r="G25" s="1"/>
      <c r="H25" s="1"/>
      <c r="I25" s="1"/>
      <c r="J25" s="35"/>
      <c r="K25" s="11"/>
    </row>
    <row r="26" ht="15" customHeight="1">
      <c r="A26" s="1"/>
      <c r="B26" s="1" t="s">
        <v>652</v>
      </c>
      <c r="C26" s="33">
        <f t="shared" si="12" ref="C26:H32">C63</f>
        <v>-36</v>
      </c>
      <c r="D26" s="33">
        <f t="shared" si="11" ref="D26:I32">D63-C63</f>
        <v>-16</v>
      </c>
      <c r="E26" s="33">
        <f t="shared" si="11"/>
        <v>8</v>
      </c>
      <c r="F26" s="33">
        <f t="shared" si="11"/>
        <v>-71</v>
      </c>
      <c r="G26" s="33">
        <f t="shared" si="5"/>
        <v>-115</v>
      </c>
      <c r="H26" s="33">
        <f t="shared" si="12"/>
        <v>31</v>
      </c>
      <c r="I26" s="33">
        <f t="shared" si="11"/>
        <v>64</v>
      </c>
      <c r="J26" s="58">
        <v>0</v>
      </c>
      <c r="K26" s="11" t="s">
        <v>648</v>
      </c>
    </row>
    <row r="27" ht="15" customHeight="1">
      <c r="A27" s="1"/>
      <c r="B27" s="1" t="s">
        <v>653</v>
      </c>
      <c r="C27" s="33">
        <f t="shared" si="12"/>
        <v>1</v>
      </c>
      <c r="D27" s="33">
        <f t="shared" si="11"/>
        <v>2</v>
      </c>
      <c r="E27" s="33">
        <f t="shared" si="11"/>
        <v>0</v>
      </c>
      <c r="F27" s="33">
        <f t="shared" si="11"/>
        <v>2</v>
      </c>
      <c r="G27" s="33">
        <f t="shared" si="5"/>
        <v>5</v>
      </c>
      <c r="H27" s="33">
        <f t="shared" si="12"/>
        <v>19860</v>
      </c>
      <c r="I27" s="33">
        <f t="shared" si="11"/>
        <v>-33</v>
      </c>
      <c r="J27" s="58">
        <v>0</v>
      </c>
      <c r="K27" s="11" t="s">
        <v>654</v>
      </c>
    </row>
    <row r="28" ht="15" customHeight="1">
      <c r="A28" s="1"/>
      <c r="B28" s="1" t="s">
        <v>655</v>
      </c>
      <c r="C28" s="33">
        <f t="shared" si="12"/>
        <v>-1001</v>
      </c>
      <c r="D28" s="33">
        <f t="shared" si="11"/>
        <v>-1</v>
      </c>
      <c r="E28" s="33">
        <f t="shared" si="11"/>
        <v>-501</v>
      </c>
      <c r="F28" s="33">
        <f t="shared" si="11"/>
        <v>-1</v>
      </c>
      <c r="G28" s="33">
        <f t="shared" si="5"/>
        <v>-1504</v>
      </c>
      <c r="H28" s="33">
        <f t="shared" si="12"/>
        <v>-1416</v>
      </c>
      <c r="I28" s="33">
        <f t="shared" si="11"/>
        <v>-1405</v>
      </c>
      <c r="J28" s="58">
        <v>0</v>
      </c>
      <c r="K28" s="11" t="s">
        <v>656</v>
      </c>
    </row>
    <row r="29" ht="15" customHeight="1">
      <c r="A29" s="1"/>
      <c r="B29" s="1" t="s">
        <v>657</v>
      </c>
      <c r="C29" s="33">
        <f t="shared" si="12"/>
        <v>-280</v>
      </c>
      <c r="D29" s="33">
        <f t="shared" si="11"/>
        <v>-6</v>
      </c>
      <c r="E29" s="33">
        <f t="shared" si="11"/>
        <v>-305</v>
      </c>
      <c r="F29" s="33">
        <f t="shared" si="11"/>
        <v>-302</v>
      </c>
      <c r="G29" s="33">
        <f t="shared" si="5"/>
        <v>-893</v>
      </c>
      <c r="H29" s="33">
        <f t="shared" si="12"/>
        <v>-180</v>
      </c>
      <c r="I29" s="33">
        <f t="shared" si="11"/>
        <v>-1045</v>
      </c>
      <c r="J29" s="53">
        <f>-'Share Count'!J26</f>
        <v>-500</v>
      </c>
      <c r="K29" s="11" t="s">
        <v>658</v>
      </c>
    </row>
    <row r="30" ht="15" customHeight="1">
      <c r="A30" s="1"/>
      <c r="B30" s="1" t="s">
        <v>659</v>
      </c>
      <c r="C30" s="33">
        <f t="shared" si="12"/>
        <v>287</v>
      </c>
      <c r="D30" s="33">
        <f t="shared" si="11"/>
        <v>35</v>
      </c>
      <c r="E30" s="33">
        <f t="shared" si="11"/>
        <v>69</v>
      </c>
      <c r="F30" s="33">
        <f t="shared" si="11"/>
        <v>5</v>
      </c>
      <c r="G30" s="33">
        <f t="shared" si="5"/>
        <v>396</v>
      </c>
      <c r="H30" s="33">
        <f t="shared" si="12"/>
        <v>116</v>
      </c>
      <c r="I30" s="33">
        <f t="shared" si="11"/>
        <v>3</v>
      </c>
      <c r="J30" s="58">
        <v>20</v>
      </c>
      <c r="K30" s="11" t="s">
        <v>648</v>
      </c>
    </row>
    <row r="31" ht="15" customHeight="1">
      <c r="A31" s="1"/>
      <c r="B31" s="1" t="s">
        <v>660</v>
      </c>
      <c r="C31" s="33">
        <f t="shared" si="12"/>
        <v>-1026</v>
      </c>
      <c r="D31" s="33">
        <f t="shared" si="11"/>
        <v>-1029</v>
      </c>
      <c r="E31" s="33">
        <f t="shared" si="11"/>
        <v>-1031</v>
      </c>
      <c r="F31" s="33">
        <f t="shared" si="11"/>
        <v>-1030</v>
      </c>
      <c r="G31" s="33">
        <f t="shared" si="5"/>
        <v>-4116</v>
      </c>
      <c r="H31" s="33">
        <f t="shared" si="12"/>
        <v>-1098</v>
      </c>
      <c r="I31" s="33">
        <f t="shared" si="11"/>
        <v>-1102</v>
      </c>
      <c r="J31" s="53">
        <f>-'Balance Sheet'!I31</f>
        <v>-1093</v>
      </c>
      <c r="K31" s="11" t="s">
        <v>661</v>
      </c>
    </row>
    <row r="32" ht="15" customHeight="1">
      <c r="A32" s="1"/>
      <c r="B32" s="1" t="s">
        <v>662</v>
      </c>
      <c r="C32" s="33">
        <f t="shared" si="12"/>
        <v>0</v>
      </c>
      <c r="D32" s="33">
        <f t="shared" si="11"/>
        <v>-82</v>
      </c>
      <c r="E32" s="33">
        <f t="shared" si="11"/>
        <v>0</v>
      </c>
      <c r="F32" s="33">
        <f t="shared" si="11"/>
        <v>0</v>
      </c>
      <c r="G32" s="33">
        <f t="shared" si="5"/>
        <v>-82</v>
      </c>
      <c r="H32" s="33">
        <f t="shared" si="12"/>
        <v>0</v>
      </c>
      <c r="I32" s="33">
        <f t="shared" si="11"/>
        <v>0</v>
      </c>
      <c r="J32" s="58">
        <v>0</v>
      </c>
      <c r="K32" s="11" t="s">
        <v>648</v>
      </c>
    </row>
    <row r="33" ht="15" customHeight="1">
      <c r="A33" s="1"/>
      <c r="B33" s="3" t="s">
        <v>663</v>
      </c>
      <c r="C33" s="50">
        <f t="shared" si="6"/>
        <v>-2055</v>
      </c>
      <c r="D33" s="50">
        <f t="shared" si="6"/>
        <v>-1097</v>
      </c>
      <c r="E33" s="50">
        <f t="shared" si="6"/>
        <v>-1760</v>
      </c>
      <c r="F33" s="50">
        <f t="shared" si="6"/>
        <v>-1397</v>
      </c>
      <c r="G33" s="50">
        <f t="shared" si="6"/>
        <v>-6309</v>
      </c>
      <c r="H33" s="50">
        <f t="shared" si="6"/>
        <v>17313</v>
      </c>
      <c r="I33" s="50">
        <f t="shared" si="6"/>
        <v>-3518</v>
      </c>
      <c r="J33" s="51">
        <f t="shared" si="6"/>
        <v>-1573</v>
      </c>
      <c r="K33" s="11"/>
    </row>
    <row r="34" ht="15" customHeight="1">
      <c r="A34" s="1"/>
      <c r="B34" s="1" t="s">
        <v>664</v>
      </c>
      <c r="C34" s="33">
        <f t="shared" si="14" ref="C34:H34">C70</f>
        <v>24</v>
      </c>
      <c r="D34" s="33">
        <f t="shared" si="13" ref="D34:I34">D70-C70</f>
        <v>51</v>
      </c>
      <c r="E34" s="33">
        <f t="shared" si="13"/>
        <v>-10</v>
      </c>
      <c r="F34" s="33">
        <f t="shared" si="13"/>
        <v>6</v>
      </c>
      <c r="G34" s="33">
        <f t="shared" si="5"/>
        <v>71</v>
      </c>
      <c r="H34" s="33">
        <f t="shared" si="14"/>
        <v>-23</v>
      </c>
      <c r="I34" s="33">
        <f t="shared" si="13"/>
        <v>4</v>
      </c>
      <c r="J34" s="58">
        <v>0</v>
      </c>
      <c r="K34" s="11" t="s">
        <v>648</v>
      </c>
    </row>
    <row r="35" ht="15" customHeight="1">
      <c r="A35" s="1"/>
      <c r="B35" s="3" t="s">
        <v>665</v>
      </c>
      <c r="C35" s="50">
        <f t="shared" si="15" ref="C35:J35">C17+C24+C33+C34</f>
        <v>-1084</v>
      </c>
      <c r="D35" s="50">
        <f t="shared" si="15"/>
        <v>419</v>
      </c>
      <c r="E35" s="50">
        <f t="shared" si="15"/>
        <v>560</v>
      </c>
      <c r="F35" s="50">
        <f t="shared" si="15"/>
        <v>1011</v>
      </c>
      <c r="G35" s="50">
        <f t="shared" si="15"/>
        <v>906</v>
      </c>
      <c r="H35" s="50">
        <f t="shared" si="15"/>
        <v>-1719</v>
      </c>
      <c r="I35" s="50">
        <f t="shared" si="15"/>
        <v>-1699</v>
      </c>
      <c r="J35" s="51">
        <f t="shared" si="15"/>
        <v>643.2847219857017</v>
      </c>
      <c r="K35" s="11"/>
    </row>
    <row r="36" ht="15" customHeight="1">
      <c r="A36" s="1"/>
      <c r="B36" s="1" t="s">
        <v>666</v>
      </c>
      <c r="C36" s="29">
        <v>7616</v>
      </c>
      <c r="D36" s="33">
        <f t="shared" si="16" ref="D36:J36">C37</f>
        <v>6532</v>
      </c>
      <c r="E36" s="33">
        <f t="shared" si="16"/>
        <v>6951</v>
      </c>
      <c r="F36" s="33">
        <f t="shared" si="16"/>
        <v>7511</v>
      </c>
      <c r="G36" s="33">
        <f>C36</f>
        <v>7616</v>
      </c>
      <c r="H36" s="33">
        <f>F37</f>
        <v>8522</v>
      </c>
      <c r="I36" s="33">
        <f t="shared" si="16"/>
        <v>6803</v>
      </c>
      <c r="J36" s="43">
        <f t="shared" si="16"/>
        <v>5104</v>
      </c>
      <c r="K36" s="11" t="s">
        <v>667</v>
      </c>
    </row>
    <row r="37" ht="15" customHeight="1">
      <c r="A37" s="1"/>
      <c r="B37" s="3" t="s">
        <v>668</v>
      </c>
      <c r="C37" s="50">
        <f t="shared" si="17" ref="C37:J37">C36+C35</f>
        <v>6532</v>
      </c>
      <c r="D37" s="50">
        <f t="shared" si="17"/>
        <v>6951</v>
      </c>
      <c r="E37" s="50">
        <f t="shared" si="17"/>
        <v>7511</v>
      </c>
      <c r="F37" s="50">
        <f t="shared" si="17"/>
        <v>8522</v>
      </c>
      <c r="G37" s="50">
        <f t="shared" si="17"/>
        <v>8522</v>
      </c>
      <c r="H37" s="50">
        <f t="shared" si="17"/>
        <v>6803</v>
      </c>
      <c r="I37" s="50">
        <f t="shared" si="17"/>
        <v>5104</v>
      </c>
      <c r="J37" s="51">
        <f t="shared" si="17"/>
        <v>5747.284721985701</v>
      </c>
      <c r="K37" s="11"/>
    </row>
    <row r="38" ht="15" customHeight="1">
      <c r="A38" s="1"/>
      <c r="B38" s="1" t="s">
        <v>669</v>
      </c>
      <c r="C38" s="27">
        <f>C37-'Balance Sheet'!C10</f>
        <v>0</v>
      </c>
      <c r="D38" s="27">
        <f>D37-'Balance Sheet'!D10</f>
        <v>0</v>
      </c>
      <c r="E38" s="27">
        <f>E37-'Balance Sheet'!E10</f>
        <v>0</v>
      </c>
      <c r="F38" s="27">
        <f>F37-'Balance Sheet'!F10</f>
        <v>0</v>
      </c>
      <c r="G38" s="27">
        <f>G37-'Balance Sheet'!G10</f>
        <v>0</v>
      </c>
      <c r="H38" s="27">
        <f>H37-'Balance Sheet'!H10</f>
        <v>0</v>
      </c>
      <c r="I38" s="27">
        <f>I37-'Balance Sheet'!I10</f>
        <v>0</v>
      </c>
      <c r="J38" s="53">
        <f>J37-'Balance Sheet'!J10</f>
        <v>0</v>
      </c>
      <c r="K38" s="11" t="s">
        <v>670</v>
      </c>
    </row>
    <row r="39" ht="15" customHeight="1">
      <c r="A39" s="1"/>
      <c r="B39" s="1" t="s">
        <v>671</v>
      </c>
      <c r="C39" s="27">
        <f>C12-'Income Statement'!C13</f>
        <v>0</v>
      </c>
      <c r="D39" s="27">
        <f>D12-'Income Statement'!D13</f>
        <v>0</v>
      </c>
      <c r="E39" s="27">
        <f>E12-'Income Statement'!E13</f>
        <v>0</v>
      </c>
      <c r="F39" s="27">
        <f>F12-'Income Statement'!F13</f>
        <v>0</v>
      </c>
      <c r="G39" s="27">
        <f>G12-'Income Statement'!G13</f>
        <v>0</v>
      </c>
      <c r="H39" s="27">
        <f>H12-'Income Statement'!H13</f>
        <v>0</v>
      </c>
      <c r="I39" s="27">
        <f>I12-'Income Statement'!I13</f>
        <v>0</v>
      </c>
      <c r="J39" s="53">
        <f>J12-'Income Statement'!J13</f>
        <v>0</v>
      </c>
      <c r="K39" s="11"/>
    </row>
    <row r="40" ht="15" customHeight="1">
      <c r="A40" s="1"/>
      <c r="B40" s="1" t="s">
        <v>672</v>
      </c>
      <c r="C40" s="27">
        <f>C10-'Income Statement'!C33</f>
        <v>0</v>
      </c>
      <c r="D40" s="27">
        <f>D10-'Income Statement'!D33</f>
        <v>0</v>
      </c>
      <c r="E40" s="27">
        <f>E10-'Income Statement'!E33</f>
        <v>0</v>
      </c>
      <c r="F40" s="27">
        <f>F10-'Income Statement'!F33</f>
        <v>0</v>
      </c>
      <c r="G40" s="27">
        <f>G10-'Income Statement'!G33</f>
        <v>0</v>
      </c>
      <c r="H40" s="27">
        <f>H10-'Income Statement'!H33</f>
        <v>0</v>
      </c>
      <c r="I40" s="27">
        <f>I10-'Income Statement'!I33</f>
        <v>0</v>
      </c>
      <c r="J40" s="53">
        <f>J10-'Income Statement'!J33</f>
        <v>0</v>
      </c>
      <c r="K40" s="11"/>
    </row>
    <row r="41" ht="15" customHeight="1">
      <c r="A41" s="1"/>
      <c r="B41" s="1"/>
      <c r="C41" s="1"/>
      <c r="D41" s="1"/>
      <c r="E41" s="1"/>
      <c r="F41" s="1"/>
      <c r="G41" s="1"/>
      <c r="H41" s="1"/>
      <c r="I41" s="1"/>
      <c r="J41" s="35"/>
      <c r="K41" s="11"/>
    </row>
    <row r="42" ht="15" customHeight="1">
      <c r="A42" s="1"/>
      <c r="B42" s="3" t="s">
        <v>673</v>
      </c>
      <c r="C42" s="1"/>
      <c r="D42" s="1"/>
      <c r="E42" s="1"/>
      <c r="F42" s="1"/>
      <c r="G42" s="1"/>
      <c r="H42" s="1"/>
      <c r="I42" s="1"/>
      <c r="J42" s="35"/>
      <c r="K42" s="11"/>
    </row>
    <row r="43" ht="15" customHeight="1">
      <c r="A43" s="1"/>
      <c r="B43" s="3" t="s">
        <v>674</v>
      </c>
      <c r="C43" s="50">
        <f t="shared" si="18" ref="C43:J43">C17+C20</f>
        <v>933</v>
      </c>
      <c r="D43" s="50">
        <f t="shared" si="18"/>
        <v>1545</v>
      </c>
      <c r="E43" s="50">
        <f t="shared" si="18"/>
        <v>2291</v>
      </c>
      <c r="F43" s="50">
        <f t="shared" si="18"/>
        <v>2626</v>
      </c>
      <c r="G43" s="50">
        <f t="shared" si="18"/>
        <v>7395</v>
      </c>
      <c r="H43" s="50">
        <f t="shared" si="18"/>
        <v>916</v>
      </c>
      <c r="I43" s="50">
        <f t="shared" si="18"/>
        <v>1991</v>
      </c>
      <c r="J43" s="51">
        <f t="shared" si="18"/>
        <v>2216.2847219857017</v>
      </c>
      <c r="K43" s="11" t="s">
        <v>675</v>
      </c>
    </row>
    <row r="44" ht="15" customHeight="1">
      <c r="A44" s="1"/>
      <c r="B44" s="4" t="s">
        <v>145</v>
      </c>
      <c r="C44" s="36" t="s">
        <v>30</v>
      </c>
      <c r="D44" s="36" t="s">
        <v>30</v>
      </c>
      <c r="E44" s="36" t="s">
        <v>30</v>
      </c>
      <c r="F44" s="36" t="s">
        <v>30</v>
      </c>
      <c r="G44" s="36" t="s">
        <v>30</v>
      </c>
      <c r="H44" s="44">
        <f t="shared" si="7"/>
        <v>-0.018220793140407254</v>
      </c>
      <c r="I44" s="44">
        <f t="shared" si="7"/>
        <v>0.28867313915857595</v>
      </c>
      <c r="J44" s="38">
        <f t="shared" si="7"/>
        <v>-0.032612517684111</v>
      </c>
      <c r="K44" s="11"/>
    </row>
    <row r="45" ht="15" customHeight="1">
      <c r="A45" s="1"/>
      <c r="B45" s="4" t="s">
        <v>676</v>
      </c>
      <c r="C45" s="41">
        <f>C43/'Income Statement'!C93</f>
        <v>0.48619072433559146</v>
      </c>
      <c r="D45" s="41">
        <f>D43/'Income Statement'!D93</f>
        <v>0.6981473113420696</v>
      </c>
      <c r="E45" s="41">
        <f>E43/'Income Statement'!E93</f>
        <v>1.0057067603160668</v>
      </c>
      <c r="F45" s="41">
        <f>F43/'Income Statement'!F93</f>
        <v>0.9984790874524715</v>
      </c>
      <c r="G45" s="41">
        <f>G43/'Income Statement'!G93</f>
        <v>0.8180309734513275</v>
      </c>
      <c r="H45" s="41">
        <f>H43/'Income Statement'!H93</f>
        <v>0.4530168150346192</v>
      </c>
      <c r="I45" s="41">
        <f>I43/'Income Statement'!I93</f>
        <v>0.8694323144104803</v>
      </c>
      <c r="J45" s="42">
        <f>J43/'Income Statement'!J93</f>
        <v>0.8952209068883619</v>
      </c>
      <c r="K45" s="11"/>
    </row>
    <row r="46" ht="15" customHeight="1">
      <c r="A46" s="1"/>
      <c r="B46" s="4" t="s">
        <v>149</v>
      </c>
      <c r="C46" s="36" t="s">
        <v>30</v>
      </c>
      <c r="D46" s="36" t="s">
        <v>30</v>
      </c>
      <c r="E46" s="36" t="s">
        <v>30</v>
      </c>
      <c r="F46" s="36" t="s">
        <v>30</v>
      </c>
      <c r="G46" s="36" t="s">
        <v>30</v>
      </c>
      <c r="H46" s="47">
        <f t="shared" si="19" ref="H46:J48">(H45-C45)*10000</f>
        <v>-331.73909300972247</v>
      </c>
      <c r="I46" s="47">
        <f t="shared" si="19"/>
        <v>1712.8500306841065</v>
      </c>
      <c r="J46" s="48">
        <f t="shared" si="19"/>
        <v>-1104.8585342770489</v>
      </c>
      <c r="K46" s="11"/>
    </row>
    <row r="47" ht="15" customHeight="1">
      <c r="A47" s="1"/>
      <c r="B47" s="4" t="s">
        <v>677</v>
      </c>
      <c r="C47" s="41">
        <f>-C20/'Income Statement'!C10</f>
        <v>0.046727167406835295</v>
      </c>
      <c r="D47" s="41">
        <f>-D20/'Income Statement'!D10</f>
        <v>0.045054747801112904</v>
      </c>
      <c r="E47" s="41">
        <f>-E20/'Income Statement'!E10</f>
        <v>0.043627407863488434</v>
      </c>
      <c r="F47" s="41">
        <f>-F20/'Income Statement'!F10</f>
        <v>0.060127410768827994</v>
      </c>
      <c r="G47" s="41">
        <f>-G20/'Income Statement'!G10</f>
        <v>0.04897581663959574</v>
      </c>
      <c r="H47" s="41">
        <f>-H20/'Income Statement'!H10</f>
        <v>0.03573987817986385</v>
      </c>
      <c r="I47" s="41">
        <f>-I20/'Income Statement'!I10</f>
        <v>0.039466370205669815</v>
      </c>
      <c r="J47" s="42">
        <f>-J20/'Income Statement'!J10</f>
        <v>0.03869563531731967</v>
      </c>
      <c r="K47" s="11"/>
    </row>
    <row r="48" ht="15" customHeight="1">
      <c r="A48" s="1"/>
      <c r="B48" s="4" t="s">
        <v>149</v>
      </c>
      <c r="C48" s="36" t="s">
        <v>30</v>
      </c>
      <c r="D48" s="36" t="s">
        <v>30</v>
      </c>
      <c r="E48" s="36" t="s">
        <v>30</v>
      </c>
      <c r="F48" s="36" t="s">
        <v>30</v>
      </c>
      <c r="G48" s="36" t="s">
        <v>30</v>
      </c>
      <c r="H48" s="47">
        <f t="shared" si="19"/>
        <v>-109.87289226971446</v>
      </c>
      <c r="I48" s="47">
        <f t="shared" si="19"/>
        <v>-55.883775954430895</v>
      </c>
      <c r="J48" s="48">
        <f t="shared" si="19"/>
        <v>-49.31772546168764</v>
      </c>
      <c r="K48" s="11"/>
    </row>
    <row r="49" ht="15" customHeight="1">
      <c r="A49" s="1"/>
      <c r="B49" s="1" t="s">
        <v>678</v>
      </c>
      <c r="C49" s="29">
        <v>1033</v>
      </c>
      <c r="D49" s="29">
        <v>1028</v>
      </c>
      <c r="E49" s="29">
        <v>1030</v>
      </c>
      <c r="F49" s="33">
        <f>G49-C49-D49-E49</f>
        <v>1098</v>
      </c>
      <c r="G49" s="29">
        <v>4189</v>
      </c>
      <c r="H49" s="29">
        <v>1101</v>
      </c>
      <c r="I49" s="29">
        <v>1095</v>
      </c>
      <c r="J49" s="53">
        <f>'Share Count'!J31*'Share Count'!J12</f>
        <v>1087.3020738461537</v>
      </c>
      <c r="K49" s="11" t="s">
        <v>679</v>
      </c>
    </row>
    <row r="50" ht="15" customHeight="1">
      <c r="A50" s="1"/>
      <c r="B50" s="1"/>
      <c r="C50" s="1"/>
      <c r="D50" s="1"/>
      <c r="E50" s="1"/>
      <c r="F50" s="1"/>
      <c r="G50" s="1"/>
      <c r="H50" s="1"/>
      <c r="I50" s="1"/>
      <c r="J50" s="35"/>
      <c r="K50" s="11"/>
    </row>
    <row r="51" ht="15" customHeight="1">
      <c r="A51" s="1"/>
      <c r="B51" s="3" t="s">
        <v>680</v>
      </c>
      <c r="C51" s="1"/>
      <c r="D51" s="1"/>
      <c r="E51" s="1"/>
      <c r="F51" s="1"/>
      <c r="G51" s="1"/>
      <c r="H51" s="1"/>
      <c r="I51" s="1"/>
      <c r="J51" s="35"/>
      <c r="K51" s="11"/>
    </row>
    <row r="52" ht="15" customHeight="1">
      <c r="A52" s="1"/>
      <c r="B52" s="1" t="s">
        <v>681</v>
      </c>
      <c r="C52" s="29">
        <v>1325</v>
      </c>
      <c r="D52" s="29">
        <v>3104</v>
      </c>
      <c r="E52" s="29">
        <v>4748</v>
      </c>
      <c r="F52" s="29">
        <v>6524</v>
      </c>
      <c r="G52" s="33">
        <f t="shared" si="20" ref="G52:G71">F52</f>
        <v>6524</v>
      </c>
      <c r="H52" s="29">
        <v>1077</v>
      </c>
      <c r="I52" s="29">
        <v>2005</v>
      </c>
      <c r="J52" s="52" t="s">
        <v>30</v>
      </c>
      <c r="K52" s="11" t="s">
        <v>682</v>
      </c>
    </row>
    <row r="53" ht="15" customHeight="1">
      <c r="A53" s="1"/>
      <c r="B53" s="1" t="s">
        <v>683</v>
      </c>
      <c r="C53" s="29">
        <v>336</v>
      </c>
      <c r="D53" s="29">
        <v>693</v>
      </c>
      <c r="E53" s="29">
        <v>1064</v>
      </c>
      <c r="F53" s="29">
        <v>1434</v>
      </c>
      <c r="G53" s="33">
        <f t="shared" si="20"/>
        <v>1434</v>
      </c>
      <c r="H53" s="29">
        <v>381</v>
      </c>
      <c r="I53" s="29">
        <v>783</v>
      </c>
      <c r="J53" s="52" t="s">
        <v>30</v>
      </c>
      <c r="K53" s="11" t="s">
        <v>682</v>
      </c>
    </row>
    <row r="54" ht="15" customHeight="1">
      <c r="A54" s="1"/>
      <c r="B54" s="1" t="s">
        <v>684</v>
      </c>
      <c r="C54" s="29">
        <v>420</v>
      </c>
      <c r="D54" s="29">
        <v>840</v>
      </c>
      <c r="E54" s="29">
        <v>1260</v>
      </c>
      <c r="F54" s="29">
        <v>1682</v>
      </c>
      <c r="G54" s="33">
        <f t="shared" si="20"/>
        <v>1682</v>
      </c>
      <c r="H54" s="29">
        <v>422</v>
      </c>
      <c r="I54" s="29">
        <v>1080</v>
      </c>
      <c r="J54" s="52" t="s">
        <v>30</v>
      </c>
      <c r="K54" s="11" t="s">
        <v>682</v>
      </c>
    </row>
    <row r="55" ht="15" customHeight="1">
      <c r="A55" s="1"/>
      <c r="B55" s="1" t="s">
        <v>685</v>
      </c>
      <c r="C55" s="29">
        <v>289</v>
      </c>
      <c r="D55" s="29">
        <v>431</v>
      </c>
      <c r="E55" s="29">
        <v>551</v>
      </c>
      <c r="F55" s="29">
        <v>664</v>
      </c>
      <c r="G55" s="33">
        <f t="shared" si="20"/>
        <v>664</v>
      </c>
      <c r="H55" s="29">
        <v>317</v>
      </c>
      <c r="I55" s="29">
        <v>485</v>
      </c>
      <c r="J55" s="52" t="s">
        <v>30</v>
      </c>
      <c r="K55" s="11" t="s">
        <v>682</v>
      </c>
    </row>
    <row r="56" ht="15" customHeight="1">
      <c r="A56" s="1"/>
      <c r="B56" s="1" t="s">
        <v>686</v>
      </c>
      <c r="C56" s="29">
        <v>-262</v>
      </c>
      <c r="D56" s="29">
        <v>-672</v>
      </c>
      <c r="E56" s="29">
        <v>-874</v>
      </c>
      <c r="F56" s="29">
        <v>-652</v>
      </c>
      <c r="G56" s="33">
        <f t="shared" si="20"/>
        <v>-652</v>
      </c>
      <c r="H56" s="29">
        <v>-42</v>
      </c>
      <c r="I56" s="29">
        <v>-428</v>
      </c>
      <c r="J56" s="52" t="s">
        <v>30</v>
      </c>
      <c r="K56" s="11" t="s">
        <v>682</v>
      </c>
    </row>
    <row r="57" ht="15" customHeight="1">
      <c r="A57" s="1"/>
      <c r="B57" s="1" t="s">
        <v>687</v>
      </c>
      <c r="C57" s="29">
        <v>-255</v>
      </c>
      <c r="D57" s="29">
        <v>-252</v>
      </c>
      <c r="E57" s="29">
        <v>-39</v>
      </c>
      <c r="F57" s="29">
        <v>195</v>
      </c>
      <c r="G57" s="33">
        <f t="shared" si="20"/>
        <v>195</v>
      </c>
      <c r="H57" s="29">
        <v>-420</v>
      </c>
      <c r="I57" s="29">
        <v>-721</v>
      </c>
      <c r="J57" s="52" t="s">
        <v>30</v>
      </c>
      <c r="K57" s="11" t="s">
        <v>682</v>
      </c>
    </row>
    <row r="58" ht="15" customHeight="1">
      <c r="A58" s="1"/>
      <c r="B58" s="1" t="s">
        <v>688</v>
      </c>
      <c r="C58" s="29">
        <v>-436</v>
      </c>
      <c r="D58" s="29">
        <v>-680</v>
      </c>
      <c r="E58" s="29">
        <v>-459</v>
      </c>
      <c r="F58" s="33">
        <f>SUM(F73:F76)</f>
        <v>-281</v>
      </c>
      <c r="G58" s="33">
        <f t="shared" si="20"/>
        <v>-281</v>
      </c>
      <c r="H58" s="29">
        <v>-420</v>
      </c>
      <c r="I58" s="29">
        <v>599</v>
      </c>
      <c r="J58" s="52" t="s">
        <v>30</v>
      </c>
      <c r="K58" s="11" t="s">
        <v>682</v>
      </c>
    </row>
    <row r="59" ht="15" customHeight="1">
      <c r="A59" s="1"/>
      <c r="B59" s="1" t="s">
        <v>689</v>
      </c>
      <c r="C59" s="29">
        <v>-484</v>
      </c>
      <c r="D59" s="29">
        <v>-986</v>
      </c>
      <c r="E59" s="29">
        <v>-1482</v>
      </c>
      <c r="F59" s="29">
        <v>-2171</v>
      </c>
      <c r="G59" s="33">
        <f t="shared" si="20"/>
        <v>-2171</v>
      </c>
      <c r="H59" s="29">
        <v>-399</v>
      </c>
      <c r="I59" s="29">
        <v>-896</v>
      </c>
      <c r="J59" s="52" t="s">
        <v>30</v>
      </c>
      <c r="K59" s="11" t="s">
        <v>682</v>
      </c>
    </row>
    <row r="60" ht="15" customHeight="1">
      <c r="A60" s="1"/>
      <c r="B60" s="1" t="s">
        <v>690</v>
      </c>
      <c r="C60" s="29">
        <v>0</v>
      </c>
      <c r="D60" s="29">
        <v>-30</v>
      </c>
      <c r="E60" s="29">
        <v>-85</v>
      </c>
      <c r="F60" s="29">
        <v>-105</v>
      </c>
      <c r="G60" s="33">
        <f t="shared" si="20"/>
        <v>-105</v>
      </c>
      <c r="H60" s="29">
        <v>-19798</v>
      </c>
      <c r="I60" s="29">
        <v>-19962</v>
      </c>
      <c r="J60" s="52" t="s">
        <v>30</v>
      </c>
      <c r="K60" s="11" t="s">
        <v>682</v>
      </c>
    </row>
    <row r="61" ht="15" customHeight="1">
      <c r="A61" s="1"/>
      <c r="B61" s="1" t="s">
        <v>691</v>
      </c>
      <c r="C61" s="29">
        <v>8</v>
      </c>
      <c r="D61" s="29">
        <v>-44</v>
      </c>
      <c r="E61" s="29">
        <v>46</v>
      </c>
      <c r="F61" s="29">
        <v>-164</v>
      </c>
      <c r="G61" s="33">
        <f t="shared" si="20"/>
        <v>-164</v>
      </c>
      <c r="H61" s="29">
        <v>-161</v>
      </c>
      <c r="I61" s="29">
        <v>-187</v>
      </c>
      <c r="J61" s="52" t="s">
        <v>30</v>
      </c>
      <c r="K61" s="11" t="s">
        <v>682</v>
      </c>
    </row>
    <row r="62" ht="15" customHeight="1">
      <c r="A62" s="1"/>
      <c r="B62" s="1" t="s">
        <v>692</v>
      </c>
      <c r="C62" s="29">
        <v>6</v>
      </c>
      <c r="D62" s="29">
        <v>8</v>
      </c>
      <c r="E62" s="29">
        <v>12</v>
      </c>
      <c r="F62" s="29">
        <v>18</v>
      </c>
      <c r="G62" s="33">
        <f t="shared" si="20"/>
        <v>18</v>
      </c>
      <c r="H62" s="29">
        <v>34</v>
      </c>
      <c r="I62" s="29">
        <v>48</v>
      </c>
      <c r="J62" s="52" t="s">
        <v>30</v>
      </c>
      <c r="K62" s="11" t="s">
        <v>682</v>
      </c>
    </row>
    <row r="63" ht="15" customHeight="1">
      <c r="A63" s="1"/>
      <c r="B63" s="1" t="s">
        <v>693</v>
      </c>
      <c r="C63" s="29">
        <v>-36</v>
      </c>
      <c r="D63" s="29">
        <v>-52</v>
      </c>
      <c r="E63" s="29">
        <v>-44</v>
      </c>
      <c r="F63" s="29">
        <v>-115</v>
      </c>
      <c r="G63" s="33">
        <f t="shared" si="20"/>
        <v>-115</v>
      </c>
      <c r="H63" s="29">
        <v>31</v>
      </c>
      <c r="I63" s="29">
        <v>95</v>
      </c>
      <c r="J63" s="52" t="s">
        <v>30</v>
      </c>
      <c r="K63" s="11" t="s">
        <v>682</v>
      </c>
    </row>
    <row r="64" ht="15" customHeight="1">
      <c r="A64" s="1"/>
      <c r="B64" s="1" t="s">
        <v>694</v>
      </c>
      <c r="C64" s="29">
        <v>1</v>
      </c>
      <c r="D64" s="29">
        <v>3</v>
      </c>
      <c r="E64" s="29">
        <v>3</v>
      </c>
      <c r="F64" s="29">
        <v>5</v>
      </c>
      <c r="G64" s="33">
        <f t="shared" si="20"/>
        <v>5</v>
      </c>
      <c r="H64" s="29">
        <v>19860</v>
      </c>
      <c r="I64" s="29">
        <v>19827</v>
      </c>
      <c r="J64" s="52" t="s">
        <v>30</v>
      </c>
      <c r="K64" s="11" t="s">
        <v>682</v>
      </c>
    </row>
    <row r="65" ht="15" customHeight="1">
      <c r="A65" s="1"/>
      <c r="B65" s="1" t="s">
        <v>695</v>
      </c>
      <c r="C65" s="29">
        <v>-1001</v>
      </c>
      <c r="D65" s="29">
        <v>-1002</v>
      </c>
      <c r="E65" s="29">
        <v>-1503</v>
      </c>
      <c r="F65" s="29">
        <v>-1504</v>
      </c>
      <c r="G65" s="33">
        <f t="shared" si="20"/>
        <v>-1504</v>
      </c>
      <c r="H65" s="29">
        <v>-1416</v>
      </c>
      <c r="I65" s="29">
        <v>-2821</v>
      </c>
      <c r="J65" s="52" t="s">
        <v>30</v>
      </c>
      <c r="K65" s="11" t="s">
        <v>682</v>
      </c>
    </row>
    <row r="66" ht="15" customHeight="1">
      <c r="A66" s="1"/>
      <c r="B66" s="1" t="s">
        <v>696</v>
      </c>
      <c r="C66" s="29">
        <v>-280</v>
      </c>
      <c r="D66" s="29">
        <v>-286</v>
      </c>
      <c r="E66" s="29">
        <v>-591</v>
      </c>
      <c r="F66" s="29">
        <v>-893</v>
      </c>
      <c r="G66" s="33">
        <f t="shared" si="20"/>
        <v>-893</v>
      </c>
      <c r="H66" s="29">
        <v>-180</v>
      </c>
      <c r="I66" s="29">
        <v>-1225</v>
      </c>
      <c r="J66" s="52" t="s">
        <v>30</v>
      </c>
      <c r="K66" s="11" t="s">
        <v>682</v>
      </c>
    </row>
    <row r="67" ht="15" customHeight="1">
      <c r="A67" s="1"/>
      <c r="B67" s="1" t="s">
        <v>697</v>
      </c>
      <c r="C67" s="29">
        <v>287</v>
      </c>
      <c r="D67" s="29">
        <v>322</v>
      </c>
      <c r="E67" s="29">
        <v>391</v>
      </c>
      <c r="F67" s="29">
        <v>396</v>
      </c>
      <c r="G67" s="33">
        <f t="shared" si="20"/>
        <v>396</v>
      </c>
      <c r="H67" s="29">
        <v>116</v>
      </c>
      <c r="I67" s="29">
        <v>119</v>
      </c>
      <c r="J67" s="52" t="s">
        <v>30</v>
      </c>
      <c r="K67" s="11" t="s">
        <v>682</v>
      </c>
    </row>
    <row r="68" ht="15" customHeight="1">
      <c r="A68" s="1"/>
      <c r="B68" s="1" t="s">
        <v>698</v>
      </c>
      <c r="C68" s="29">
        <v>-1026</v>
      </c>
      <c r="D68" s="29">
        <v>-2055</v>
      </c>
      <c r="E68" s="29">
        <v>-3086</v>
      </c>
      <c r="F68" s="29">
        <v>-4116</v>
      </c>
      <c r="G68" s="33">
        <f t="shared" si="20"/>
        <v>-4116</v>
      </c>
      <c r="H68" s="29">
        <v>-1098</v>
      </c>
      <c r="I68" s="29">
        <v>-2200</v>
      </c>
      <c r="J68" s="52" t="s">
        <v>30</v>
      </c>
      <c r="K68" s="11" t="s">
        <v>682</v>
      </c>
    </row>
    <row r="69" ht="15" customHeight="1">
      <c r="A69" s="1"/>
      <c r="B69" s="1" t="s">
        <v>699</v>
      </c>
      <c r="C69" s="29">
        <v>0</v>
      </c>
      <c r="D69" s="29">
        <v>-82</v>
      </c>
      <c r="E69" s="29">
        <v>-82</v>
      </c>
      <c r="F69" s="29">
        <v>-82</v>
      </c>
      <c r="G69" s="33">
        <f t="shared" si="20"/>
        <v>-82</v>
      </c>
      <c r="H69" s="29">
        <v>0</v>
      </c>
      <c r="I69" s="29">
        <v>0</v>
      </c>
      <c r="J69" s="52" t="s">
        <v>30</v>
      </c>
      <c r="K69" s="11" t="s">
        <v>682</v>
      </c>
    </row>
    <row r="70" ht="15" customHeight="1">
      <c r="A70" s="1"/>
      <c r="B70" s="1" t="s">
        <v>700</v>
      </c>
      <c r="C70" s="29">
        <v>24</v>
      </c>
      <c r="D70" s="29">
        <v>75</v>
      </c>
      <c r="E70" s="29">
        <v>65</v>
      </c>
      <c r="F70" s="29">
        <v>71</v>
      </c>
      <c r="G70" s="33">
        <f t="shared" si="20"/>
        <v>71</v>
      </c>
      <c r="H70" s="29">
        <v>-23</v>
      </c>
      <c r="I70" s="29">
        <v>-19</v>
      </c>
      <c r="J70" s="52" t="s">
        <v>30</v>
      </c>
      <c r="K70" s="11" t="s">
        <v>682</v>
      </c>
    </row>
    <row r="71" ht="15" customHeight="1">
      <c r="A71" s="1"/>
      <c r="B71" s="1" t="s">
        <v>701</v>
      </c>
      <c r="C71" s="29">
        <v>1417</v>
      </c>
      <c r="D71" s="29">
        <v>3464</v>
      </c>
      <c r="E71" s="29">
        <v>6251</v>
      </c>
      <c r="F71" s="29">
        <v>9566</v>
      </c>
      <c r="G71" s="33">
        <f t="shared" si="20"/>
        <v>9566</v>
      </c>
      <c r="H71" s="29">
        <v>1315</v>
      </c>
      <c r="I71" s="29">
        <v>3803</v>
      </c>
      <c r="J71" s="52" t="s">
        <v>30</v>
      </c>
      <c r="K71" s="11" t="s">
        <v>682</v>
      </c>
    </row>
    <row r="72" ht="15" customHeight="1">
      <c r="A72" s="1"/>
      <c r="B72" s="1" t="s">
        <v>702</v>
      </c>
      <c r="C72" s="33">
        <f t="shared" si="21" ref="C72:I72">C52+C53+C54+C55+C56+C57+C58-C71</f>
        <v>0</v>
      </c>
      <c r="D72" s="33">
        <f t="shared" si="21"/>
        <v>0</v>
      </c>
      <c r="E72" s="33">
        <f t="shared" si="21"/>
        <v>0</v>
      </c>
      <c r="F72" s="33">
        <f t="shared" si="21"/>
        <v>0</v>
      </c>
      <c r="G72" s="33">
        <f t="shared" si="21"/>
        <v>0</v>
      </c>
      <c r="H72" s="33">
        <f t="shared" si="21"/>
        <v>0</v>
      </c>
      <c r="I72" s="33">
        <f t="shared" si="21"/>
        <v>0</v>
      </c>
      <c r="J72" s="52" t="s">
        <v>30</v>
      </c>
      <c r="K72" s="11"/>
    </row>
    <row r="73" ht="15" customHeight="1">
      <c r="A73" s="1"/>
      <c r="B73" s="1" t="s">
        <v>703</v>
      </c>
      <c r="C73" s="13"/>
      <c r="D73" s="13"/>
      <c r="E73" s="13"/>
      <c r="F73" s="29">
        <v>65</v>
      </c>
      <c r="G73" s="13"/>
      <c r="H73" s="13"/>
      <c r="I73" s="13"/>
      <c r="J73" s="52"/>
      <c r="K73" s="11" t="s">
        <v>704</v>
      </c>
    </row>
    <row r="74" ht="15" customHeight="1">
      <c r="A74" s="1"/>
      <c r="B74" s="1" t="s">
        <v>705</v>
      </c>
      <c r="C74" s="13"/>
      <c r="D74" s="13"/>
      <c r="E74" s="13"/>
      <c r="F74" s="29">
        <v>-1295</v>
      </c>
      <c r="G74" s="13"/>
      <c r="H74" s="13"/>
      <c r="I74" s="13"/>
      <c r="J74" s="52"/>
      <c r="K74" s="11" t="s">
        <v>704</v>
      </c>
    </row>
    <row r="75" ht="15" customHeight="1">
      <c r="A75" s="1"/>
      <c r="B75" s="1" t="s">
        <v>706</v>
      </c>
      <c r="C75" s="13"/>
      <c r="D75" s="13"/>
      <c r="E75" s="13"/>
      <c r="F75" s="29">
        <v>954</v>
      </c>
      <c r="G75" s="13"/>
      <c r="H75" s="13"/>
      <c r="I75" s="13"/>
      <c r="J75" s="52"/>
      <c r="K75" s="11" t="s">
        <v>704</v>
      </c>
    </row>
    <row r="76" ht="15" customHeight="1">
      <c r="A76" s="1"/>
      <c r="B76" s="1" t="s">
        <v>707</v>
      </c>
      <c r="C76" s="13"/>
      <c r="D76" s="13"/>
      <c r="E76" s="13"/>
      <c r="F76" s="29">
        <v>-5</v>
      </c>
      <c r="G76" s="13"/>
      <c r="H76" s="13"/>
      <c r="I76" s="13"/>
      <c r="J76" s="52"/>
      <c r="K76" s="11" t="s">
        <v>704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E4D6CC8-26E8-0F48-E6C1-BFD2E1CC08C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708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7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3" t="s">
        <v>709</v>
      </c>
      <c r="C9" s="39">
        <f>'Segment - Nutrition'!C78+'Segment - Diagnostics'!C213+'Segment - Medical Devices'!C265+'Revenue summary'!C67</f>
        <v>4168</v>
      </c>
      <c r="D9" s="39">
        <f>'Segment - Nutrition'!D78+'Segment - Diagnostics'!D213+'Segment - Medical Devices'!D265+'Revenue summary'!D67</f>
        <v>4276</v>
      </c>
      <c r="E9" s="39">
        <f>'Segment - Nutrition'!E78+'Segment - Diagnostics'!E213+'Segment - Medical Devices'!E265+'Revenue summary'!E67</f>
        <v>4299</v>
      </c>
      <c r="F9" s="39">
        <f>'Segment - Nutrition'!F78+'Segment - Diagnostics'!F213+'Segment - Medical Devices'!F265+'Revenue summary'!F67</f>
        <v>4383</v>
      </c>
      <c r="G9" s="39">
        <f>'Segment - Nutrition'!G78+'Segment - Diagnostics'!G213+'Segment - Medical Devices'!G265+'Revenue summary'!G67</f>
        <v>17126</v>
      </c>
      <c r="H9" s="39">
        <f>'Segment - Nutrition'!H78+'Segment - Diagnostics'!H213+'Segment - Medical Devices'!H265+'Revenue summary'!H67</f>
        <v>4274</v>
      </c>
      <c r="I9" s="39">
        <f>'Segment - Nutrition'!I78+'Segment - Diagnostics'!I213+'Segment - Medical Devices'!I265+'Revenue summary'!I67</f>
        <v>5216</v>
      </c>
      <c r="J9" s="40">
        <f>'Segment - Nutrition'!J78+'Segment - Diagnostics'!J213+'Segment - Medical Devices'!J265+'Revenue summary'!J67</f>
        <v>5476.45</v>
      </c>
      <c r="K9" s="11" t="s">
        <v>710</v>
      </c>
    </row>
    <row r="10" ht="15" customHeight="1">
      <c r="A10" s="1"/>
      <c r="B10" s="4" t="s">
        <v>145</v>
      </c>
      <c r="C10" s="44">
        <f t="shared" si="3" ref="C10:J10">C9/C42-1</f>
        <v>0.08372334893395728</v>
      </c>
      <c r="D10" s="44">
        <f t="shared" si="3"/>
        <v>0.08693441789527201</v>
      </c>
      <c r="E10" s="44">
        <f t="shared" si="3"/>
        <v>0.023084245597334574</v>
      </c>
      <c r="F10" s="44">
        <f t="shared" si="3"/>
        <v>0.009675190048376026</v>
      </c>
      <c r="G10" s="44">
        <f t="shared" si="3"/>
        <v>0.04919438828646694</v>
      </c>
      <c r="H10" s="44">
        <f t="shared" si="3"/>
        <v>0.025431861804222633</v>
      </c>
      <c r="I10" s="44">
        <f t="shared" si="3"/>
        <v>0.2198316183348925</v>
      </c>
      <c r="J10" s="38">
        <f t="shared" si="3"/>
        <v>0.27388927657594775</v>
      </c>
      <c r="K10" s="11"/>
    </row>
    <row r="11" ht="15" customHeight="1">
      <c r="A11" s="1"/>
      <c r="B11" s="1" t="s">
        <v>146</v>
      </c>
      <c r="C11" s="33">
        <f>C9-F42</f>
        <v>-173</v>
      </c>
      <c r="D11" s="33">
        <f t="shared" si="4" ref="D11:J26">D9-C9</f>
        <v>108</v>
      </c>
      <c r="E11" s="33">
        <f t="shared" si="4"/>
        <v>23</v>
      </c>
      <c r="F11" s="33">
        <f t="shared" si="4"/>
        <v>84</v>
      </c>
      <c r="G11" s="13" t="s">
        <v>30</v>
      </c>
      <c r="H11" s="33">
        <f t="shared" si="14" ref="H11:H26">H9-F9</f>
        <v>-109</v>
      </c>
      <c r="I11" s="33">
        <f t="shared" si="4"/>
        <v>942</v>
      </c>
      <c r="J11" s="43">
        <f t="shared" si="4"/>
        <v>260.4499999999998</v>
      </c>
      <c r="K11" s="11"/>
    </row>
    <row r="12" ht="15" customHeight="1">
      <c r="A12" s="1"/>
      <c r="B12" s="4" t="s">
        <v>147</v>
      </c>
      <c r="C12" s="44">
        <f>C9/F42-1</f>
        <v>-0.03985256853259622</v>
      </c>
      <c r="D12" s="44">
        <f t="shared" si="5" ref="D12:J27">D9/C9-1</f>
        <v>0.025911708253358867</v>
      </c>
      <c r="E12" s="44">
        <f t="shared" si="5"/>
        <v>0.005378858746492021</v>
      </c>
      <c r="F12" s="44">
        <f t="shared" si="5"/>
        <v>0.01953942777390094</v>
      </c>
      <c r="G12" s="36" t="s">
        <v>30</v>
      </c>
      <c r="H12" s="44">
        <f t="shared" si="15" ref="H12:H27">H9/F9-1</f>
        <v>-0.024868811316449912</v>
      </c>
      <c r="I12" s="44">
        <f t="shared" si="5"/>
        <v>0.22040243331773524</v>
      </c>
      <c r="J12" s="38">
        <f t="shared" si="5"/>
        <v>0.04993289877300611</v>
      </c>
      <c r="K12" s="11"/>
    </row>
    <row r="13" ht="15" customHeight="1">
      <c r="A13" s="1"/>
      <c r="B13" s="4" t="s">
        <v>148</v>
      </c>
      <c r="C13" s="44">
        <f t="shared" si="6" ref="C13:J13">C9/C40</f>
        <v>0.40239428461092874</v>
      </c>
      <c r="D13" s="44">
        <f t="shared" si="6"/>
        <v>0.3837731107521091</v>
      </c>
      <c r="E13" s="44">
        <f t="shared" si="6"/>
        <v>0.3781335209780983</v>
      </c>
      <c r="F13" s="44">
        <f t="shared" si="6"/>
        <v>0.38249410943363293</v>
      </c>
      <c r="G13" s="44">
        <f t="shared" si="6"/>
        <v>0.3863472297419238</v>
      </c>
      <c r="H13" s="44">
        <f t="shared" si="6"/>
        <v>0.38283769258330347</v>
      </c>
      <c r="I13" s="44">
        <f t="shared" si="6"/>
        <v>0.41419836417057093</v>
      </c>
      <c r="J13" s="38">
        <f t="shared" si="6"/>
        <v>0.4238294240670706</v>
      </c>
      <c r="K13" s="11"/>
    </row>
    <row r="14" ht="15" customHeight="1">
      <c r="A14" s="1"/>
      <c r="B14" s="4" t="s">
        <v>149</v>
      </c>
      <c r="C14" s="47">
        <f t="shared" si="7" ref="C14:J14">(C13-C42/(C42+C43))*10000</f>
        <v>164.04722186199706</v>
      </c>
      <c r="D14" s="47">
        <f t="shared" si="7"/>
        <v>46.654688517525635</v>
      </c>
      <c r="E14" s="47">
        <f t="shared" si="7"/>
        <v>-169.76963272019196</v>
      </c>
      <c r="F14" s="47">
        <f t="shared" si="7"/>
        <v>-130.77241031101917</v>
      </c>
      <c r="G14" s="47">
        <f t="shared" si="7"/>
        <v>-27.58848923153645</v>
      </c>
      <c r="H14" s="47">
        <f t="shared" si="7"/>
        <v>-195.56592027625274</v>
      </c>
      <c r="I14" s="47">
        <f t="shared" si="7"/>
        <v>304.25253418461807</v>
      </c>
      <c r="J14" s="48">
        <f t="shared" si="7"/>
        <v>456.95903088972256</v>
      </c>
      <c r="K14" s="11"/>
    </row>
    <row r="15" ht="15" customHeight="1">
      <c r="A15" s="1"/>
      <c r="B15" s="1" t="s">
        <v>711</v>
      </c>
      <c r="C15" s="27">
        <f>'Segment - Nutrition'!C92+'Segment - Diagnostics'!C227+'Segment - Medical Devices'!C279+'Revenue summary'!C93</f>
        <v>3846</v>
      </c>
      <c r="D15" s="27">
        <f>'Segment - Nutrition'!D92+'Segment - Diagnostics'!D227+'Segment - Medical Devices'!D279+'Revenue summary'!D93</f>
        <v>3934</v>
      </c>
      <c r="E15" s="27">
        <f>'Segment - Nutrition'!E92+'Segment - Diagnostics'!E227+'Segment - Medical Devices'!E279+'Revenue summary'!E93</f>
        <v>4202</v>
      </c>
      <c r="F15" s="27">
        <f>'Segment - Nutrition'!F92+'Segment - Diagnostics'!F227+'Segment - Medical Devices'!F279+'Revenue summary'!F93</f>
        <v>4341</v>
      </c>
      <c r="G15" s="27">
        <f>'Segment - Nutrition'!G92+'Segment - Diagnostics'!G227+'Segment - Medical Devices'!G279+'Revenue summary'!G93</f>
        <v>16310</v>
      </c>
      <c r="H15" s="27">
        <f>'Segment - Nutrition'!H92+'Segment - Diagnostics'!H227+'Segment - Medical Devices'!H279+'Revenue summary'!H93</f>
        <v>4828</v>
      </c>
      <c r="I15" s="27">
        <f>'Segment - Nutrition'!I92+'Segment - Diagnostics'!I227+'Segment - Medical Devices'!I279+'Revenue summary'!I93</f>
        <v>5040</v>
      </c>
      <c r="J15" s="53">
        <f>'Segment - Nutrition'!J92+'Segment - Diagnostics'!J227+'Segment - Medical Devices'!J279+'Revenue summary'!J93</f>
        <v>5102</v>
      </c>
      <c r="K15" s="11"/>
    </row>
    <row r="16" ht="15" customHeight="1">
      <c r="A16" s="1"/>
      <c r="B16" s="1" t="s">
        <v>712</v>
      </c>
      <c r="C16" s="27">
        <f>'Segment - Diagnostics'!C230+'Segment - Medical Devices'!C282</f>
        <v>0</v>
      </c>
      <c r="D16" s="27">
        <f>'Segment - Diagnostics'!D230+'Segment - Medical Devices'!D282</f>
        <v>0</v>
      </c>
      <c r="E16" s="27">
        <f>'Segment - Diagnostics'!E230+'Segment - Medical Devices'!E282</f>
        <v>0</v>
      </c>
      <c r="F16" s="27">
        <f>'Segment - Diagnostics'!F230+'Segment - Medical Devices'!F282</f>
        <v>0</v>
      </c>
      <c r="G16" s="27">
        <f>'Segment - Diagnostics'!G230+'Segment - Medical Devices'!G282</f>
        <v>0</v>
      </c>
      <c r="H16" s="27">
        <f>'Segment - Diagnostics'!H230+'Segment - Medical Devices'!H282</f>
        <v>673</v>
      </c>
      <c r="I16" s="27">
        <f>'Segment - Diagnostics'!I230+'Segment - Medical Devices'!I282</f>
        <v>0</v>
      </c>
      <c r="J16" s="53">
        <f>'Segment - Diagnostics'!J230+'Segment - Medical Devices'!J282</f>
        <v>0</v>
      </c>
      <c r="K16" s="11"/>
    </row>
    <row r="17" ht="15" customHeight="1">
      <c r="A17" s="1"/>
      <c r="B17" s="4" t="s">
        <v>152</v>
      </c>
      <c r="C17" s="36" t="s">
        <v>30</v>
      </c>
      <c r="D17" s="36" t="s">
        <v>30</v>
      </c>
      <c r="E17" s="44">
        <f t="shared" si="8" ref="E17:J17">(E15/E42)*(E9/(E9+E16))-1</f>
        <v>0</v>
      </c>
      <c r="F17" s="44">
        <f t="shared" si="8"/>
        <v>0</v>
      </c>
      <c r="G17" s="44">
        <f t="shared" si="8"/>
        <v>-0.0007964222263064924</v>
      </c>
      <c r="H17" s="44">
        <f t="shared" si="8"/>
        <v>0.000765115987626297</v>
      </c>
      <c r="I17" s="44">
        <f t="shared" si="8"/>
        <v>0.17867165575304012</v>
      </c>
      <c r="J17" s="38">
        <f t="shared" si="8"/>
        <v>0.18678762502907653</v>
      </c>
      <c r="K17" s="11"/>
    </row>
    <row r="18" ht="15" customHeight="1">
      <c r="A18" s="1"/>
      <c r="B18" s="4" t="s">
        <v>151</v>
      </c>
      <c r="C18" s="36" t="s">
        <v>30</v>
      </c>
      <c r="D18" s="36" t="s">
        <v>30</v>
      </c>
      <c r="E18" s="36" t="s">
        <v>30</v>
      </c>
      <c r="F18" s="47">
        <f t="shared" si="9" ref="F18:J38">(F17-E17)*10000</f>
        <v>0</v>
      </c>
      <c r="G18" s="36" t="s">
        <v>30</v>
      </c>
      <c r="H18" s="47">
        <f t="shared" si="11" ref="H18:H38">(H17-F17)*10000</f>
        <v>7.65115987626297</v>
      </c>
      <c r="I18" s="47">
        <f t="shared" si="9"/>
        <v>1779.0653976541382</v>
      </c>
      <c r="J18" s="48">
        <f t="shared" si="9"/>
        <v>81.15969276036417</v>
      </c>
      <c r="K18" s="11"/>
    </row>
    <row r="19" ht="15" customHeight="1">
      <c r="A19" s="1"/>
      <c r="B19" s="4" t="s">
        <v>153</v>
      </c>
      <c r="C19" s="36" t="s">
        <v>30</v>
      </c>
      <c r="D19" s="36" t="s">
        <v>30</v>
      </c>
      <c r="E19" s="44">
        <f t="shared" si="10" ref="E19:J19">E9/E9-1</f>
        <v>0</v>
      </c>
      <c r="F19" s="44">
        <f t="shared" si="10"/>
        <v>0</v>
      </c>
      <c r="G19" s="44">
        <f t="shared" si="10"/>
        <v>0</v>
      </c>
      <c r="H19" s="44">
        <f t="shared" si="10"/>
        <v>0</v>
      </c>
      <c r="I19" s="44">
        <f t="shared" si="10"/>
        <v>0</v>
      </c>
      <c r="J19" s="38">
        <f t="shared" si="10"/>
        <v>0</v>
      </c>
      <c r="K19" s="11" t="s">
        <v>713</v>
      </c>
    </row>
    <row r="20" ht="15" customHeight="1">
      <c r="A20" s="1"/>
      <c r="B20" s="4" t="s">
        <v>151</v>
      </c>
      <c r="C20" s="36" t="s">
        <v>30</v>
      </c>
      <c r="D20" s="36" t="s">
        <v>30</v>
      </c>
      <c r="E20" s="36" t="s">
        <v>30</v>
      </c>
      <c r="F20" s="47">
        <f t="shared" si="9"/>
        <v>0</v>
      </c>
      <c r="G20" s="36" t="s">
        <v>30</v>
      </c>
      <c r="H20" s="47">
        <f t="shared" si="11"/>
        <v>0</v>
      </c>
      <c r="I20" s="47">
        <f t="shared" si="9"/>
        <v>0</v>
      </c>
      <c r="J20" s="48">
        <f t="shared" si="9"/>
        <v>0</v>
      </c>
      <c r="K20" s="11"/>
    </row>
    <row r="21" ht="15" customHeight="1">
      <c r="A21" s="1"/>
      <c r="B21" s="4" t="s">
        <v>150</v>
      </c>
      <c r="C21" s="36" t="s">
        <v>30</v>
      </c>
      <c r="D21" s="36" t="s">
        <v>30</v>
      </c>
      <c r="E21" s="44">
        <f t="shared" si="12" ref="E21:J21">(1+E10)/((1+E17)*(1+E19))-1</f>
        <v>0.023084245597334574</v>
      </c>
      <c r="F21" s="44">
        <f t="shared" si="12"/>
        <v>0.009675190048376026</v>
      </c>
      <c r="G21" s="44">
        <f t="shared" si="12"/>
        <v>0.05003065603923984</v>
      </c>
      <c r="H21" s="44">
        <f t="shared" si="12"/>
        <v>0.024647887323943518</v>
      </c>
      <c r="I21" s="44">
        <f t="shared" si="12"/>
        <v>0.03492063492063502</v>
      </c>
      <c r="J21" s="38">
        <f t="shared" si="12"/>
        <v>0.07339278714229702</v>
      </c>
      <c r="K21" s="11"/>
    </row>
    <row r="22" ht="15" customHeight="1">
      <c r="A22" s="1"/>
      <c r="B22" s="4" t="s">
        <v>151</v>
      </c>
      <c r="C22" s="36" t="s">
        <v>30</v>
      </c>
      <c r="D22" s="36" t="s">
        <v>30</v>
      </c>
      <c r="E22" s="36" t="s">
        <v>30</v>
      </c>
      <c r="F22" s="47">
        <f t="shared" si="9"/>
        <v>-134.09055548958548</v>
      </c>
      <c r="G22" s="36" t="s">
        <v>30</v>
      </c>
      <c r="H22" s="47">
        <f t="shared" si="11"/>
        <v>149.72697275567492</v>
      </c>
      <c r="I22" s="47">
        <f t="shared" si="9"/>
        <v>102.72747596691501</v>
      </c>
      <c r="J22" s="48">
        <f t="shared" si="9"/>
        <v>384.72152221662003</v>
      </c>
      <c r="K22" s="11"/>
    </row>
    <row r="23" ht="15" customHeight="1">
      <c r="A23" s="1"/>
      <c r="B23" s="4" t="s">
        <v>174</v>
      </c>
      <c r="C23" s="36" t="s">
        <v>30</v>
      </c>
      <c r="D23" s="36" t="s">
        <v>30</v>
      </c>
      <c r="E23" s="54">
        <v>0.023</v>
      </c>
      <c r="F23" s="54">
        <v>0.009000000000000001</v>
      </c>
      <c r="G23" s="54">
        <v>0.05</v>
      </c>
      <c r="H23" s="54">
        <v>0.025</v>
      </c>
      <c r="I23" s="54">
        <v>0.035</v>
      </c>
      <c r="J23" s="55" t="s">
        <v>30</v>
      </c>
      <c r="K23" s="11" t="s">
        <v>175</v>
      </c>
    </row>
    <row r="24" ht="15" customHeight="1">
      <c r="A24" s="1"/>
      <c r="B24" s="3" t="s">
        <v>714</v>
      </c>
      <c r="C24" s="39">
        <f>'Segment - Nutrition'!C81+'Segment - Diagnostics'!C216+'Segment - Established Pharma'!C61+'Segment - Medical Devices'!C268</f>
        <v>6190</v>
      </c>
      <c r="D24" s="39">
        <f>'Segment - Nutrition'!D81+'Segment - Diagnostics'!D216+'Segment - Established Pharma'!D61+'Segment - Medical Devices'!D268</f>
        <v>6866</v>
      </c>
      <c r="E24" s="39">
        <f>'Segment - Nutrition'!E81+'Segment - Diagnostics'!E216+'Segment - Established Pharma'!E61+'Segment - Medical Devices'!E268</f>
        <v>7070</v>
      </c>
      <c r="F24" s="39">
        <f>'Segment - Nutrition'!F81+'Segment - Diagnostics'!F216+'Segment - Established Pharma'!F61+'Segment - Medical Devices'!F268</f>
        <v>7076</v>
      </c>
      <c r="G24" s="39">
        <f>'Segment - Nutrition'!G81+'Segment - Diagnostics'!G216+'Segment - Established Pharma'!G61+'Segment - Medical Devices'!G268</f>
        <v>27202</v>
      </c>
      <c r="H24" s="39">
        <f>'Segment - Nutrition'!H81+'Segment - Diagnostics'!H216+'Segment - Established Pharma'!H61+'Segment - Medical Devices'!H268</f>
        <v>6890</v>
      </c>
      <c r="I24" s="39">
        <f>'Segment - Nutrition'!I81+'Segment - Diagnostics'!I216+'Segment - Established Pharma'!I61+'Segment - Medical Devices'!I268</f>
        <v>7377</v>
      </c>
      <c r="J24" s="40">
        <f>'Segment - Nutrition'!J81+'Segment - Diagnostics'!J216+'Segment - Established Pharma'!J61+'Segment - Medical Devices'!J268</f>
        <v>7444.903943404735</v>
      </c>
      <c r="K24" s="11" t="s">
        <v>715</v>
      </c>
    </row>
    <row r="25" ht="15" customHeight="1">
      <c r="A25" s="1"/>
      <c r="B25" s="4" t="s">
        <v>145</v>
      </c>
      <c r="C25" s="44">
        <f t="shared" si="13" ref="C25:J25">C24/C43-1</f>
        <v>0.011768551814318462</v>
      </c>
      <c r="D25" s="44">
        <f t="shared" si="13"/>
        <v>0.06565264628278755</v>
      </c>
      <c r="E25" s="44">
        <f t="shared" si="13"/>
        <v>0.09902067464635467</v>
      </c>
      <c r="F25" s="44">
        <f t="shared" si="13"/>
        <v>0.06678727574249965</v>
      </c>
      <c r="G25" s="44">
        <f t="shared" si="13"/>
        <v>0.061458617863971554</v>
      </c>
      <c r="H25" s="44">
        <f t="shared" si="13"/>
        <v>0.11308562197092087</v>
      </c>
      <c r="I25" s="44">
        <f t="shared" si="13"/>
        <v>0.07442470142732294</v>
      </c>
      <c r="J25" s="38">
        <f t="shared" si="13"/>
        <v>0.05302743188185799</v>
      </c>
      <c r="K25" s="11"/>
    </row>
    <row r="26" ht="15" customHeight="1">
      <c r="A26" s="1"/>
      <c r="B26" s="1" t="s">
        <v>146</v>
      </c>
      <c r="C26" s="33">
        <f>C24-F43</f>
        <v>-443</v>
      </c>
      <c r="D26" s="33">
        <f t="shared" si="4"/>
        <v>676</v>
      </c>
      <c r="E26" s="33">
        <f t="shared" si="4"/>
        <v>204</v>
      </c>
      <c r="F26" s="33">
        <f t="shared" si="4"/>
        <v>6</v>
      </c>
      <c r="G26" s="13" t="s">
        <v>30</v>
      </c>
      <c r="H26" s="33">
        <f t="shared" si="14"/>
        <v>-186</v>
      </c>
      <c r="I26" s="33">
        <f t="shared" si="4"/>
        <v>487</v>
      </c>
      <c r="J26" s="43">
        <f t="shared" si="4"/>
        <v>67.9039434047354</v>
      </c>
      <c r="K26" s="11"/>
    </row>
    <row r="27" ht="15" customHeight="1">
      <c r="A27" s="1"/>
      <c r="B27" s="4" t="s">
        <v>147</v>
      </c>
      <c r="C27" s="44">
        <f>C24/F43-1</f>
        <v>-0.06678727574249965</v>
      </c>
      <c r="D27" s="44">
        <f t="shared" si="5"/>
        <v>0.10920840064620352</v>
      </c>
      <c r="E27" s="44">
        <f t="shared" si="5"/>
        <v>0.02971162248762016</v>
      </c>
      <c r="F27" s="44">
        <f t="shared" si="5"/>
        <v>0.0008486562942009446</v>
      </c>
      <c r="G27" s="36" t="s">
        <v>30</v>
      </c>
      <c r="H27" s="44">
        <f t="shared" si="15"/>
        <v>-0.026286037309214194</v>
      </c>
      <c r="I27" s="44">
        <f t="shared" si="5"/>
        <v>0.07068214804063855</v>
      </c>
      <c r="J27" s="38">
        <f t="shared" si="5"/>
        <v>0.009204818138096149</v>
      </c>
      <c r="K27" s="11"/>
    </row>
    <row r="28" ht="15" customHeight="1">
      <c r="A28" s="1"/>
      <c r="B28" s="4" t="s">
        <v>148</v>
      </c>
      <c r="C28" s="44">
        <f t="shared" si="16" ref="C28:J28">C24/C40</f>
        <v>0.5976057153890713</v>
      </c>
      <c r="D28" s="44">
        <f t="shared" si="16"/>
        <v>0.6162268892478908</v>
      </c>
      <c r="E28" s="44">
        <f t="shared" si="16"/>
        <v>0.6218664790219016</v>
      </c>
      <c r="F28" s="44">
        <f t="shared" si="16"/>
        <v>0.6175058905663671</v>
      </c>
      <c r="G28" s="44">
        <f t="shared" si="16"/>
        <v>0.6136527702580762</v>
      </c>
      <c r="H28" s="44">
        <f t="shared" si="16"/>
        <v>0.6171623074166965</v>
      </c>
      <c r="I28" s="44">
        <f t="shared" si="16"/>
        <v>0.585801635829429</v>
      </c>
      <c r="J28" s="38">
        <f t="shared" si="16"/>
        <v>0.5761705759329295</v>
      </c>
      <c r="K28" s="11"/>
    </row>
    <row r="29" ht="15" customHeight="1">
      <c r="A29" s="1"/>
      <c r="B29" s="4" t="s">
        <v>149</v>
      </c>
      <c r="C29" s="47">
        <f t="shared" si="17" ref="C29:J29">(C28-C43/(C42+C43))*10000</f>
        <v>-164.04722186199706</v>
      </c>
      <c r="D29" s="47">
        <f t="shared" si="17"/>
        <v>-46.65468851752674</v>
      </c>
      <c r="E29" s="47">
        <f t="shared" si="17"/>
        <v>169.7696327201914</v>
      </c>
      <c r="F29" s="47">
        <f t="shared" si="17"/>
        <v>130.7724103110186</v>
      </c>
      <c r="G29" s="47">
        <f t="shared" si="17"/>
        <v>27.588489231537004</v>
      </c>
      <c r="H29" s="47">
        <f t="shared" si="17"/>
        <v>195.56592027625274</v>
      </c>
      <c r="I29" s="47">
        <f t="shared" si="17"/>
        <v>-304.25253418461807</v>
      </c>
      <c r="J29" s="48">
        <f t="shared" si="17"/>
        <v>-456.9590308897209</v>
      </c>
      <c r="K29" s="11"/>
    </row>
    <row r="30" ht="15" customHeight="1">
      <c r="A30" s="1"/>
      <c r="B30" s="1" t="s">
        <v>716</v>
      </c>
      <c r="C30" s="13" t="s">
        <v>30</v>
      </c>
      <c r="D30" s="13" t="s">
        <v>30</v>
      </c>
      <c r="E30" s="27">
        <f>'Segment - Nutrition'!E84+'Segment - Diagnostics'!E219+'Segment - Established Pharma'!E64+'Segment - Medical Devices'!E271</f>
        <v>6921.601</v>
      </c>
      <c r="F30" s="27">
        <f>'Segment - Nutrition'!F84+'Segment - Diagnostics'!F219+'Segment - Established Pharma'!F64+'Segment - Medical Devices'!F271</f>
        <v>6920.130999999999</v>
      </c>
      <c r="G30" s="27">
        <f>'Segment - Nutrition'!G84+'Segment - Diagnostics'!G219+'Segment - Established Pharma'!G64+'Segment - Medical Devices'!G271</f>
        <v>27131.515000000003</v>
      </c>
      <c r="H30" s="27">
        <f>'Segment - Nutrition'!H84+'Segment - Diagnostics'!H219+'Segment - Established Pharma'!H64+'Segment - Medical Devices'!H271</f>
        <v>6477.465</v>
      </c>
      <c r="I30" s="27">
        <f>'Segment - Nutrition'!I84+'Segment - Diagnostics'!I219+'Segment - Established Pharma'!I64+'Segment - Medical Devices'!I271</f>
        <v>7291.668</v>
      </c>
      <c r="J30" s="53">
        <f>'Segment - Nutrition'!J84+'Segment - Diagnostics'!J219+'Segment - Established Pharma'!J64+'Segment - Medical Devices'!J271</f>
        <v>7575.119999999999</v>
      </c>
      <c r="K30" s="11"/>
    </row>
    <row r="31" ht="15" customHeight="1">
      <c r="A31" s="1"/>
      <c r="B31" s="1" t="s">
        <v>717</v>
      </c>
      <c r="C31" s="27">
        <f>'Revenue summary'!C80</f>
        <v>6118</v>
      </c>
      <c r="D31" s="27">
        <f>'Revenue summary'!D80</f>
        <v>6443</v>
      </c>
      <c r="E31" s="27">
        <f>'Revenue summary'!E80</f>
        <v>6433</v>
      </c>
      <c r="F31" s="27">
        <f>'Revenue summary'!F80</f>
        <v>6633</v>
      </c>
      <c r="G31" s="27">
        <f>'Revenue summary'!G80</f>
        <v>25627</v>
      </c>
      <c r="H31" s="27">
        <f>'Revenue summary'!H80</f>
        <v>6213</v>
      </c>
      <c r="I31" s="27">
        <f>'Revenue summary'!I80</f>
        <v>6891</v>
      </c>
      <c r="J31" s="53">
        <f>'Revenue summary'!J80</f>
        <v>7096</v>
      </c>
      <c r="K31" s="11"/>
    </row>
    <row r="32" ht="15" customHeight="1">
      <c r="A32" s="1"/>
      <c r="B32" s="1" t="s">
        <v>718</v>
      </c>
      <c r="C32" s="27">
        <f>'Segment - Diagnostics'!C231</f>
        <v>0</v>
      </c>
      <c r="D32" s="27">
        <f>'Segment - Diagnostics'!D231</f>
        <v>0</v>
      </c>
      <c r="E32" s="27">
        <f>'Segment - Diagnostics'!E231</f>
        <v>0</v>
      </c>
      <c r="F32" s="27">
        <f>'Segment - Diagnostics'!F231</f>
        <v>0</v>
      </c>
      <c r="G32" s="27">
        <f>'Segment - Diagnostics'!G231</f>
        <v>0</v>
      </c>
      <c r="H32" s="27">
        <f>'Segment - Diagnostics'!H231</f>
        <v>25</v>
      </c>
      <c r="I32" s="27">
        <f>'Segment - Diagnostics'!I231</f>
        <v>0</v>
      </c>
      <c r="J32" s="53">
        <f>'Segment - Diagnostics'!J231</f>
        <v>0</v>
      </c>
      <c r="K32" s="11"/>
    </row>
    <row r="33" ht="15" customHeight="1">
      <c r="A33" s="1"/>
      <c r="B33" s="4" t="s">
        <v>152</v>
      </c>
      <c r="C33" s="36" t="s">
        <v>30</v>
      </c>
      <c r="D33" s="36" t="s">
        <v>30</v>
      </c>
      <c r="E33" s="44">
        <f t="shared" si="18" ref="E33:J33">(E31/E43)*(E30/(E30+E32))-1</f>
        <v>0</v>
      </c>
      <c r="F33" s="44">
        <f t="shared" si="18"/>
        <v>0</v>
      </c>
      <c r="G33" s="44">
        <f t="shared" si="18"/>
        <v>0</v>
      </c>
      <c r="H33" s="44">
        <f t="shared" si="18"/>
        <v>-0.00014331100560505128</v>
      </c>
      <c r="I33" s="44">
        <f t="shared" si="18"/>
        <v>0.0036411302068162232</v>
      </c>
      <c r="J33" s="38">
        <f t="shared" si="18"/>
        <v>0.003677510608203649</v>
      </c>
      <c r="K33" s="11"/>
    </row>
    <row r="34" ht="15" customHeight="1">
      <c r="A34" s="1"/>
      <c r="B34" s="4" t="s">
        <v>151</v>
      </c>
      <c r="C34" s="36" t="s">
        <v>30</v>
      </c>
      <c r="D34" s="36" t="s">
        <v>30</v>
      </c>
      <c r="E34" s="36" t="s">
        <v>30</v>
      </c>
      <c r="F34" s="47">
        <f t="shared" si="9"/>
        <v>0</v>
      </c>
      <c r="G34" s="36" t="s">
        <v>30</v>
      </c>
      <c r="H34" s="47">
        <f t="shared" si="11"/>
        <v>-1.4331100560505128</v>
      </c>
      <c r="I34" s="47">
        <f t="shared" si="9"/>
        <v>37.844412124212745</v>
      </c>
      <c r="J34" s="48">
        <f t="shared" si="9"/>
        <v>0.3638040138742582</v>
      </c>
      <c r="K34" s="11"/>
    </row>
    <row r="35" ht="15" customHeight="1">
      <c r="A35" s="1"/>
      <c r="B35" s="4" t="s">
        <v>153</v>
      </c>
      <c r="C35" s="36" t="s">
        <v>30</v>
      </c>
      <c r="D35" s="36" t="s">
        <v>30</v>
      </c>
      <c r="E35" s="44">
        <f t="shared" si="19" ref="E35:J35">E24/E30-1</f>
        <v>0.021439981877025227</v>
      </c>
      <c r="F35" s="44">
        <f t="shared" si="19"/>
        <v>0.022523995571760214</v>
      </c>
      <c r="G35" s="44">
        <f t="shared" si="19"/>
        <v>0.002597901370417377</v>
      </c>
      <c r="H35" s="44">
        <f t="shared" si="19"/>
        <v>0.06368772351529484</v>
      </c>
      <c r="I35" s="44">
        <f t="shared" si="19"/>
        <v>0.011702672145797122</v>
      </c>
      <c r="J35" s="38">
        <f t="shared" si="19"/>
        <v>-0.01718996617812829</v>
      </c>
      <c r="K35" s="11"/>
    </row>
    <row r="36" ht="15" customHeight="1">
      <c r="A36" s="1"/>
      <c r="B36" s="4" t="s">
        <v>151</v>
      </c>
      <c r="C36" s="36" t="s">
        <v>30</v>
      </c>
      <c r="D36" s="36" t="s">
        <v>30</v>
      </c>
      <c r="E36" s="36" t="s">
        <v>30</v>
      </c>
      <c r="F36" s="47">
        <f t="shared" si="9"/>
        <v>10.840136947349865</v>
      </c>
      <c r="G36" s="36" t="s">
        <v>30</v>
      </c>
      <c r="H36" s="47">
        <f t="shared" si="11"/>
        <v>411.6372794353462</v>
      </c>
      <c r="I36" s="47">
        <f t="shared" si="9"/>
        <v>-519.8505136949772</v>
      </c>
      <c r="J36" s="48">
        <f t="shared" si="9"/>
        <v>-288.9263832392541</v>
      </c>
      <c r="K36" s="11"/>
    </row>
    <row r="37" ht="15" customHeight="1">
      <c r="A37" s="1"/>
      <c r="B37" s="4" t="s">
        <v>150</v>
      </c>
      <c r="C37" s="36" t="s">
        <v>30</v>
      </c>
      <c r="D37" s="36" t="s">
        <v>30</v>
      </c>
      <c r="E37" s="44">
        <f t="shared" si="20" ref="E37:J37">(1+E25)/((1+E33)*(1+E35))-1</f>
        <v>0.07595227732006848</v>
      </c>
      <c r="F37" s="44">
        <f t="shared" si="20"/>
        <v>0.04328825569124062</v>
      </c>
      <c r="G37" s="44">
        <f t="shared" si="20"/>
        <v>0.05870819838451635</v>
      </c>
      <c r="H37" s="44">
        <f t="shared" si="20"/>
        <v>0.04659021406727848</v>
      </c>
      <c r="I37" s="44">
        <f t="shared" si="20"/>
        <v>0.05814366565084894</v>
      </c>
      <c r="J37" s="38">
        <f t="shared" si="20"/>
        <v>0.06751972942502804</v>
      </c>
      <c r="K37" s="11"/>
    </row>
    <row r="38" ht="15" customHeight="1">
      <c r="A38" s="1"/>
      <c r="B38" s="4" t="s">
        <v>151</v>
      </c>
      <c r="C38" s="36" t="s">
        <v>30</v>
      </c>
      <c r="D38" s="36" t="s">
        <v>30</v>
      </c>
      <c r="E38" s="36" t="s">
        <v>30</v>
      </c>
      <c r="F38" s="47">
        <f t="shared" si="9"/>
        <v>-326.6402162882787</v>
      </c>
      <c r="G38" s="36" t="s">
        <v>30</v>
      </c>
      <c r="H38" s="47">
        <f t="shared" si="11"/>
        <v>33.01958376037861</v>
      </c>
      <c r="I38" s="47">
        <f t="shared" si="9"/>
        <v>115.53451583570462</v>
      </c>
      <c r="J38" s="48">
        <f t="shared" si="9"/>
        <v>93.760637741791</v>
      </c>
      <c r="K38" s="11"/>
    </row>
    <row r="39" ht="15" customHeight="1">
      <c r="A39" s="1"/>
      <c r="B39" s="4" t="s">
        <v>174</v>
      </c>
      <c r="C39" s="36" t="s">
        <v>30</v>
      </c>
      <c r="D39" s="36" t="s">
        <v>30</v>
      </c>
      <c r="E39" s="54">
        <v>0.076</v>
      </c>
      <c r="F39" s="54">
        <v>0.043</v>
      </c>
      <c r="G39" s="54">
        <v>0.059</v>
      </c>
      <c r="H39" s="54">
        <v>0.046</v>
      </c>
      <c r="I39" s="54">
        <v>0.058</v>
      </c>
      <c r="J39" s="55" t="s">
        <v>30</v>
      </c>
      <c r="K39" s="11" t="s">
        <v>175</v>
      </c>
    </row>
    <row r="40" ht="15" customHeight="1">
      <c r="A40" s="1"/>
      <c r="B40" s="3" t="s">
        <v>165</v>
      </c>
      <c r="C40" s="50">
        <f t="shared" si="21" ref="C40:J40">C9+C24</f>
        <v>10358</v>
      </c>
      <c r="D40" s="50">
        <f t="shared" si="21"/>
        <v>11142</v>
      </c>
      <c r="E40" s="50">
        <f t="shared" si="21"/>
        <v>11369</v>
      </c>
      <c r="F40" s="50">
        <f t="shared" si="21"/>
        <v>11459</v>
      </c>
      <c r="G40" s="50">
        <f t="shared" si="21"/>
        <v>44328</v>
      </c>
      <c r="H40" s="50">
        <f t="shared" si="21"/>
        <v>11164</v>
      </c>
      <c r="I40" s="50">
        <f t="shared" si="21"/>
        <v>12593</v>
      </c>
      <c r="J40" s="51">
        <f t="shared" si="21"/>
        <v>12921.353943404734</v>
      </c>
      <c r="K40" s="11"/>
    </row>
    <row r="41" ht="15" customHeight="1">
      <c r="A41" s="1"/>
      <c r="B41" s="1" t="s">
        <v>719</v>
      </c>
      <c r="C41" s="27">
        <f>C40-'Revenue summary'!C74</f>
        <v>0</v>
      </c>
      <c r="D41" s="27">
        <f>D40-'Revenue summary'!D74</f>
        <v>0</v>
      </c>
      <c r="E41" s="27">
        <f>E40-'Revenue summary'!E74</f>
        <v>0</v>
      </c>
      <c r="F41" s="27">
        <f>F40-'Revenue summary'!F74</f>
        <v>0</v>
      </c>
      <c r="G41" s="27">
        <f>G40-'Revenue summary'!G74</f>
        <v>0</v>
      </c>
      <c r="H41" s="27">
        <f>H40-'Revenue summary'!H74</f>
        <v>0</v>
      </c>
      <c r="I41" s="27">
        <f>I40-'Revenue summary'!I74</f>
        <v>0</v>
      </c>
      <c r="J41" s="53">
        <f>J40-'Revenue summary'!J74</f>
        <v>0</v>
      </c>
      <c r="K41" s="11"/>
    </row>
    <row r="42" ht="15" customHeight="1">
      <c r="A42" s="1"/>
      <c r="B42" s="1" t="s">
        <v>720</v>
      </c>
      <c r="C42" s="27">
        <f>'Segment - Nutrition'!C103+'Segment - Diagnostics'!C240+'Segment - Medical Devices'!C292+'Revenue summary'!C93</f>
        <v>3846</v>
      </c>
      <c r="D42" s="27">
        <f>'Segment - Nutrition'!D103+'Segment - Diagnostics'!D240+'Segment - Medical Devices'!D292+'Revenue summary'!D93</f>
        <v>3934</v>
      </c>
      <c r="E42" s="27">
        <f>'Segment - Nutrition'!E103+'Segment - Diagnostics'!E240+'Segment - Medical Devices'!E292+'Revenue summary'!E93</f>
        <v>4202</v>
      </c>
      <c r="F42" s="27">
        <f>'Segment - Nutrition'!F103+'Segment - Diagnostics'!F240+'Segment - Medical Devices'!F292+'Revenue summary'!F93</f>
        <v>4341</v>
      </c>
      <c r="G42" s="27">
        <f>'Segment - Nutrition'!G103+'Segment - Diagnostics'!G240+'Segment - Medical Devices'!G292+'Revenue summary'!G93</f>
        <v>16323</v>
      </c>
      <c r="H42" s="27">
        <f>'Segment - Nutrition'!H103+'Segment - Diagnostics'!H240+'Segment - Medical Devices'!H292+'Revenue summary'!H93</f>
        <v>4168</v>
      </c>
      <c r="I42" s="27">
        <f>'Segment - Nutrition'!I103+'Segment - Diagnostics'!I240+'Segment - Medical Devices'!I292+'Revenue summary'!I93</f>
        <v>4276</v>
      </c>
      <c r="J42" s="53">
        <f>'Segment - Nutrition'!J103+'Segment - Diagnostics'!J240+'Segment - Medical Devices'!J292+'Revenue summary'!J93</f>
        <v>4299</v>
      </c>
      <c r="K42" s="11"/>
    </row>
    <row r="43" ht="15" customHeight="1">
      <c r="A43" s="1"/>
      <c r="B43" s="1" t="s">
        <v>721</v>
      </c>
      <c r="C43" s="27">
        <f>'Segment - Nutrition'!C104+'Segment - Diagnostics'!C241+'Segment - Established Pharma'!C82+'Segment - Medical Devices'!C293</f>
        <v>6118</v>
      </c>
      <c r="D43" s="27">
        <f>'Segment - Nutrition'!D104+'Segment - Diagnostics'!D241+'Segment - Established Pharma'!D82+'Segment - Medical Devices'!D293</f>
        <v>6443</v>
      </c>
      <c r="E43" s="27">
        <f>'Segment - Nutrition'!E104+'Segment - Diagnostics'!E241+'Segment - Established Pharma'!E82+'Segment - Medical Devices'!E293</f>
        <v>6433</v>
      </c>
      <c r="F43" s="27">
        <f>'Segment - Nutrition'!F104+'Segment - Diagnostics'!F241+'Segment - Established Pharma'!F82+'Segment - Medical Devices'!F293</f>
        <v>6633</v>
      </c>
      <c r="G43" s="27">
        <f>'Segment - Nutrition'!G104+'Segment - Diagnostics'!G241+'Segment - Established Pharma'!G82+'Segment - Medical Devices'!G293</f>
        <v>25627</v>
      </c>
      <c r="H43" s="27">
        <f>'Segment - Nutrition'!H104+'Segment - Diagnostics'!H241+'Segment - Established Pharma'!H82+'Segment - Medical Devices'!H293</f>
        <v>6190</v>
      </c>
      <c r="I43" s="27">
        <f>'Segment - Nutrition'!I104+'Segment - Diagnostics'!I241+'Segment - Established Pharma'!I82+'Segment - Medical Devices'!I293</f>
        <v>6866</v>
      </c>
      <c r="J43" s="53">
        <f>'Segment - Nutrition'!J104+'Segment - Diagnostics'!J241+'Segment - Established Pharma'!J82+'Segment - Medical Devices'!J293</f>
        <v>7070</v>
      </c>
      <c r="K43" s="11"/>
    </row>
    <row r="44" ht="15" customHeight="1">
      <c r="A44" s="1"/>
      <c r="B44" s="1"/>
      <c r="C44" s="1"/>
      <c r="D44" s="1"/>
      <c r="E44" s="1"/>
      <c r="F44" s="1"/>
      <c r="G44" s="1"/>
      <c r="H44" s="1"/>
      <c r="I44" s="1"/>
      <c r="J44" s="35"/>
      <c r="K44" s="11"/>
    </row>
    <row r="45" ht="15" customHeight="1">
      <c r="A45" s="1"/>
      <c r="B45" s="3" t="s">
        <v>722</v>
      </c>
      <c r="C45" s="1"/>
      <c r="D45" s="1"/>
      <c r="E45" s="1"/>
      <c r="F45" s="1"/>
      <c r="G45" s="1"/>
      <c r="H45" s="1"/>
      <c r="I45" s="1"/>
      <c r="J45" s="35"/>
      <c r="K45" s="11"/>
    </row>
    <row r="46" ht="15" customHeight="1">
      <c r="A46" s="1"/>
      <c r="B46" s="1" t="s">
        <v>723</v>
      </c>
      <c r="C46" s="13" t="s">
        <v>30</v>
      </c>
      <c r="D46" s="13" t="s">
        <v>30</v>
      </c>
      <c r="E46" s="13" t="s">
        <v>30</v>
      </c>
      <c r="F46" s="13" t="s">
        <v>30</v>
      </c>
      <c r="G46" s="29">
        <v>17126</v>
      </c>
      <c r="H46" s="13" t="s">
        <v>30</v>
      </c>
      <c r="I46" s="13" t="s">
        <v>30</v>
      </c>
      <c r="J46" s="52" t="s">
        <v>30</v>
      </c>
      <c r="K46" s="11" t="s">
        <v>724</v>
      </c>
    </row>
    <row r="47" ht="15" customHeight="1">
      <c r="A47" s="1"/>
      <c r="B47" s="1" t="s">
        <v>725</v>
      </c>
      <c r="C47" s="13"/>
      <c r="D47" s="13"/>
      <c r="E47" s="13"/>
      <c r="F47" s="13"/>
      <c r="G47" s="29">
        <v>16323</v>
      </c>
      <c r="H47" s="13"/>
      <c r="I47" s="13"/>
      <c r="J47" s="52"/>
      <c r="K47" s="11" t="s">
        <v>726</v>
      </c>
    </row>
    <row r="48" ht="15" customHeight="1">
      <c r="A48" s="1"/>
      <c r="B48" s="4" t="s">
        <v>195</v>
      </c>
      <c r="C48" s="36"/>
      <c r="D48" s="36"/>
      <c r="E48" s="36"/>
      <c r="F48" s="36"/>
      <c r="G48" s="44">
        <f t="shared" si="22" ref="G48:G83">G46/G47-1</f>
        <v>0.04919438828646694</v>
      </c>
      <c r="H48" s="36"/>
      <c r="I48" s="36"/>
      <c r="J48" s="55"/>
      <c r="K48" s="11"/>
    </row>
    <row r="49" ht="15" customHeight="1">
      <c r="A49" s="1"/>
      <c r="B49" s="4" t="s">
        <v>727</v>
      </c>
      <c r="C49" s="36"/>
      <c r="D49" s="36"/>
      <c r="E49" s="36"/>
      <c r="F49" s="36"/>
      <c r="G49" s="44">
        <f>G46/G86</f>
        <v>0.3863472297419238</v>
      </c>
      <c r="H49" s="36"/>
      <c r="I49" s="36"/>
      <c r="J49" s="55"/>
      <c r="K49" s="11"/>
    </row>
    <row r="50" ht="15" customHeight="1">
      <c r="A50" s="1"/>
      <c r="B50" s="4" t="s">
        <v>728</v>
      </c>
      <c r="C50" s="36"/>
      <c r="D50" s="36"/>
      <c r="E50" s="36"/>
      <c r="F50" s="36"/>
      <c r="G50" s="47">
        <f>(G49-G47/G87)*10000</f>
        <v>-27.49573671582406</v>
      </c>
      <c r="H50" s="36"/>
      <c r="I50" s="36"/>
      <c r="J50" s="55"/>
      <c r="K50" s="11"/>
    </row>
    <row r="51" ht="15" customHeight="1">
      <c r="A51" s="1"/>
      <c r="B51" s="1" t="s">
        <v>729</v>
      </c>
      <c r="C51" s="13" t="s">
        <v>30</v>
      </c>
      <c r="D51" s="13" t="s">
        <v>30</v>
      </c>
      <c r="E51" s="13" t="s">
        <v>30</v>
      </c>
      <c r="F51" s="13" t="s">
        <v>30</v>
      </c>
      <c r="G51" s="29">
        <v>2759</v>
      </c>
      <c r="H51" s="13" t="s">
        <v>30</v>
      </c>
      <c r="I51" s="13" t="s">
        <v>30</v>
      </c>
      <c r="J51" s="52" t="s">
        <v>30</v>
      </c>
      <c r="K51" s="11" t="s">
        <v>724</v>
      </c>
    </row>
    <row r="52" ht="15" customHeight="1">
      <c r="A52" s="1"/>
      <c r="B52" s="1" t="s">
        <v>730</v>
      </c>
      <c r="C52" s="13"/>
      <c r="D52" s="13"/>
      <c r="E52" s="13"/>
      <c r="F52" s="13"/>
      <c r="G52" s="29">
        <v>2539</v>
      </c>
      <c r="H52" s="13"/>
      <c r="I52" s="13"/>
      <c r="J52" s="52"/>
      <c r="K52" s="11" t="s">
        <v>726</v>
      </c>
    </row>
    <row r="53" ht="15" customHeight="1">
      <c r="A53" s="1"/>
      <c r="B53" s="4" t="s">
        <v>195</v>
      </c>
      <c r="C53" s="36"/>
      <c r="D53" s="36"/>
      <c r="E53" s="36"/>
      <c r="F53" s="36"/>
      <c r="G53" s="44">
        <f t="shared" si="22"/>
        <v>0.08664828672705793</v>
      </c>
      <c r="H53" s="36"/>
      <c r="I53" s="36"/>
      <c r="J53" s="55"/>
      <c r="K53" s="11"/>
    </row>
    <row r="54" ht="15" customHeight="1">
      <c r="A54" s="1"/>
      <c r="B54" s="4" t="s">
        <v>727</v>
      </c>
      <c r="C54" s="36"/>
      <c r="D54" s="36"/>
      <c r="E54" s="36"/>
      <c r="F54" s="36"/>
      <c r="G54" s="44">
        <f>G51/G86</f>
        <v>0.062240570294170725</v>
      </c>
      <c r="H54" s="36"/>
      <c r="I54" s="36"/>
      <c r="J54" s="55"/>
      <c r="K54" s="11"/>
    </row>
    <row r="55" ht="15" customHeight="1">
      <c r="A55" s="1"/>
      <c r="B55" s="4" t="s">
        <v>728</v>
      </c>
      <c r="C55" s="36"/>
      <c r="D55" s="36"/>
      <c r="E55" s="36"/>
      <c r="F55" s="36"/>
      <c r="G55" s="47">
        <f>(G54-G52/G87)*10000</f>
        <v>17.175791854963165</v>
      </c>
      <c r="H55" s="36"/>
      <c r="I55" s="36"/>
      <c r="J55" s="55"/>
      <c r="K55" s="11"/>
    </row>
    <row r="56" ht="15" customHeight="1">
      <c r="A56" s="1"/>
      <c r="B56" s="1" t="s">
        <v>731</v>
      </c>
      <c r="C56" s="13" t="s">
        <v>30</v>
      </c>
      <c r="D56" s="13" t="s">
        <v>30</v>
      </c>
      <c r="E56" s="13" t="s">
        <v>30</v>
      </c>
      <c r="F56" s="13" t="s">
        <v>30</v>
      </c>
      <c r="G56" s="29">
        <v>1907</v>
      </c>
      <c r="H56" s="13" t="s">
        <v>30</v>
      </c>
      <c r="I56" s="13" t="s">
        <v>30</v>
      </c>
      <c r="J56" s="52" t="s">
        <v>30</v>
      </c>
      <c r="K56" s="11" t="s">
        <v>724</v>
      </c>
    </row>
    <row r="57" ht="15" customHeight="1">
      <c r="A57" s="1"/>
      <c r="B57" s="1" t="s">
        <v>732</v>
      </c>
      <c r="C57" s="13"/>
      <c r="D57" s="13"/>
      <c r="E57" s="13"/>
      <c r="F57" s="13"/>
      <c r="G57" s="29">
        <v>2113</v>
      </c>
      <c r="H57" s="13"/>
      <c r="I57" s="13"/>
      <c r="J57" s="52"/>
      <c r="K57" s="11" t="s">
        <v>726</v>
      </c>
    </row>
    <row r="58" ht="15" customHeight="1">
      <c r="A58" s="1"/>
      <c r="B58" s="4" t="s">
        <v>195</v>
      </c>
      <c r="C58" s="36"/>
      <c r="D58" s="36"/>
      <c r="E58" s="36"/>
      <c r="F58" s="36"/>
      <c r="G58" s="44">
        <f t="shared" si="22"/>
        <v>-0.09749171793658307</v>
      </c>
      <c r="H58" s="36"/>
      <c r="I58" s="36"/>
      <c r="J58" s="55"/>
      <c r="K58" s="11"/>
    </row>
    <row r="59" ht="15" customHeight="1">
      <c r="A59" s="1"/>
      <c r="B59" s="4" t="s">
        <v>727</v>
      </c>
      <c r="C59" s="36"/>
      <c r="D59" s="36"/>
      <c r="E59" s="36"/>
      <c r="F59" s="36"/>
      <c r="G59" s="44">
        <f>G56/G86</f>
        <v>0.043020212957949826</v>
      </c>
      <c r="H59" s="36"/>
      <c r="I59" s="36"/>
      <c r="J59" s="55"/>
      <c r="K59" s="11"/>
    </row>
    <row r="60" ht="15" customHeight="1">
      <c r="A60" s="1"/>
      <c r="B60" s="4" t="s">
        <v>728</v>
      </c>
      <c r="C60" s="36"/>
      <c r="D60" s="36"/>
      <c r="E60" s="36"/>
      <c r="F60" s="36"/>
      <c r="G60" s="47">
        <f>(G59-G57/G87)*10000</f>
        <v>-73.48073852853257</v>
      </c>
      <c r="H60" s="36"/>
      <c r="I60" s="36"/>
      <c r="J60" s="55"/>
      <c r="K60" s="11"/>
    </row>
    <row r="61" ht="15" customHeight="1">
      <c r="A61" s="1"/>
      <c r="B61" s="1" t="s">
        <v>733</v>
      </c>
      <c r="C61" s="13" t="s">
        <v>30</v>
      </c>
      <c r="D61" s="13" t="s">
        <v>30</v>
      </c>
      <c r="E61" s="13" t="s">
        <v>30</v>
      </c>
      <c r="F61" s="13" t="s">
        <v>30</v>
      </c>
      <c r="G61" s="29">
        <v>1871</v>
      </c>
      <c r="H61" s="13" t="s">
        <v>30</v>
      </c>
      <c r="I61" s="13" t="s">
        <v>30</v>
      </c>
      <c r="J61" s="52" t="s">
        <v>30</v>
      </c>
      <c r="K61" s="11" t="s">
        <v>724</v>
      </c>
    </row>
    <row r="62" ht="15" customHeight="1">
      <c r="A62" s="1"/>
      <c r="B62" s="1" t="s">
        <v>734</v>
      </c>
      <c r="C62" s="13"/>
      <c r="D62" s="13"/>
      <c r="E62" s="13"/>
      <c r="F62" s="13"/>
      <c r="G62" s="29">
        <v>1747</v>
      </c>
      <c r="H62" s="13"/>
      <c r="I62" s="13"/>
      <c r="J62" s="52"/>
      <c r="K62" s="11" t="s">
        <v>726</v>
      </c>
    </row>
    <row r="63" ht="15" customHeight="1">
      <c r="A63" s="1"/>
      <c r="B63" s="4" t="s">
        <v>195</v>
      </c>
      <c r="C63" s="36"/>
      <c r="D63" s="36"/>
      <c r="E63" s="36"/>
      <c r="F63" s="36"/>
      <c r="G63" s="44">
        <f t="shared" si="22"/>
        <v>0.07097882083571827</v>
      </c>
      <c r="H63" s="36"/>
      <c r="I63" s="36"/>
      <c r="J63" s="55"/>
      <c r="K63" s="11"/>
    </row>
    <row r="64" ht="15" customHeight="1">
      <c r="A64" s="1"/>
      <c r="B64" s="4" t="s">
        <v>727</v>
      </c>
      <c r="C64" s="36"/>
      <c r="D64" s="36"/>
      <c r="E64" s="36"/>
      <c r="F64" s="36"/>
      <c r="G64" s="44">
        <f>G61/G86</f>
        <v>0.04220808518317993</v>
      </c>
      <c r="H64" s="36"/>
      <c r="I64" s="36"/>
      <c r="J64" s="55"/>
      <c r="K64" s="11"/>
    </row>
    <row r="65" ht="15" customHeight="1">
      <c r="A65" s="1"/>
      <c r="B65" s="4" t="s">
        <v>728</v>
      </c>
      <c r="C65" s="36"/>
      <c r="D65" s="36"/>
      <c r="E65" s="36"/>
      <c r="F65" s="36"/>
      <c r="G65" s="47">
        <f>(G64-G62/G87)*10000</f>
        <v>5.642626282944679</v>
      </c>
      <c r="H65" s="36"/>
      <c r="I65" s="36"/>
      <c r="J65" s="55"/>
      <c r="K65" s="11"/>
    </row>
    <row r="66" ht="15" customHeight="1">
      <c r="A66" s="1"/>
      <c r="B66" s="1" t="s">
        <v>735</v>
      </c>
      <c r="C66" s="13" t="s">
        <v>30</v>
      </c>
      <c r="D66" s="13" t="s">
        <v>30</v>
      </c>
      <c r="E66" s="13" t="s">
        <v>30</v>
      </c>
      <c r="F66" s="13" t="s">
        <v>30</v>
      </c>
      <c r="G66" s="29">
        <v>1871</v>
      </c>
      <c r="H66" s="13" t="s">
        <v>30</v>
      </c>
      <c r="I66" s="13" t="s">
        <v>30</v>
      </c>
      <c r="J66" s="52" t="s">
        <v>30</v>
      </c>
      <c r="K66" s="11" t="s">
        <v>724</v>
      </c>
    </row>
    <row r="67" ht="15" customHeight="1">
      <c r="A67" s="1"/>
      <c r="B67" s="1" t="s">
        <v>736</v>
      </c>
      <c r="C67" s="13"/>
      <c r="D67" s="13"/>
      <c r="E67" s="13"/>
      <c r="F67" s="13"/>
      <c r="G67" s="29">
        <v>1817</v>
      </c>
      <c r="H67" s="13"/>
      <c r="I67" s="13"/>
      <c r="J67" s="52"/>
      <c r="K67" s="11" t="s">
        <v>726</v>
      </c>
    </row>
    <row r="68" ht="15" customHeight="1">
      <c r="A68" s="1"/>
      <c r="B68" s="4" t="s">
        <v>195</v>
      </c>
      <c r="C68" s="36"/>
      <c r="D68" s="36"/>
      <c r="E68" s="36"/>
      <c r="F68" s="36"/>
      <c r="G68" s="44">
        <f t="shared" si="22"/>
        <v>0.029719317556411662</v>
      </c>
      <c r="H68" s="36"/>
      <c r="I68" s="36"/>
      <c r="J68" s="55"/>
      <c r="K68" s="11"/>
    </row>
    <row r="69" ht="15" customHeight="1">
      <c r="A69" s="1"/>
      <c r="B69" s="4" t="s">
        <v>727</v>
      </c>
      <c r="C69" s="36"/>
      <c r="D69" s="36"/>
      <c r="E69" s="36"/>
      <c r="F69" s="36"/>
      <c r="G69" s="44">
        <f>G66/G86</f>
        <v>0.04220808518317993</v>
      </c>
      <c r="H69" s="36"/>
      <c r="I69" s="36"/>
      <c r="J69" s="55"/>
      <c r="K69" s="11"/>
    </row>
    <row r="70" ht="15" customHeight="1">
      <c r="A70" s="1"/>
      <c r="B70" s="4" t="s">
        <v>728</v>
      </c>
      <c r="C70" s="36"/>
      <c r="D70" s="36"/>
      <c r="E70" s="36"/>
      <c r="F70" s="36"/>
      <c r="G70" s="47">
        <f>(G69-G67/G87)*10000</f>
        <v>-11.043507539848576</v>
      </c>
      <c r="H70" s="36"/>
      <c r="I70" s="36"/>
      <c r="J70" s="55"/>
      <c r="K70" s="11"/>
    </row>
    <row r="71" ht="15" customHeight="1">
      <c r="A71" s="1"/>
      <c r="B71" s="1" t="s">
        <v>737</v>
      </c>
      <c r="C71" s="13" t="s">
        <v>30</v>
      </c>
      <c r="D71" s="13" t="s">
        <v>30</v>
      </c>
      <c r="E71" s="13" t="s">
        <v>30</v>
      </c>
      <c r="F71" s="13" t="s">
        <v>30</v>
      </c>
      <c r="G71" s="29">
        <v>1475</v>
      </c>
      <c r="H71" s="13" t="s">
        <v>30</v>
      </c>
      <c r="I71" s="13" t="s">
        <v>30</v>
      </c>
      <c r="J71" s="52" t="s">
        <v>30</v>
      </c>
      <c r="K71" s="11" t="s">
        <v>724</v>
      </c>
    </row>
    <row r="72" ht="15" customHeight="1">
      <c r="A72" s="1"/>
      <c r="B72" s="1" t="s">
        <v>738</v>
      </c>
      <c r="C72" s="13"/>
      <c r="D72" s="13"/>
      <c r="E72" s="13"/>
      <c r="F72" s="13"/>
      <c r="G72" s="29">
        <v>1441</v>
      </c>
      <c r="H72" s="13"/>
      <c r="I72" s="13"/>
      <c r="J72" s="52"/>
      <c r="K72" s="11" t="s">
        <v>726</v>
      </c>
    </row>
    <row r="73" ht="15" customHeight="1">
      <c r="A73" s="1"/>
      <c r="B73" s="4" t="s">
        <v>195</v>
      </c>
      <c r="C73" s="36"/>
      <c r="D73" s="36"/>
      <c r="E73" s="36"/>
      <c r="F73" s="36"/>
      <c r="G73" s="44">
        <f t="shared" si="22"/>
        <v>0.02359472588480216</v>
      </c>
      <c r="H73" s="36"/>
      <c r="I73" s="36"/>
      <c r="J73" s="55"/>
      <c r="K73" s="11"/>
    </row>
    <row r="74" ht="15" customHeight="1">
      <c r="A74" s="1"/>
      <c r="B74" s="4" t="s">
        <v>727</v>
      </c>
      <c r="C74" s="36"/>
      <c r="D74" s="36"/>
      <c r="E74" s="36"/>
      <c r="F74" s="36"/>
      <c r="G74" s="44">
        <f>G71/G86</f>
        <v>0.033274679660711064</v>
      </c>
      <c r="H74" s="36"/>
      <c r="I74" s="36"/>
      <c r="J74" s="55"/>
      <c r="K74" s="11"/>
    </row>
    <row r="75" ht="15" customHeight="1">
      <c r="A75" s="1"/>
      <c r="B75" s="4" t="s">
        <v>728</v>
      </c>
      <c r="C75" s="36"/>
      <c r="D75" s="36"/>
      <c r="E75" s="36"/>
      <c r="F75" s="36"/>
      <c r="G75" s="47">
        <f>(G74-G72/G87)*10000</f>
        <v>-10.749186802104862</v>
      </c>
      <c r="H75" s="36"/>
      <c r="I75" s="36"/>
      <c r="J75" s="55"/>
      <c r="K75" s="11"/>
    </row>
    <row r="76" ht="15" customHeight="1">
      <c r="A76" s="1"/>
      <c r="B76" s="1" t="s">
        <v>739</v>
      </c>
      <c r="C76" s="13" t="s">
        <v>30</v>
      </c>
      <c r="D76" s="13" t="s">
        <v>30</v>
      </c>
      <c r="E76" s="13" t="s">
        <v>30</v>
      </c>
      <c r="F76" s="13" t="s">
        <v>30</v>
      </c>
      <c r="G76" s="29">
        <v>1340</v>
      </c>
      <c r="H76" s="13" t="s">
        <v>30</v>
      </c>
      <c r="I76" s="13" t="s">
        <v>30</v>
      </c>
      <c r="J76" s="52" t="s">
        <v>30</v>
      </c>
      <c r="K76" s="11" t="s">
        <v>724</v>
      </c>
    </row>
    <row r="77" ht="15" customHeight="1">
      <c r="A77" s="1"/>
      <c r="B77" s="1" t="s">
        <v>740</v>
      </c>
      <c r="C77" s="13"/>
      <c r="D77" s="13"/>
      <c r="E77" s="13"/>
      <c r="F77" s="13"/>
      <c r="G77" s="29">
        <v>1185</v>
      </c>
      <c r="H77" s="13"/>
      <c r="I77" s="13"/>
      <c r="J77" s="52"/>
      <c r="K77" s="11" t="s">
        <v>726</v>
      </c>
    </row>
    <row r="78" ht="15" customHeight="1">
      <c r="A78" s="1"/>
      <c r="B78" s="4" t="s">
        <v>195</v>
      </c>
      <c r="C78" s="36"/>
      <c r="D78" s="36"/>
      <c r="E78" s="36"/>
      <c r="F78" s="36"/>
      <c r="G78" s="44">
        <f t="shared" si="22"/>
        <v>0.13080168776371304</v>
      </c>
      <c r="H78" s="36"/>
      <c r="I78" s="36"/>
      <c r="J78" s="55"/>
      <c r="K78" s="11"/>
    </row>
    <row r="79" ht="15" customHeight="1">
      <c r="A79" s="1"/>
      <c r="B79" s="4" t="s">
        <v>727</v>
      </c>
      <c r="C79" s="36"/>
      <c r="D79" s="36"/>
      <c r="E79" s="36"/>
      <c r="F79" s="36"/>
      <c r="G79" s="44">
        <f>G76/G86</f>
        <v>0.030229200505323947</v>
      </c>
      <c r="H79" s="36"/>
      <c r="I79" s="36"/>
      <c r="J79" s="55"/>
      <c r="K79" s="11"/>
    </row>
    <row r="80" ht="15" customHeight="1">
      <c r="A80" s="1"/>
      <c r="B80" s="4" t="s">
        <v>728</v>
      </c>
      <c r="C80" s="36"/>
      <c r="D80" s="36"/>
      <c r="E80" s="36"/>
      <c r="F80" s="36"/>
      <c r="G80" s="47">
        <f>(G79-G77/G87)*10000</f>
        <v>19.81959676738216</v>
      </c>
      <c r="H80" s="36"/>
      <c r="I80" s="36"/>
      <c r="J80" s="55"/>
      <c r="K80" s="11"/>
    </row>
    <row r="81" ht="15" customHeight="1">
      <c r="A81" s="1"/>
      <c r="B81" s="1" t="s">
        <v>741</v>
      </c>
      <c r="C81" s="13" t="s">
        <v>30</v>
      </c>
      <c r="D81" s="13" t="s">
        <v>30</v>
      </c>
      <c r="E81" s="13" t="s">
        <v>30</v>
      </c>
      <c r="F81" s="13" t="s">
        <v>30</v>
      </c>
      <c r="G81" s="29">
        <v>15979</v>
      </c>
      <c r="H81" s="13" t="s">
        <v>30</v>
      </c>
      <c r="I81" s="13" t="s">
        <v>30</v>
      </c>
      <c r="J81" s="52" t="s">
        <v>30</v>
      </c>
      <c r="K81" s="11" t="s">
        <v>724</v>
      </c>
    </row>
    <row r="82" ht="15" customHeight="1">
      <c r="A82" s="1"/>
      <c r="B82" s="1" t="s">
        <v>742</v>
      </c>
      <c r="C82" s="13"/>
      <c r="D82" s="13"/>
      <c r="E82" s="13"/>
      <c r="F82" s="13"/>
      <c r="G82" s="29">
        <v>14786</v>
      </c>
      <c r="H82" s="13"/>
      <c r="I82" s="13"/>
      <c r="J82" s="52"/>
      <c r="K82" s="11" t="s">
        <v>726</v>
      </c>
    </row>
    <row r="83" ht="15" customHeight="1">
      <c r="A83" s="1"/>
      <c r="B83" s="4" t="s">
        <v>195</v>
      </c>
      <c r="C83" s="36"/>
      <c r="D83" s="36"/>
      <c r="E83" s="36"/>
      <c r="F83" s="36"/>
      <c r="G83" s="44">
        <f t="shared" si="22"/>
        <v>0.08068443121872049</v>
      </c>
      <c r="H83" s="36"/>
      <c r="I83" s="36"/>
      <c r="J83" s="55"/>
      <c r="K83" s="11"/>
    </row>
    <row r="84" ht="15" customHeight="1">
      <c r="A84" s="1"/>
      <c r="B84" s="4" t="s">
        <v>727</v>
      </c>
      <c r="C84" s="36"/>
      <c r="D84" s="36"/>
      <c r="E84" s="36"/>
      <c r="F84" s="36"/>
      <c r="G84" s="44">
        <f>G81/G86</f>
        <v>0.36047193647356074</v>
      </c>
      <c r="H84" s="36"/>
      <c r="I84" s="36"/>
      <c r="J84" s="55"/>
      <c r="K84" s="11"/>
    </row>
    <row r="85" ht="15" customHeight="1">
      <c r="A85" s="1"/>
      <c r="B85" s="4" t="s">
        <v>728</v>
      </c>
      <c r="C85" s="36"/>
      <c r="D85" s="36"/>
      <c r="E85" s="36"/>
      <c r="F85" s="36"/>
      <c r="G85" s="47">
        <f>(G84-G82/G87)*10000</f>
        <v>80.13115468102016</v>
      </c>
      <c r="H85" s="36"/>
      <c r="I85" s="36"/>
      <c r="J85" s="55"/>
      <c r="K85" s="11"/>
    </row>
    <row r="86" ht="15" customHeight="1">
      <c r="A86" s="1"/>
      <c r="B86" s="3" t="s">
        <v>743</v>
      </c>
      <c r="C86" s="56"/>
      <c r="D86" s="56"/>
      <c r="E86" s="56"/>
      <c r="F86" s="56"/>
      <c r="G86" s="50">
        <f t="shared" si="23" ref="G86:G87">G46+G51+G56+G61+G66+G71+G76+G81</f>
        <v>44328</v>
      </c>
      <c r="H86" s="56"/>
      <c r="I86" s="56"/>
      <c r="J86" s="57"/>
      <c r="K86" s="11"/>
    </row>
    <row r="87" ht="15" customHeight="1">
      <c r="A87" s="1"/>
      <c r="B87" s="1" t="s">
        <v>744</v>
      </c>
      <c r="C87" s="13"/>
      <c r="D87" s="13"/>
      <c r="E87" s="13"/>
      <c r="F87" s="13"/>
      <c r="G87" s="33">
        <f t="shared" si="23"/>
        <v>41951</v>
      </c>
      <c r="H87" s="13"/>
      <c r="I87" s="13"/>
      <c r="J87" s="52"/>
      <c r="K87" s="11"/>
    </row>
    <row r="88" ht="15" customHeight="1">
      <c r="A88" s="1"/>
      <c r="B88" s="1" t="s">
        <v>745</v>
      </c>
      <c r="C88" s="13" t="s">
        <v>30</v>
      </c>
      <c r="D88" s="13" t="s">
        <v>30</v>
      </c>
      <c r="E88" s="13" t="s">
        <v>30</v>
      </c>
      <c r="F88" s="13" t="s">
        <v>30</v>
      </c>
      <c r="G88" s="13" t="s">
        <v>30</v>
      </c>
      <c r="H88" s="13" t="s">
        <v>30</v>
      </c>
      <c r="I88" s="13" t="s">
        <v>30</v>
      </c>
      <c r="J88" s="52" t="s">
        <v>30</v>
      </c>
      <c r="K88" s="11" t="s">
        <v>746</v>
      </c>
    </row>
    <row r="89" ht="15" customHeight="1">
      <c r="A89" s="1"/>
      <c r="B89" s="1" t="s">
        <v>747</v>
      </c>
      <c r="C89" s="13"/>
      <c r="D89" s="13"/>
      <c r="E89" s="13"/>
      <c r="F89" s="13"/>
      <c r="G89" s="33">
        <f>G86-G40</f>
        <v>0</v>
      </c>
      <c r="H89" s="13"/>
      <c r="I89" s="13"/>
      <c r="J89" s="52"/>
      <c r="K89" s="11"/>
    </row>
    <row r="90" ht="15" customHeight="1">
      <c r="A90" s="1"/>
      <c r="B90" s="1" t="s">
        <v>748</v>
      </c>
      <c r="C90" s="13"/>
      <c r="D90" s="13"/>
      <c r="E90" s="13"/>
      <c r="F90" s="13"/>
      <c r="G90" s="33">
        <f>G46-G9</f>
        <v>0</v>
      </c>
      <c r="H90" s="13"/>
      <c r="I90" s="13"/>
      <c r="J90" s="52"/>
      <c r="K90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0CDDF08-C3A8-D2AE-DBD5-EA32E00DCC3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749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  <c r="I5" s="6" t="s">
        <v>131</v>
      </c>
      <c r="J5" s="6" t="s">
        <v>132</v>
      </c>
      <c r="K5" s="5" t="s">
        <v>4</v>
      </c>
    </row>
    <row r="6" ht="15" customHeight="1">
      <c r="A6" s="1"/>
      <c r="B6" s="7" t="s">
        <v>133</v>
      </c>
      <c r="C6" s="8">
        <f>DATE(2025,3,31)</f>
        <v>45747</v>
      </c>
      <c r="D6" s="8">
        <f>DATE(2025,6,30)</f>
        <v>45838</v>
      </c>
      <c r="E6" s="8">
        <f>DATE(2025,9,30)</f>
        <v>45930</v>
      </c>
      <c r="F6" s="8">
        <f t="shared" si="0" ref="F6:G6">DATE(2025,12,31)</f>
        <v>46022</v>
      </c>
      <c r="G6" s="8">
        <f t="shared" si="0"/>
        <v>46022</v>
      </c>
      <c r="H6" s="8">
        <f>DATE(2026,3,31)</f>
        <v>46112</v>
      </c>
      <c r="I6" s="8">
        <f>DATE(2026,6,30)</f>
        <v>46203</v>
      </c>
      <c r="J6" s="8">
        <f>DATE(2026,9,30)</f>
        <v>46295</v>
      </c>
      <c r="K6" s="7"/>
    </row>
    <row r="7" ht="15" customHeight="1">
      <c r="A7" s="1"/>
      <c r="B7" s="9" t="s">
        <v>134</v>
      </c>
      <c r="C7" s="10">
        <f t="shared" si="2" ref="C7:G7">C6-DATE(2024,12,31)</f>
        <v>90</v>
      </c>
      <c r="D7" s="10">
        <f t="shared" si="1" ref="D7:J18">D6-C6</f>
        <v>91</v>
      </c>
      <c r="E7" s="10">
        <f t="shared" si="1"/>
        <v>92</v>
      </c>
      <c r="F7" s="10">
        <f t="shared" si="1"/>
        <v>92</v>
      </c>
      <c r="G7" s="10">
        <f t="shared" si="2"/>
        <v>365</v>
      </c>
      <c r="H7" s="10">
        <f t="shared" si="5" ref="H7:H13">H6-F6</f>
        <v>90</v>
      </c>
      <c r="I7" s="10">
        <f t="shared" si="1"/>
        <v>91</v>
      </c>
      <c r="J7" s="10">
        <f t="shared" si="1"/>
        <v>92</v>
      </c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35"/>
      <c r="K8" s="11"/>
    </row>
    <row r="9" ht="15" customHeight="1">
      <c r="A9" s="1"/>
      <c r="B9" s="3" t="s">
        <v>750</v>
      </c>
      <c r="C9" s="1"/>
      <c r="D9" s="1"/>
      <c r="E9" s="1"/>
      <c r="F9" s="1"/>
      <c r="G9" s="1"/>
      <c r="H9" s="1"/>
      <c r="I9" s="1"/>
      <c r="J9" s="35"/>
      <c r="K9" s="11"/>
    </row>
    <row r="10" ht="15" customHeight="1">
      <c r="A10" s="1"/>
      <c r="B10" s="1" t="s">
        <v>751</v>
      </c>
      <c r="C10" s="29">
        <v>1995.859</v>
      </c>
      <c r="D10" s="29">
        <v>1996.448</v>
      </c>
      <c r="E10" s="29">
        <v>1996.744</v>
      </c>
      <c r="F10" s="29">
        <v>1996.796</v>
      </c>
      <c r="G10" s="33">
        <f t="shared" si="3" ref="G10:G11">F10</f>
        <v>1996.796</v>
      </c>
      <c r="H10" s="29">
        <v>1998.234</v>
      </c>
      <c r="I10" s="29">
        <v>1998.291</v>
      </c>
      <c r="J10" s="43">
        <f>I10+J30</f>
        <v>1998.591</v>
      </c>
      <c r="K10" s="11" t="s">
        <v>752</v>
      </c>
    </row>
    <row r="11" ht="15" customHeight="1">
      <c r="A11" s="1"/>
      <c r="B11" s="1" t="s">
        <v>753</v>
      </c>
      <c r="C11" s="29">
        <v>256.021</v>
      </c>
      <c r="D11" s="29">
        <v>255.989</v>
      </c>
      <c r="E11" s="29">
        <v>257.871</v>
      </c>
      <c r="F11" s="29">
        <v>260.196</v>
      </c>
      <c r="G11" s="33">
        <f t="shared" si="3"/>
        <v>260.196</v>
      </c>
      <c r="H11" s="29">
        <v>256.421</v>
      </c>
      <c r="I11" s="29">
        <v>267.907</v>
      </c>
      <c r="J11" s="43">
        <f>I11+J27</f>
        <v>272.7146923076923</v>
      </c>
      <c r="K11" s="11" t="s">
        <v>752</v>
      </c>
    </row>
    <row r="12" ht="15" customHeight="1">
      <c r="A12" s="1"/>
      <c r="B12" s="3" t="s">
        <v>754</v>
      </c>
      <c r="C12" s="50">
        <f t="shared" si="4" ref="C12:J12">C10-C11</f>
        <v>1739.838</v>
      </c>
      <c r="D12" s="50">
        <f t="shared" si="4"/>
        <v>1740.459</v>
      </c>
      <c r="E12" s="50">
        <f t="shared" si="4"/>
        <v>1738.873</v>
      </c>
      <c r="F12" s="50">
        <f t="shared" si="4"/>
        <v>1736.6</v>
      </c>
      <c r="G12" s="50">
        <f t="shared" si="4"/>
        <v>1736.6</v>
      </c>
      <c r="H12" s="50">
        <f t="shared" si="4"/>
        <v>1741.8129999999999</v>
      </c>
      <c r="I12" s="50">
        <f t="shared" si="4"/>
        <v>1730.384</v>
      </c>
      <c r="J12" s="51">
        <f t="shared" si="4"/>
        <v>1725.8763076923076</v>
      </c>
      <c r="K12" s="11"/>
    </row>
    <row r="13" ht="15" customHeight="1">
      <c r="A13" s="1"/>
      <c r="B13" s="1" t="s">
        <v>755</v>
      </c>
      <c r="C13" s="33">
        <f>C12-C15</f>
        <v>8.139999999999873</v>
      </c>
      <c r="D13" s="33">
        <f t="shared" si="1"/>
        <v>0.6210000000000946</v>
      </c>
      <c r="E13" s="33">
        <f t="shared" si="1"/>
        <v>-1.5860000000000127</v>
      </c>
      <c r="F13" s="33">
        <f t="shared" si="1"/>
        <v>-2.2730000000001382</v>
      </c>
      <c r="G13" s="13" t="s">
        <v>30</v>
      </c>
      <c r="H13" s="33">
        <f t="shared" si="5"/>
        <v>5.212999999999965</v>
      </c>
      <c r="I13" s="33">
        <f t="shared" si="1"/>
        <v>-11.42899999999986</v>
      </c>
      <c r="J13" s="43">
        <f t="shared" si="1"/>
        <v>-4.507692307692423</v>
      </c>
      <c r="K13" s="11"/>
    </row>
    <row r="14" ht="15" customHeight="1">
      <c r="A14" s="1"/>
      <c r="B14" s="4" t="s">
        <v>145</v>
      </c>
      <c r="C14" s="36" t="s">
        <v>30</v>
      </c>
      <c r="D14" s="36" t="s">
        <v>30</v>
      </c>
      <c r="E14" s="36" t="s">
        <v>30</v>
      </c>
      <c r="F14" s="36" t="s">
        <v>30</v>
      </c>
      <c r="G14" s="36" t="s">
        <v>30</v>
      </c>
      <c r="H14" s="44">
        <f t="shared" si="6" ref="H14:J19">H12/C12-1</f>
        <v>0.001135163158868746</v>
      </c>
      <c r="I14" s="44">
        <f t="shared" si="6"/>
        <v>-0.005788702865163753</v>
      </c>
      <c r="J14" s="38">
        <f t="shared" si="6"/>
        <v>-0.007474204446036303</v>
      </c>
      <c r="K14" s="11"/>
    </row>
    <row r="15" ht="15" customHeight="1">
      <c r="A15" s="1"/>
      <c r="B15" s="1" t="s">
        <v>756</v>
      </c>
      <c r="C15" s="29">
        <v>1731.698</v>
      </c>
      <c r="D15" s="33">
        <f t="shared" si="7" ref="D15:J15">C12</f>
        <v>1739.838</v>
      </c>
      <c r="E15" s="33">
        <f t="shared" si="7"/>
        <v>1740.459</v>
      </c>
      <c r="F15" s="33">
        <f t="shared" si="7"/>
        <v>1738.873</v>
      </c>
      <c r="G15" s="33">
        <f>C15</f>
        <v>1731.698</v>
      </c>
      <c r="H15" s="33">
        <f>F12</f>
        <v>1736.6</v>
      </c>
      <c r="I15" s="33">
        <f t="shared" si="7"/>
        <v>1741.8129999999999</v>
      </c>
      <c r="J15" s="43">
        <f t="shared" si="7"/>
        <v>1730.384</v>
      </c>
      <c r="K15" s="11" t="s">
        <v>757</v>
      </c>
    </row>
    <row r="16" ht="15" customHeight="1">
      <c r="A16" s="1"/>
      <c r="B16" s="3" t="s">
        <v>758</v>
      </c>
      <c r="C16" s="1"/>
      <c r="D16" s="1"/>
      <c r="E16" s="1"/>
      <c r="F16" s="1"/>
      <c r="G16" s="1"/>
      <c r="H16" s="1"/>
      <c r="I16" s="1"/>
      <c r="J16" s="35"/>
      <c r="K16" s="11"/>
    </row>
    <row r="17" ht="15" customHeight="1">
      <c r="A17" s="1"/>
      <c r="B17" s="3" t="s">
        <v>460</v>
      </c>
      <c r="C17" s="49">
        <v>1739.206</v>
      </c>
      <c r="D17" s="49">
        <v>1743.437</v>
      </c>
      <c r="E17" s="49">
        <v>1742.142</v>
      </c>
      <c r="F17" s="56" t="s">
        <v>30</v>
      </c>
      <c r="G17" s="49">
        <v>1741</v>
      </c>
      <c r="H17" s="49">
        <v>1742.48</v>
      </c>
      <c r="I17" s="49">
        <v>1740.42</v>
      </c>
      <c r="J17" s="51">
        <f>J15+J24+J30-J27*J29</f>
        <v>1731.6396538461538</v>
      </c>
      <c r="K17" s="11" t="s">
        <v>759</v>
      </c>
    </row>
    <row r="18" ht="15" customHeight="1">
      <c r="A18" s="1"/>
      <c r="B18" s="1" t="s">
        <v>755</v>
      </c>
      <c r="C18" s="13" t="s">
        <v>30</v>
      </c>
      <c r="D18" s="33">
        <f t="shared" si="1"/>
        <v>4.2309999999999945</v>
      </c>
      <c r="E18" s="33">
        <f t="shared" si="1"/>
        <v>-1.2949999999998454</v>
      </c>
      <c r="F18" s="13" t="s">
        <v>30</v>
      </c>
      <c r="G18" s="13" t="s">
        <v>30</v>
      </c>
      <c r="H18" s="13" t="s">
        <v>30</v>
      </c>
      <c r="I18" s="33">
        <f t="shared" si="1"/>
        <v>-2.0599999999999454</v>
      </c>
      <c r="J18" s="43">
        <f t="shared" si="1"/>
        <v>-8.780346153846267</v>
      </c>
      <c r="K18" s="11" t="s">
        <v>760</v>
      </c>
    </row>
    <row r="19" ht="15" customHeight="1">
      <c r="A19" s="1"/>
      <c r="B19" s="4" t="s">
        <v>145</v>
      </c>
      <c r="C19" s="36" t="s">
        <v>30</v>
      </c>
      <c r="D19" s="36" t="s">
        <v>30</v>
      </c>
      <c r="E19" s="36" t="s">
        <v>30</v>
      </c>
      <c r="F19" s="36" t="s">
        <v>30</v>
      </c>
      <c r="G19" s="36" t="s">
        <v>30</v>
      </c>
      <c r="H19" s="44">
        <f t="shared" si="6"/>
        <v>0.0018824682067564158</v>
      </c>
      <c r="I19" s="44">
        <f t="shared" si="6"/>
        <v>-0.0017304898312928696</v>
      </c>
      <c r="J19" s="38">
        <f t="shared" si="6"/>
        <v>-0.006028409942384849</v>
      </c>
      <c r="K19" s="11"/>
    </row>
    <row r="20" ht="15" customHeight="1">
      <c r="A20" s="1"/>
      <c r="B20" s="1" t="s">
        <v>761</v>
      </c>
      <c r="C20" s="29">
        <v>8.014</v>
      </c>
      <c r="D20" s="29">
        <v>7.398</v>
      </c>
      <c r="E20" s="29">
        <v>7.219</v>
      </c>
      <c r="F20" s="13" t="s">
        <v>30</v>
      </c>
      <c r="G20" s="29">
        <v>7</v>
      </c>
      <c r="H20" s="29">
        <v>4.593</v>
      </c>
      <c r="I20" s="29">
        <v>2.561</v>
      </c>
      <c r="J20" s="58">
        <v>3</v>
      </c>
      <c r="K20" s="11" t="s">
        <v>762</v>
      </c>
    </row>
    <row r="21" ht="15" customHeight="1">
      <c r="A21" s="1"/>
      <c r="B21" s="3" t="s">
        <v>462</v>
      </c>
      <c r="C21" s="50">
        <f t="shared" si="8" ref="C21:J21">C17+C20</f>
        <v>1747.2199999999998</v>
      </c>
      <c r="D21" s="50">
        <f t="shared" si="8"/>
        <v>1750.8349999999998</v>
      </c>
      <c r="E21" s="50">
        <f t="shared" si="8"/>
        <v>1749.361</v>
      </c>
      <c r="F21" s="49">
        <v>1747</v>
      </c>
      <c r="G21" s="50">
        <f t="shared" si="8"/>
        <v>1748</v>
      </c>
      <c r="H21" s="50">
        <f t="shared" si="8"/>
        <v>1747.073</v>
      </c>
      <c r="I21" s="50">
        <f t="shared" si="8"/>
        <v>1742.981</v>
      </c>
      <c r="J21" s="51">
        <f t="shared" si="8"/>
        <v>1734.6396538461538</v>
      </c>
      <c r="K21" s="11" t="s">
        <v>763</v>
      </c>
    </row>
    <row r="22" ht="15" customHeight="1">
      <c r="A22" s="1"/>
      <c r="B22" s="4" t="s">
        <v>145</v>
      </c>
      <c r="C22" s="36" t="s">
        <v>30</v>
      </c>
      <c r="D22" s="36" t="s">
        <v>30</v>
      </c>
      <c r="E22" s="36" t="s">
        <v>30</v>
      </c>
      <c r="F22" s="36" t="s">
        <v>30</v>
      </c>
      <c r="G22" s="36" t="s">
        <v>30</v>
      </c>
      <c r="H22" s="44">
        <f t="shared" si="9" ref="H22:J22">H21/C21-1</f>
        <v>-0.00008413365231607628</v>
      </c>
      <c r="I22" s="44">
        <f t="shared" si="9"/>
        <v>-0.0044858596041316146</v>
      </c>
      <c r="J22" s="38">
        <f t="shared" si="9"/>
        <v>-0.0084152705781404</v>
      </c>
      <c r="K22" s="11"/>
    </row>
    <row r="23" ht="15" customHeight="1">
      <c r="A23" s="1"/>
      <c r="B23" s="1" t="s">
        <v>755</v>
      </c>
      <c r="C23" s="13" t="s">
        <v>30</v>
      </c>
      <c r="D23" s="33">
        <f t="shared" si="10" ref="D23:J23">D21-C21</f>
        <v>3.615000000000009</v>
      </c>
      <c r="E23" s="33">
        <f t="shared" si="10"/>
        <v>-1.4739999999997053</v>
      </c>
      <c r="F23" s="33">
        <f t="shared" si="10"/>
        <v>-2.3610000000001037</v>
      </c>
      <c r="G23" s="13" t="s">
        <v>30</v>
      </c>
      <c r="H23" s="33">
        <f>H21-F21</f>
        <v>0.07300000000009277</v>
      </c>
      <c r="I23" s="33">
        <f t="shared" si="10"/>
        <v>-4.092000000000098</v>
      </c>
      <c r="J23" s="43">
        <f t="shared" si="10"/>
        <v>-8.341346153846189</v>
      </c>
      <c r="K23" s="11"/>
    </row>
    <row r="24" ht="15" customHeight="1">
      <c r="A24" s="1"/>
      <c r="B24" s="1" t="s">
        <v>764</v>
      </c>
      <c r="C24" s="33">
        <f t="shared" si="11" ref="C24:I24">C17-(C15+C12)/2</f>
        <v>3.4379999999998745</v>
      </c>
      <c r="D24" s="33">
        <f t="shared" si="11"/>
        <v>3.2884999999998854</v>
      </c>
      <c r="E24" s="33">
        <f t="shared" si="11"/>
        <v>2.4759999999998854</v>
      </c>
      <c r="F24" s="13" t="s">
        <v>30</v>
      </c>
      <c r="G24" s="13" t="s">
        <v>30</v>
      </c>
      <c r="H24" s="33">
        <f t="shared" si="11"/>
        <v>3.27350000000024</v>
      </c>
      <c r="I24" s="33">
        <f t="shared" si="11"/>
        <v>4.3215000000000146</v>
      </c>
      <c r="J24" s="43">
        <f>AVERAGE(C24:E24,H24:I24)</f>
        <v>3.35949999999998</v>
      </c>
      <c r="K24" s="11" t="s">
        <v>765</v>
      </c>
    </row>
    <row r="25" ht="15" customHeight="1">
      <c r="A25" s="1"/>
      <c r="B25" s="3" t="s">
        <v>766</v>
      </c>
      <c r="C25" s="1"/>
      <c r="D25" s="1"/>
      <c r="E25" s="1"/>
      <c r="F25" s="1"/>
      <c r="G25" s="1"/>
      <c r="H25" s="1"/>
      <c r="I25" s="1"/>
      <c r="J25" s="35"/>
      <c r="K25" s="11"/>
    </row>
    <row r="26" ht="15" customHeight="1">
      <c r="A26" s="1"/>
      <c r="B26" s="1" t="s">
        <v>767</v>
      </c>
      <c r="C26" s="27">
        <f>-'Cash Flow Statement'!C29</f>
        <v>280</v>
      </c>
      <c r="D26" s="27">
        <f>-'Cash Flow Statement'!D29</f>
        <v>6</v>
      </c>
      <c r="E26" s="27">
        <f>-'Cash Flow Statement'!E29</f>
        <v>305</v>
      </c>
      <c r="F26" s="27">
        <f>-'Cash Flow Statement'!F29</f>
        <v>302</v>
      </c>
      <c r="G26" s="27">
        <f>-'Cash Flow Statement'!G29</f>
        <v>893</v>
      </c>
      <c r="H26" s="27">
        <f>-'Cash Flow Statement'!H29</f>
        <v>180</v>
      </c>
      <c r="I26" s="27">
        <f>-'Cash Flow Statement'!I29</f>
        <v>1045</v>
      </c>
      <c r="J26" s="58">
        <v>500</v>
      </c>
      <c r="K26" s="11" t="s">
        <v>768</v>
      </c>
    </row>
    <row r="27" ht="15" customHeight="1">
      <c r="A27" s="1"/>
      <c r="B27" s="1" t="s">
        <v>769</v>
      </c>
      <c r="C27" s="29">
        <v>0.183</v>
      </c>
      <c r="D27" s="29">
        <v>0.002</v>
      </c>
      <c r="E27" s="29">
        <v>2.425</v>
      </c>
      <c r="F27" s="13" t="s">
        <v>30</v>
      </c>
      <c r="G27" s="13" t="s">
        <v>30</v>
      </c>
      <c r="H27" s="29">
        <v>0.151</v>
      </c>
      <c r="I27" s="29">
        <v>11.602</v>
      </c>
      <c r="J27" s="43">
        <f>J26/J28</f>
        <v>4.8076923076923075</v>
      </c>
      <c r="K27" s="11" t="s">
        <v>770</v>
      </c>
    </row>
    <row r="28" ht="15" customHeight="1">
      <c r="A28" s="1"/>
      <c r="B28" s="1" t="s">
        <v>771</v>
      </c>
      <c r="C28" s="13" t="s">
        <v>30</v>
      </c>
      <c r="D28" s="13" t="s">
        <v>30</v>
      </c>
      <c r="E28" s="32">
        <f t="shared" si="12" ref="E28:I28">E26/E27</f>
        <v>125.77319587628867</v>
      </c>
      <c r="F28" s="13" t="s">
        <v>30</v>
      </c>
      <c r="G28" s="13" t="s">
        <v>30</v>
      </c>
      <c r="H28" s="13" t="s">
        <v>30</v>
      </c>
      <c r="I28" s="32">
        <f t="shared" si="12"/>
        <v>90.07067746940183</v>
      </c>
      <c r="J28" s="67">
        <v>104</v>
      </c>
      <c r="K28" s="11" t="s">
        <v>772</v>
      </c>
    </row>
    <row r="29" ht="15" customHeight="1">
      <c r="A29" s="1"/>
      <c r="B29" s="4" t="s">
        <v>773</v>
      </c>
      <c r="C29" s="36"/>
      <c r="D29" s="36"/>
      <c r="E29" s="36"/>
      <c r="F29" s="36"/>
      <c r="G29" s="36"/>
      <c r="H29" s="36"/>
      <c r="I29" s="36"/>
      <c r="J29" s="37">
        <v>0.5</v>
      </c>
      <c r="K29" s="11" t="s">
        <v>774</v>
      </c>
    </row>
    <row r="30" ht="15" customHeight="1">
      <c r="A30" s="1"/>
      <c r="B30" s="1" t="s">
        <v>775</v>
      </c>
      <c r="C30" s="13"/>
      <c r="D30" s="13"/>
      <c r="E30" s="13"/>
      <c r="F30" s="13"/>
      <c r="G30" s="13"/>
      <c r="H30" s="13"/>
      <c r="I30" s="13"/>
      <c r="J30" s="58">
        <v>0.3</v>
      </c>
      <c r="K30" s="11" t="s">
        <v>776</v>
      </c>
    </row>
    <row r="31" ht="15" customHeight="1">
      <c r="A31" s="1"/>
      <c r="B31" s="1" t="s">
        <v>777</v>
      </c>
      <c r="C31" s="28">
        <v>0.59</v>
      </c>
      <c r="D31" s="28">
        <v>0.59</v>
      </c>
      <c r="E31" s="28">
        <v>0.59</v>
      </c>
      <c r="F31" s="28">
        <v>0.63</v>
      </c>
      <c r="G31" s="32">
        <f>SUM(C31:F31)</f>
        <v>2.4</v>
      </c>
      <c r="H31" s="28">
        <v>0.63</v>
      </c>
      <c r="I31" s="28">
        <v>0.63</v>
      </c>
      <c r="J31" s="67">
        <v>0.63</v>
      </c>
      <c r="K31" s="11" t="s">
        <v>778</v>
      </c>
    </row>
    <row r="32" ht="15" customHeight="1">
      <c r="A32" s="1"/>
      <c r="B32" s="1" t="s">
        <v>779</v>
      </c>
      <c r="C32" s="13"/>
      <c r="D32" s="13"/>
      <c r="E32" s="13"/>
      <c r="F32" s="13"/>
      <c r="G32" s="13"/>
      <c r="H32" s="13"/>
      <c r="I32" s="13"/>
      <c r="J32" s="53">
        <f>I12*Inputs!C94</f>
        <v>181499.97776</v>
      </c>
      <c r="K32" s="11" t="s">
        <v>780</v>
      </c>
    </row>
    <row r="33" ht="15" customHeight="1">
      <c r="A33" s="1"/>
      <c r="B33" s="3" t="s">
        <v>781</v>
      </c>
      <c r="C33" s="56"/>
      <c r="D33" s="56"/>
      <c r="E33" s="56"/>
      <c r="F33" s="56"/>
      <c r="G33" s="56"/>
      <c r="H33" s="56"/>
      <c r="I33" s="56"/>
      <c r="J33" s="51">
        <f>J21</f>
        <v>1734.6396538461538</v>
      </c>
      <c r="K33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DC65889-E1A8-192E-80A9-7268DDD091A2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782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783</v>
      </c>
      <c r="C5" s="6"/>
      <c r="D5" s="6"/>
      <c r="E5" s="6"/>
      <c r="F5" s="6"/>
      <c r="G5" s="6"/>
      <c r="H5" s="6"/>
      <c r="I5" s="6"/>
      <c r="J5" s="6"/>
      <c r="K5" s="5" t="s">
        <v>4</v>
      </c>
    </row>
    <row r="6" ht="15" customHeight="1">
      <c r="A6" s="1"/>
      <c r="B6" s="7"/>
      <c r="C6" s="8"/>
      <c r="D6" s="8"/>
      <c r="E6" s="8"/>
      <c r="F6" s="8"/>
      <c r="G6" s="8"/>
      <c r="H6" s="8"/>
      <c r="I6" s="8"/>
      <c r="J6" s="8"/>
      <c r="K6" s="7"/>
    </row>
    <row r="7" ht="15" customHeight="1">
      <c r="A7" s="1"/>
      <c r="B7" s="9"/>
      <c r="C7" s="10"/>
      <c r="D7" s="10"/>
      <c r="E7" s="10"/>
      <c r="F7" s="10"/>
      <c r="G7" s="10"/>
      <c r="H7" s="10"/>
      <c r="I7" s="10"/>
      <c r="J7" s="10"/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1"/>
    </row>
    <row r="9" ht="15" customHeight="1">
      <c r="A9" s="1"/>
      <c r="B9" s="14" t="s">
        <v>784</v>
      </c>
      <c r="C9" s="15" t="s">
        <v>785</v>
      </c>
      <c r="D9" s="15" t="s">
        <v>124</v>
      </c>
      <c r="E9" s="15" t="s">
        <v>786</v>
      </c>
      <c r="F9" s="15" t="s">
        <v>787</v>
      </c>
      <c r="G9" s="15" t="s">
        <v>788</v>
      </c>
      <c r="H9" s="15" t="s">
        <v>789</v>
      </c>
      <c r="I9" s="15" t="s">
        <v>790</v>
      </c>
      <c r="J9" s="15" t="s">
        <v>791</v>
      </c>
      <c r="K9" s="16"/>
    </row>
    <row r="10" ht="15" customHeight="1">
      <c r="A10" s="1"/>
      <c r="B10" s="3" t="s">
        <v>792</v>
      </c>
      <c r="C10" s="1"/>
      <c r="D10" s="1"/>
      <c r="E10" s="1"/>
      <c r="F10" s="1"/>
      <c r="G10" s="1"/>
      <c r="H10" s="1"/>
      <c r="I10" s="1"/>
      <c r="J10" s="1"/>
      <c r="K10" s="11"/>
    </row>
    <row r="11" ht="15" customHeight="1">
      <c r="A11" s="1"/>
      <c r="B11" s="1" t="s">
        <v>793</v>
      </c>
      <c r="C11" s="68">
        <f>Sources!C33</f>
        <v>45679</v>
      </c>
      <c r="D11" s="13" t="s">
        <v>794</v>
      </c>
      <c r="E11" s="28">
        <v>1.05</v>
      </c>
      <c r="F11" s="28">
        <v>1.09</v>
      </c>
      <c r="G11" s="32">
        <f t="shared" si="0" ref="G11:G30">(E11+F11)/2</f>
        <v>1.07</v>
      </c>
      <c r="H11" s="26">
        <f>'Income Statement'!C97</f>
        <v>1.09</v>
      </c>
      <c r="I11" s="32">
        <f t="shared" si="1" ref="I11:I24">H11-G11</f>
        <v>0.020000000000000018</v>
      </c>
      <c r="J11" s="32" t="str">
        <f t="shared" si="2" ref="J11:J24">IF(H11&gt;F11,"Above range",IF(H11&lt;E11,"Below range",IF(I11&gt;0.0001,"Above mid",IF(I11&lt;-0.0001,"Below mid","At mid"))))</f>
        <v>Above mid</v>
      </c>
      <c r="K11" s="69" t="s">
        <v>796</v>
      </c>
    </row>
    <row r="12" ht="15" customHeight="1">
      <c r="A12" s="1"/>
      <c r="B12" s="1" t="s">
        <v>797</v>
      </c>
      <c r="C12" s="68">
        <f>Sources!C32</f>
        <v>45763</v>
      </c>
      <c r="D12" s="13" t="s">
        <v>798</v>
      </c>
      <c r="E12" s="28">
        <v>1.23</v>
      </c>
      <c r="F12" s="28">
        <v>1.27</v>
      </c>
      <c r="G12" s="32">
        <f t="shared" si="0"/>
        <v>1.25</v>
      </c>
      <c r="H12" s="26">
        <f>'Income Statement'!D97</f>
        <v>1.26</v>
      </c>
      <c r="I12" s="32">
        <f t="shared" si="1"/>
        <v>0.010000000000000009</v>
      </c>
      <c r="J12" s="32" t="str">
        <f t="shared" si="2"/>
        <v>Above mid</v>
      </c>
      <c r="K12" s="69" t="s">
        <v>799</v>
      </c>
    </row>
    <row r="13" ht="15" customHeight="1">
      <c r="A13" s="1"/>
      <c r="B13" s="1" t="s">
        <v>800</v>
      </c>
      <c r="C13" s="68">
        <f>Sources!C31</f>
        <v>45855</v>
      </c>
      <c r="D13" s="13" t="s">
        <v>801</v>
      </c>
      <c r="E13" s="28">
        <v>1.28</v>
      </c>
      <c r="F13" s="28">
        <v>1.32</v>
      </c>
      <c r="G13" s="32">
        <f t="shared" si="0"/>
        <v>1.3</v>
      </c>
      <c r="H13" s="26">
        <f>'Income Statement'!E97</f>
        <v>1.3</v>
      </c>
      <c r="I13" s="32">
        <f t="shared" si="1"/>
        <v>0</v>
      </c>
      <c r="J13" s="32" t="str">
        <f t="shared" si="2"/>
        <v>At mid</v>
      </c>
      <c r="K13" s="69" t="s">
        <v>803</v>
      </c>
    </row>
    <row r="14" ht="15" customHeight="1">
      <c r="A14" s="1"/>
      <c r="B14" s="1" t="s">
        <v>804</v>
      </c>
      <c r="C14" s="68">
        <f>Sources!C14</f>
        <v>45945</v>
      </c>
      <c r="D14" s="13" t="s">
        <v>805</v>
      </c>
      <c r="E14" s="32">
        <f>E23-C19</f>
        <v>1.4699999999999998</v>
      </c>
      <c r="F14" s="32">
        <f>F23-C19</f>
        <v>1.5299999999999994</v>
      </c>
      <c r="G14" s="32">
        <f t="shared" si="0"/>
        <v>1.4999999999999996</v>
      </c>
      <c r="H14" s="26">
        <f>'Income Statement'!F97</f>
        <v>1.5</v>
      </c>
      <c r="I14" s="32">
        <f t="shared" si="1"/>
        <v>0</v>
      </c>
      <c r="J14" s="32" t="str">
        <f>IF(I14&gt;0.0001,"Above mid",IF(I14&lt;-0.0001,"Below mid","At mid"))</f>
        <v>At mid</v>
      </c>
      <c r="K14" s="69" t="s">
        <v>806</v>
      </c>
    </row>
    <row r="15" ht="15" customHeight="1">
      <c r="A15" s="1"/>
      <c r="B15" s="1" t="s">
        <v>807</v>
      </c>
      <c r="C15" s="68">
        <f>Sources!C13</f>
        <v>46044</v>
      </c>
      <c r="D15" s="13" t="s">
        <v>808</v>
      </c>
      <c r="E15" s="28">
        <v>1.12</v>
      </c>
      <c r="F15" s="28">
        <v>1.18</v>
      </c>
      <c r="G15" s="32">
        <f t="shared" si="0"/>
        <v>1.15</v>
      </c>
      <c r="H15" s="26">
        <f>'Income Statement'!H97</f>
        <v>1.15</v>
      </c>
      <c r="I15" s="32">
        <f t="shared" si="1"/>
        <v>0</v>
      </c>
      <c r="J15" s="32" t="str">
        <f t="shared" si="2"/>
        <v>At mid</v>
      </c>
      <c r="K15" s="69" t="s">
        <v>809</v>
      </c>
    </row>
    <row r="16" ht="15" customHeight="1">
      <c r="A16" s="1"/>
      <c r="B16" s="1" t="s">
        <v>810</v>
      </c>
      <c r="C16" s="68">
        <f>Sources!C12</f>
        <v>46128</v>
      </c>
      <c r="D16" s="13" t="s">
        <v>811</v>
      </c>
      <c r="E16" s="28">
        <v>1.25</v>
      </c>
      <c r="F16" s="28">
        <v>1.31</v>
      </c>
      <c r="G16" s="32">
        <f t="shared" si="0"/>
        <v>1.28</v>
      </c>
      <c r="H16" s="26">
        <f>'Income Statement'!I97</f>
        <v>1.31</v>
      </c>
      <c r="I16" s="32">
        <f t="shared" si="1"/>
        <v>0.030000000000000027</v>
      </c>
      <c r="J16" s="32" t="str">
        <f t="shared" si="2"/>
        <v>Above mid</v>
      </c>
      <c r="K16" s="69" t="s">
        <v>812</v>
      </c>
    </row>
    <row r="17" ht="15" customHeight="1">
      <c r="A17" s="1"/>
      <c r="B17" s="1" t="s">
        <v>813</v>
      </c>
      <c r="C17" s="68">
        <f>Sources!C11</f>
        <v>46219</v>
      </c>
      <c r="D17" s="13" t="s">
        <v>814</v>
      </c>
      <c r="E17" s="28">
        <v>1.38</v>
      </c>
      <c r="F17" s="28">
        <v>1.46</v>
      </c>
      <c r="G17" s="32">
        <f t="shared" si="0"/>
        <v>1.42</v>
      </c>
      <c r="H17" s="13" t="s">
        <v>30</v>
      </c>
      <c r="I17" s="13" t="s">
        <v>30</v>
      </c>
      <c r="J17" s="13" t="s">
        <v>815</v>
      </c>
      <c r="K17" s="69" t="s">
        <v>816</v>
      </c>
    </row>
    <row r="18" ht="15" customHeight="1">
      <c r="A18" s="1"/>
      <c r="B18" s="1" t="s">
        <v>817</v>
      </c>
      <c r="C18" s="13" t="s">
        <v>818</v>
      </c>
      <c r="D18" s="13" t="s">
        <v>132</v>
      </c>
      <c r="E18" s="13"/>
      <c r="F18" s="13"/>
      <c r="G18" s="32">
        <f>G17</f>
        <v>1.42</v>
      </c>
      <c r="H18" s="26">
        <f>'Income Statement'!J97</f>
        <v>1.42</v>
      </c>
      <c r="I18" s="32">
        <f t="shared" si="1"/>
        <v>0</v>
      </c>
      <c r="J18" s="13"/>
      <c r="K18" s="69"/>
    </row>
    <row r="19" ht="15" customHeight="1">
      <c r="A19" s="1"/>
      <c r="B19" s="1" t="s">
        <v>819</v>
      </c>
      <c r="C19" s="26">
        <f>SUM('Income Statement'!C97:'Income Statement'!E97)</f>
        <v>3.6500000000000004</v>
      </c>
      <c r="D19" s="13"/>
      <c r="E19" s="13"/>
      <c r="F19" s="13"/>
      <c r="G19" s="13"/>
      <c r="H19" s="13"/>
      <c r="I19" s="13"/>
      <c r="J19" s="13"/>
      <c r="K19" s="69" t="s">
        <v>820</v>
      </c>
    </row>
    <row r="20" ht="15" customHeight="1">
      <c r="A20" s="1"/>
      <c r="B20" s="3" t="s">
        <v>821</v>
      </c>
      <c r="C20" s="1"/>
      <c r="D20" s="1"/>
      <c r="E20" s="1"/>
      <c r="F20" s="1"/>
      <c r="G20" s="1"/>
      <c r="H20" s="1"/>
      <c r="I20" s="1"/>
      <c r="J20" s="1"/>
      <c r="K20" s="69"/>
    </row>
    <row r="21" ht="15" customHeight="1">
      <c r="A21" s="1"/>
      <c r="B21" s="1" t="s">
        <v>822</v>
      </c>
      <c r="C21" s="68">
        <f>Sources!C33</f>
        <v>45679</v>
      </c>
      <c r="D21" s="13" t="s">
        <v>823</v>
      </c>
      <c r="E21" s="28">
        <v>5.05</v>
      </c>
      <c r="F21" s="28">
        <v>5.25</v>
      </c>
      <c r="G21" s="32">
        <f t="shared" si="0"/>
        <v>5.15</v>
      </c>
      <c r="H21" s="26">
        <f>'Income Statement'!G97</f>
        <v>5.15</v>
      </c>
      <c r="I21" s="32">
        <f t="shared" si="1"/>
        <v>0</v>
      </c>
      <c r="J21" s="32" t="str">
        <f t="shared" si="2"/>
        <v>At mid</v>
      </c>
      <c r="K21" s="69" t="s">
        <v>796</v>
      </c>
    </row>
    <row r="22" ht="15" customHeight="1">
      <c r="A22" s="1"/>
      <c r="B22" s="1" t="s">
        <v>824</v>
      </c>
      <c r="C22" s="68">
        <f>Sources!C31</f>
        <v>45855</v>
      </c>
      <c r="D22" s="13" t="s">
        <v>823</v>
      </c>
      <c r="E22" s="28">
        <v>5.1</v>
      </c>
      <c r="F22" s="28">
        <v>5.2</v>
      </c>
      <c r="G22" s="32">
        <f t="shared" si="0"/>
        <v>5.15</v>
      </c>
      <c r="H22" s="26">
        <f>'Income Statement'!G97</f>
        <v>5.15</v>
      </c>
      <c r="I22" s="32">
        <f t="shared" si="1"/>
        <v>0</v>
      </c>
      <c r="J22" s="32" t="str">
        <f t="shared" si="2"/>
        <v>At mid</v>
      </c>
      <c r="K22" s="69" t="s">
        <v>803</v>
      </c>
    </row>
    <row r="23" ht="15" customHeight="1">
      <c r="A23" s="1"/>
      <c r="B23" s="1" t="s">
        <v>825</v>
      </c>
      <c r="C23" s="68">
        <f>Sources!C14</f>
        <v>45945</v>
      </c>
      <c r="D23" s="13" t="s">
        <v>823</v>
      </c>
      <c r="E23" s="28">
        <v>5.12</v>
      </c>
      <c r="F23" s="28">
        <v>5.18</v>
      </c>
      <c r="G23" s="32">
        <f t="shared" si="0"/>
        <v>5.15</v>
      </c>
      <c r="H23" s="26">
        <f>'Income Statement'!G97</f>
        <v>5.15</v>
      </c>
      <c r="I23" s="32">
        <f t="shared" si="1"/>
        <v>0</v>
      </c>
      <c r="J23" s="32" t="str">
        <f t="shared" si="2"/>
        <v>At mid</v>
      </c>
      <c r="K23" s="69" t="s">
        <v>826</v>
      </c>
    </row>
    <row r="24" ht="15" customHeight="1">
      <c r="A24" s="1"/>
      <c r="B24" s="4" t="s">
        <v>827</v>
      </c>
      <c r="C24" s="70">
        <f>Sources!C31</f>
        <v>45855</v>
      </c>
      <c r="D24" s="36" t="s">
        <v>823</v>
      </c>
      <c r="E24" s="54">
        <v>0.075</v>
      </c>
      <c r="F24" s="54">
        <v>0.08</v>
      </c>
      <c r="G24" s="44">
        <f t="shared" si="0"/>
        <v>0.0775</v>
      </c>
      <c r="H24" s="41">
        <f>'Revenue summary'!G91</f>
        <v>0.067</v>
      </c>
      <c r="I24" s="44">
        <f t="shared" si="1"/>
        <v>-0.010499999999999995</v>
      </c>
      <c r="J24" s="44" t="str">
        <f t="shared" si="2"/>
        <v>Below range</v>
      </c>
      <c r="K24" s="69" t="s">
        <v>829</v>
      </c>
    </row>
    <row r="25" ht="15" customHeight="1">
      <c r="A25" s="1"/>
      <c r="B25" s="1" t="s">
        <v>830</v>
      </c>
      <c r="C25" s="68">
        <f>Sources!C13</f>
        <v>46044</v>
      </c>
      <c r="D25" s="13" t="s">
        <v>831</v>
      </c>
      <c r="E25" s="28">
        <v>5.55</v>
      </c>
      <c r="F25" s="28">
        <v>5.8</v>
      </c>
      <c r="G25" s="32">
        <f t="shared" si="0"/>
        <v>5.675</v>
      </c>
      <c r="H25" s="13" t="s">
        <v>30</v>
      </c>
      <c r="I25" s="13" t="s">
        <v>30</v>
      </c>
      <c r="J25" s="13" t="s">
        <v>815</v>
      </c>
      <c r="K25" s="69" t="s">
        <v>809</v>
      </c>
    </row>
    <row r="26" ht="15" customHeight="1">
      <c r="A26" s="1"/>
      <c r="B26" s="1" t="s">
        <v>832</v>
      </c>
      <c r="C26" s="68">
        <f>Sources!C12</f>
        <v>46128</v>
      </c>
      <c r="D26" s="13" t="s">
        <v>831</v>
      </c>
      <c r="E26" s="28">
        <v>5.38</v>
      </c>
      <c r="F26" s="28">
        <v>5.58</v>
      </c>
      <c r="G26" s="32">
        <f t="shared" si="0"/>
        <v>5.48</v>
      </c>
      <c r="H26" s="13" t="s">
        <v>30</v>
      </c>
      <c r="I26" s="13" t="s">
        <v>30</v>
      </c>
      <c r="J26" s="13" t="s">
        <v>815</v>
      </c>
      <c r="K26" s="69" t="s">
        <v>812</v>
      </c>
    </row>
    <row r="27" ht="15" customHeight="1">
      <c r="A27" s="1"/>
      <c r="B27" s="1" t="s">
        <v>833</v>
      </c>
      <c r="C27" s="68">
        <f>Sources!C11</f>
        <v>46219</v>
      </c>
      <c r="D27" s="13" t="s">
        <v>831</v>
      </c>
      <c r="E27" s="28">
        <v>5.45</v>
      </c>
      <c r="F27" s="28">
        <v>5.6</v>
      </c>
      <c r="G27" s="32">
        <f t="shared" si="0"/>
        <v>5.525</v>
      </c>
      <c r="H27" s="13" t="s">
        <v>30</v>
      </c>
      <c r="I27" s="13" t="s">
        <v>30</v>
      </c>
      <c r="J27" s="13" t="s">
        <v>815</v>
      </c>
      <c r="K27" s="69" t="s">
        <v>834</v>
      </c>
    </row>
    <row r="28" ht="15" customHeight="1">
      <c r="A28" s="1"/>
      <c r="B28" s="4" t="s">
        <v>835</v>
      </c>
      <c r="C28" s="70">
        <f>Sources!C11</f>
        <v>46219</v>
      </c>
      <c r="D28" s="36" t="s">
        <v>831</v>
      </c>
      <c r="E28" s="54">
        <v>0.065</v>
      </c>
      <c r="F28" s="54">
        <v>0.075</v>
      </c>
      <c r="G28" s="44">
        <f t="shared" si="0"/>
        <v>0.07</v>
      </c>
      <c r="H28" s="36" t="s">
        <v>30</v>
      </c>
      <c r="I28" s="36" t="s">
        <v>30</v>
      </c>
      <c r="J28" s="36" t="s">
        <v>815</v>
      </c>
      <c r="K28" s="69" t="s">
        <v>836</v>
      </c>
    </row>
    <row r="29" ht="15" customHeight="1">
      <c r="A29" s="1"/>
      <c r="B29" s="4" t="s">
        <v>837</v>
      </c>
      <c r="C29" s="70">
        <f>Sources!C21</f>
        <v>46219</v>
      </c>
      <c r="D29" s="36" t="s">
        <v>814</v>
      </c>
      <c r="E29" s="54">
        <v>-0.01</v>
      </c>
      <c r="F29" s="54">
        <v>-0.01</v>
      </c>
      <c r="G29" s="44">
        <f t="shared" si="0"/>
        <v>-0.01</v>
      </c>
      <c r="H29" s="36" t="s">
        <v>30</v>
      </c>
      <c r="I29" s="36" t="s">
        <v>30</v>
      </c>
      <c r="J29" s="36" t="s">
        <v>815</v>
      </c>
      <c r="K29" s="69" t="s">
        <v>838</v>
      </c>
    </row>
    <row r="30" ht="15" customHeight="1">
      <c r="A30" s="1"/>
      <c r="B30" s="1" t="s">
        <v>839</v>
      </c>
      <c r="C30" s="13" t="s">
        <v>840</v>
      </c>
      <c r="D30" s="13" t="s">
        <v>841</v>
      </c>
      <c r="E30" s="26">
        <f>E27-'Income Statement'!H97-'Income Statement'!I97-'Income Statement'!J97</f>
        <v>1.5700000000000007</v>
      </c>
      <c r="F30" s="26">
        <f>F27-'Income Statement'!H97-'Income Statement'!I97-'Income Statement'!J97</f>
        <v>1.7199999999999993</v>
      </c>
      <c r="G30" s="32">
        <f t="shared" si="0"/>
        <v>1.645</v>
      </c>
      <c r="H30" s="13"/>
      <c r="I30" s="13"/>
      <c r="J30" s="13"/>
      <c r="K30" s="69"/>
    </row>
    <row r="31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69"/>
    </row>
    <row r="32" ht="15" customHeight="1">
      <c r="A32" s="1"/>
      <c r="B32" s="3" t="s">
        <v>842</v>
      </c>
      <c r="C32" s="1"/>
      <c r="D32" s="1"/>
      <c r="E32" s="1"/>
      <c r="F32" s="1"/>
      <c r="G32" s="1"/>
      <c r="H32" s="1"/>
      <c r="I32" s="1"/>
      <c r="J32" s="1"/>
      <c r="K32" s="69"/>
    </row>
    <row r="33" ht="15" customHeight="1">
      <c r="A33" s="1"/>
      <c r="B33" s="14" t="s">
        <v>843</v>
      </c>
      <c r="C33" s="15" t="s">
        <v>844</v>
      </c>
      <c r="D33" s="15"/>
      <c r="E33" s="15"/>
      <c r="F33" s="15"/>
      <c r="G33" s="15"/>
      <c r="H33" s="15"/>
      <c r="I33" s="15"/>
      <c r="J33" s="15"/>
      <c r="K33" s="71"/>
    </row>
    <row r="34" ht="15" customHeight="1">
      <c r="A34" s="1"/>
      <c r="B34" s="1" t="s">
        <v>779</v>
      </c>
      <c r="C34" s="27">
        <f>'Share Count'!J32</f>
        <v>181499.97776</v>
      </c>
      <c r="D34" s="13"/>
      <c r="E34" s="13"/>
      <c r="F34" s="13"/>
      <c r="G34" s="13"/>
      <c r="H34" s="13"/>
      <c r="I34" s="13"/>
      <c r="J34" s="13"/>
      <c r="K34" s="69" t="s">
        <v>845</v>
      </c>
    </row>
    <row r="35" ht="15" customHeight="1">
      <c r="A35" s="1"/>
      <c r="B35" s="1" t="s">
        <v>846</v>
      </c>
      <c r="C35" s="13" t="str">
        <f>IF(C34&gt;10000,"Large",IF(C34&gt;=2000,"Mid","Small"))</f>
        <v>Large</v>
      </c>
      <c r="D35" s="13"/>
      <c r="E35" s="13"/>
      <c r="F35" s="13"/>
      <c r="G35" s="13"/>
      <c r="H35" s="13"/>
      <c r="I35" s="13"/>
      <c r="J35" s="13"/>
      <c r="K35" s="69"/>
    </row>
    <row r="36" ht="15" customHeight="1">
      <c r="A36" s="1"/>
      <c r="B36" s="1" t="s">
        <v>848</v>
      </c>
      <c r="C36" s="13" t="s">
        <v>849</v>
      </c>
      <c r="D36" s="13"/>
      <c r="E36" s="13"/>
      <c r="F36" s="13"/>
      <c r="G36" s="13"/>
      <c r="H36" s="13"/>
      <c r="I36" s="13"/>
      <c r="J36" s="13"/>
      <c r="K36" s="69" t="s">
        <v>850</v>
      </c>
    </row>
    <row r="37" ht="15" customHeight="1">
      <c r="A37" s="1"/>
      <c r="B37" s="4" t="s">
        <v>851</v>
      </c>
      <c r="C37" s="54">
        <v>0.78</v>
      </c>
      <c r="D37" s="36"/>
      <c r="E37" s="36"/>
      <c r="F37" s="36"/>
      <c r="G37" s="36"/>
      <c r="H37" s="36"/>
      <c r="I37" s="36"/>
      <c r="J37" s="36"/>
      <c r="K37" s="69" t="s">
        <v>852</v>
      </c>
    </row>
    <row r="38" ht="15" customHeight="1">
      <c r="A38" s="1"/>
      <c r="B38" s="1" t="s">
        <v>853</v>
      </c>
      <c r="C38" s="72">
        <f>COUNT(Inputs!E101:Inputs!E106)</f>
        <v>6</v>
      </c>
      <c r="D38" s="13"/>
      <c r="E38" s="13"/>
      <c r="F38" s="13"/>
      <c r="G38" s="13"/>
      <c r="H38" s="13"/>
      <c r="I38" s="13"/>
      <c r="J38" s="13"/>
      <c r="K38" s="69"/>
    </row>
    <row r="39" ht="15" customHeight="1">
      <c r="A39" s="1"/>
      <c r="B39" s="1" t="s">
        <v>854</v>
      </c>
      <c r="C39" s="72">
        <f>SUMPRODUCT(--(Inputs!E101:Inputs!E106&gt;Inputs!D101:Inputs!D106))</f>
        <v>3</v>
      </c>
      <c r="D39" s="13"/>
      <c r="E39" s="13"/>
      <c r="F39" s="13"/>
      <c r="G39" s="13"/>
      <c r="H39" s="13"/>
      <c r="I39" s="13"/>
      <c r="J39" s="13"/>
      <c r="K39" s="69"/>
    </row>
    <row r="40" ht="15" customHeight="1">
      <c r="A40" s="1"/>
      <c r="B40" s="1" t="s">
        <v>855</v>
      </c>
      <c r="C40" s="73">
        <v>8</v>
      </c>
      <c r="D40" s="13"/>
      <c r="E40" s="13"/>
      <c r="F40" s="13"/>
      <c r="G40" s="13"/>
      <c r="H40" s="13"/>
      <c r="I40" s="13"/>
      <c r="J40" s="13"/>
      <c r="K40" s="69"/>
    </row>
    <row r="41" ht="15" customHeight="1">
      <c r="A41" s="1"/>
      <c r="B41" s="74" t="s">
        <v>856</v>
      </c>
      <c r="C41" s="75">
        <f>(C40*C37+C39)/(C40+C38)</f>
        <v>0.66</v>
      </c>
      <c r="D41" s="76"/>
      <c r="E41" s="76"/>
      <c r="F41" s="76"/>
      <c r="G41" s="76"/>
      <c r="H41" s="76"/>
      <c r="I41" s="76"/>
      <c r="J41" s="76"/>
      <c r="K41" s="69"/>
    </row>
    <row r="42" ht="15" customHeight="1">
      <c r="A42" s="1"/>
      <c r="B42" s="1" t="s">
        <v>857</v>
      </c>
      <c r="C42" s="26">
        <f>AVERAGE(Inputs!J101:Inputs!J106)</f>
        <v>0.010000000000000009</v>
      </c>
      <c r="D42" s="13"/>
      <c r="E42" s="13"/>
      <c r="F42" s="13"/>
      <c r="G42" s="13"/>
      <c r="H42" s="13"/>
      <c r="I42" s="13"/>
      <c r="J42" s="13"/>
      <c r="K42" s="69" t="s">
        <v>858</v>
      </c>
    </row>
    <row r="43" ht="15" customHeight="1">
      <c r="A43" s="1"/>
      <c r="B43" s="4" t="s">
        <v>859</v>
      </c>
      <c r="C43" s="54">
        <v>0.04</v>
      </c>
      <c r="D43" s="36"/>
      <c r="E43" s="36"/>
      <c r="F43" s="36"/>
      <c r="G43" s="36"/>
      <c r="H43" s="36"/>
      <c r="I43" s="36"/>
      <c r="J43" s="36"/>
      <c r="K43" s="69" t="s">
        <v>860</v>
      </c>
    </row>
    <row r="44" ht="15" customHeight="1">
      <c r="A44" s="1"/>
      <c r="B44" s="4" t="s">
        <v>861</v>
      </c>
      <c r="C44" s="54">
        <v>0.02</v>
      </c>
      <c r="D44" s="36"/>
      <c r="E44" s="36"/>
      <c r="F44" s="36"/>
      <c r="G44" s="36"/>
      <c r="H44" s="36"/>
      <c r="I44" s="36"/>
      <c r="J44" s="36"/>
      <c r="K44" s="69" t="s">
        <v>862</v>
      </c>
    </row>
    <row r="45" ht="15" customHeight="1">
      <c r="A45" s="1"/>
      <c r="B45" s="4" t="s">
        <v>863</v>
      </c>
      <c r="C45" s="54">
        <v>0.01</v>
      </c>
      <c r="D45" s="36"/>
      <c r="E45" s="36"/>
      <c r="F45" s="36"/>
      <c r="G45" s="36"/>
      <c r="H45" s="36"/>
      <c r="I45" s="36"/>
      <c r="J45" s="36"/>
      <c r="K45" s="69" t="s">
        <v>864</v>
      </c>
    </row>
    <row r="46" ht="15" customHeight="1">
      <c r="A46" s="1"/>
      <c r="B46" s="4" t="s">
        <v>865</v>
      </c>
      <c r="C46" s="54">
        <v>-0.02</v>
      </c>
      <c r="D46" s="36"/>
      <c r="E46" s="36"/>
      <c r="F46" s="36"/>
      <c r="G46" s="36"/>
      <c r="H46" s="36"/>
      <c r="I46" s="36"/>
      <c r="J46" s="36"/>
      <c r="K46" s="69" t="s">
        <v>866</v>
      </c>
    </row>
    <row r="47" ht="15" customHeight="1">
      <c r="A47" s="1"/>
      <c r="B47" s="4" t="s">
        <v>867</v>
      </c>
      <c r="C47" s="54">
        <v>-0.01</v>
      </c>
      <c r="D47" s="36"/>
      <c r="E47" s="36"/>
      <c r="F47" s="36"/>
      <c r="G47" s="36"/>
      <c r="H47" s="36"/>
      <c r="I47" s="36"/>
      <c r="J47" s="36"/>
      <c r="K47" s="69" t="s">
        <v>868</v>
      </c>
    </row>
    <row r="48" ht="15" customHeight="1">
      <c r="A48" s="1"/>
      <c r="B48" s="4" t="s">
        <v>869</v>
      </c>
      <c r="C48" s="54">
        <v>-0.03</v>
      </c>
      <c r="D48" s="36"/>
      <c r="E48" s="36"/>
      <c r="F48" s="36"/>
      <c r="G48" s="36"/>
      <c r="H48" s="36"/>
      <c r="I48" s="36"/>
      <c r="J48" s="36"/>
      <c r="K48" s="69" t="s">
        <v>870</v>
      </c>
    </row>
    <row r="49" ht="15" customHeight="1">
      <c r="A49" s="1"/>
      <c r="B49" s="74" t="s">
        <v>871</v>
      </c>
      <c r="C49" s="77">
        <f>ROUND(C41+SUM(C43:C48),4)</f>
        <v>0.67</v>
      </c>
      <c r="D49" s="78"/>
      <c r="E49" s="78"/>
      <c r="F49" s="78"/>
      <c r="G49" s="78"/>
      <c r="H49" s="78"/>
      <c r="I49" s="78"/>
      <c r="J49" s="78"/>
      <c r="K49" s="69"/>
    </row>
    <row r="50" ht="15" customHeight="1">
      <c r="A50" s="1"/>
      <c r="B50" s="4" t="s">
        <v>872</v>
      </c>
      <c r="C50" s="13"/>
      <c r="D50" s="13"/>
      <c r="E50" s="13"/>
      <c r="F50" s="13"/>
      <c r="G50" s="13"/>
      <c r="H50" s="13"/>
      <c r="I50" s="13"/>
      <c r="J50" s="13"/>
      <c r="K50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4E96F78-EECF-30F8-0134-2672BC96A43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873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783</v>
      </c>
      <c r="C5" s="6"/>
      <c r="D5" s="6"/>
      <c r="E5" s="6"/>
      <c r="F5" s="6"/>
      <c r="G5" s="6"/>
      <c r="H5" s="6"/>
      <c r="I5" s="6"/>
      <c r="J5" s="6"/>
      <c r="K5" s="5" t="s">
        <v>4</v>
      </c>
    </row>
    <row r="6" ht="15" customHeight="1">
      <c r="A6" s="1"/>
      <c r="B6" s="7"/>
      <c r="C6" s="8"/>
      <c r="D6" s="8"/>
      <c r="E6" s="8"/>
      <c r="F6" s="8"/>
      <c r="G6" s="8"/>
      <c r="H6" s="8"/>
      <c r="I6" s="8"/>
      <c r="J6" s="8"/>
      <c r="K6" s="7"/>
    </row>
    <row r="7" ht="15" customHeight="1">
      <c r="A7" s="1"/>
      <c r="B7" s="9"/>
      <c r="C7" s="10"/>
      <c r="D7" s="10"/>
      <c r="E7" s="10"/>
      <c r="F7" s="10"/>
      <c r="G7" s="10"/>
      <c r="H7" s="10"/>
      <c r="I7" s="10"/>
      <c r="J7" s="10"/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1"/>
    </row>
    <row r="9" ht="15" customHeight="1">
      <c r="A9" s="1"/>
      <c r="B9" s="14" t="s">
        <v>874</v>
      </c>
      <c r="C9" s="15" t="s">
        <v>875</v>
      </c>
      <c r="D9" s="79" t="s">
        <v>876</v>
      </c>
      <c r="E9" s="80"/>
      <c r="F9" s="80"/>
      <c r="G9" s="80" t="s">
        <v>877</v>
      </c>
      <c r="H9" s="80"/>
      <c r="I9" s="80"/>
      <c r="J9" s="80"/>
      <c r="K9" s="16" t="s">
        <v>878</v>
      </c>
    </row>
    <row r="10" ht="15" customHeight="1">
      <c r="A10" s="1"/>
      <c r="B10" s="1" t="s">
        <v>879</v>
      </c>
      <c r="C10" s="81">
        <v>46295</v>
      </c>
      <c r="D10" s="82" t="s">
        <v>880</v>
      </c>
      <c r="E10" s="12"/>
      <c r="F10" s="12"/>
      <c r="G10" s="12" t="s">
        <v>881</v>
      </c>
      <c r="H10" s="12"/>
      <c r="I10" s="12"/>
      <c r="J10" s="12"/>
      <c r="K10" s="11" t="s">
        <v>882</v>
      </c>
    </row>
    <row r="11" ht="15" customHeight="1">
      <c r="A11" s="1"/>
      <c r="B11" s="1" t="s">
        <v>883</v>
      </c>
      <c r="C11" s="81">
        <v>46219</v>
      </c>
      <c r="D11" s="82" t="s">
        <v>880</v>
      </c>
      <c r="E11" s="12"/>
      <c r="F11" s="12"/>
      <c r="G11" s="12" t="s">
        <v>884</v>
      </c>
      <c r="H11" s="12"/>
      <c r="I11" s="12"/>
      <c r="J11" s="12"/>
      <c r="K11" s="11" t="s">
        <v>885</v>
      </c>
    </row>
    <row r="12" ht="15" customHeight="1">
      <c r="A12" s="1"/>
      <c r="B12" s="1" t="s">
        <v>886</v>
      </c>
      <c r="C12" s="81">
        <v>46128</v>
      </c>
      <c r="D12" s="82" t="s">
        <v>880</v>
      </c>
      <c r="E12" s="12"/>
      <c r="F12" s="12"/>
      <c r="G12" s="12" t="s">
        <v>887</v>
      </c>
      <c r="H12" s="12"/>
      <c r="I12" s="12"/>
      <c r="J12" s="12"/>
      <c r="K12" s="11" t="s">
        <v>888</v>
      </c>
    </row>
    <row r="13" ht="15" customHeight="1">
      <c r="A13" s="1"/>
      <c r="B13" s="1" t="s">
        <v>889</v>
      </c>
      <c r="C13" s="81">
        <v>46044</v>
      </c>
      <c r="D13" s="82" t="s">
        <v>880</v>
      </c>
      <c r="E13" s="12"/>
      <c r="F13" s="12"/>
      <c r="G13" s="12" t="s">
        <v>890</v>
      </c>
      <c r="H13" s="12"/>
      <c r="I13" s="12"/>
      <c r="J13" s="12"/>
      <c r="K13" s="11" t="s">
        <v>891</v>
      </c>
    </row>
    <row r="14" ht="15" customHeight="1">
      <c r="A14" s="1"/>
      <c r="B14" s="1" t="s">
        <v>892</v>
      </c>
      <c r="C14" s="81">
        <v>45945</v>
      </c>
      <c r="D14" s="82" t="s">
        <v>880</v>
      </c>
      <c r="E14" s="12"/>
      <c r="F14" s="12"/>
      <c r="G14" s="12" t="s">
        <v>893</v>
      </c>
      <c r="H14" s="12"/>
      <c r="I14" s="12"/>
      <c r="J14" s="12"/>
      <c r="K14" s="11" t="s">
        <v>894</v>
      </c>
    </row>
    <row r="15" ht="15" customHeight="1">
      <c r="A15" s="1"/>
      <c r="B15" s="1" t="s">
        <v>895</v>
      </c>
      <c r="C15" s="81">
        <v>46231</v>
      </c>
      <c r="D15" s="82" t="s">
        <v>896</v>
      </c>
      <c r="E15" s="12"/>
      <c r="F15" s="12"/>
      <c r="G15" s="12" t="s">
        <v>897</v>
      </c>
      <c r="H15" s="12"/>
      <c r="I15" s="12"/>
      <c r="J15" s="12"/>
      <c r="K15" s="11" t="s">
        <v>898</v>
      </c>
    </row>
    <row r="16" ht="15" customHeight="1">
      <c r="A16" s="1"/>
      <c r="B16" s="1" t="s">
        <v>899</v>
      </c>
      <c r="C16" s="81">
        <v>46141</v>
      </c>
      <c r="D16" s="82" t="s">
        <v>896</v>
      </c>
      <c r="E16" s="12"/>
      <c r="F16" s="12"/>
      <c r="G16" s="12" t="s">
        <v>900</v>
      </c>
      <c r="H16" s="12"/>
      <c r="I16" s="12"/>
      <c r="J16" s="12"/>
      <c r="K16" s="11" t="s">
        <v>901</v>
      </c>
    </row>
    <row r="17" ht="15" customHeight="1">
      <c r="A17" s="1"/>
      <c r="B17" s="1" t="s">
        <v>902</v>
      </c>
      <c r="C17" s="81">
        <v>46073</v>
      </c>
      <c r="D17" s="82" t="s">
        <v>896</v>
      </c>
      <c r="E17" s="12"/>
      <c r="F17" s="12"/>
      <c r="G17" s="12" t="s">
        <v>903</v>
      </c>
      <c r="H17" s="12"/>
      <c r="I17" s="12"/>
      <c r="J17" s="12"/>
      <c r="K17" s="11" t="s">
        <v>904</v>
      </c>
    </row>
    <row r="18" ht="15" customHeight="1">
      <c r="A18" s="1"/>
      <c r="B18" s="1" t="s">
        <v>905</v>
      </c>
      <c r="C18" s="81">
        <v>45959</v>
      </c>
      <c r="D18" s="82" t="s">
        <v>896</v>
      </c>
      <c r="E18" s="12"/>
      <c r="F18" s="12"/>
      <c r="G18" s="12" t="s">
        <v>906</v>
      </c>
      <c r="H18" s="12"/>
      <c r="I18" s="12"/>
      <c r="J18" s="12"/>
      <c r="K18" s="11" t="s">
        <v>907</v>
      </c>
    </row>
    <row r="19" ht="15" customHeight="1">
      <c r="A19" s="1"/>
      <c r="B19" s="1" t="s">
        <v>908</v>
      </c>
      <c r="C19" s="81">
        <v>45868</v>
      </c>
      <c r="D19" s="82" t="s">
        <v>896</v>
      </c>
      <c r="E19" s="12"/>
      <c r="F19" s="12"/>
      <c r="G19" s="12" t="s">
        <v>909</v>
      </c>
      <c r="H19" s="12"/>
      <c r="I19" s="12"/>
      <c r="J19" s="12"/>
      <c r="K19" s="11" t="s">
        <v>910</v>
      </c>
    </row>
    <row r="20" ht="15" customHeight="1">
      <c r="A20" s="1"/>
      <c r="B20" s="1" t="s">
        <v>911</v>
      </c>
      <c r="C20" s="81">
        <v>45777</v>
      </c>
      <c r="D20" s="82" t="s">
        <v>896</v>
      </c>
      <c r="E20" s="12"/>
      <c r="F20" s="12"/>
      <c r="G20" s="12" t="s">
        <v>912</v>
      </c>
      <c r="H20" s="12"/>
      <c r="I20" s="12"/>
      <c r="J20" s="12"/>
      <c r="K20" s="11" t="s">
        <v>913</v>
      </c>
    </row>
    <row r="21" ht="15" customHeight="1">
      <c r="A21" s="1"/>
      <c r="B21" s="1" t="s">
        <v>914</v>
      </c>
      <c r="C21" s="81">
        <v>46219</v>
      </c>
      <c r="D21" s="82" t="s">
        <v>915</v>
      </c>
      <c r="E21" s="12"/>
      <c r="F21" s="12"/>
      <c r="G21" s="12" t="s">
        <v>916</v>
      </c>
      <c r="H21" s="12"/>
      <c r="I21" s="12"/>
      <c r="J21" s="12"/>
      <c r="K21" s="11" t="s">
        <v>917</v>
      </c>
    </row>
    <row r="22" ht="15" customHeight="1">
      <c r="A22" s="1"/>
      <c r="B22" s="1" t="s">
        <v>918</v>
      </c>
      <c r="C22" s="81">
        <v>45964</v>
      </c>
      <c r="D22" s="82" t="s">
        <v>919</v>
      </c>
      <c r="E22" s="12"/>
      <c r="F22" s="12"/>
      <c r="G22" s="12" t="s">
        <v>920</v>
      </c>
      <c r="H22" s="12"/>
      <c r="I22" s="12"/>
      <c r="J22" s="12"/>
      <c r="K22" s="11" t="s">
        <v>921</v>
      </c>
    </row>
    <row r="23" ht="15" customHeight="1">
      <c r="A23" s="1"/>
      <c r="B23" s="1" t="s">
        <v>922</v>
      </c>
      <c r="C23" s="81">
        <v>46254</v>
      </c>
      <c r="D23" s="82" t="s">
        <v>896</v>
      </c>
      <c r="E23" s="12"/>
      <c r="F23" s="12"/>
      <c r="G23" s="12" t="s">
        <v>923</v>
      </c>
      <c r="H23" s="12"/>
      <c r="I23" s="12"/>
      <c r="J23" s="12"/>
      <c r="K23" s="11" t="s">
        <v>924</v>
      </c>
    </row>
    <row r="24" ht="15" customHeight="1">
      <c r="A24" s="1"/>
      <c r="B24" s="1" t="s">
        <v>925</v>
      </c>
      <c r="C24" s="81">
        <v>46313</v>
      </c>
      <c r="D24" s="82" t="s">
        <v>926</v>
      </c>
      <c r="E24" s="12"/>
      <c r="F24" s="12"/>
      <c r="G24" s="12" t="s">
        <v>927</v>
      </c>
      <c r="H24" s="12"/>
      <c r="I24" s="12"/>
      <c r="J24" s="12"/>
      <c r="K24" s="11" t="s">
        <v>928</v>
      </c>
    </row>
    <row r="25" ht="15" customHeight="1">
      <c r="A25" s="1"/>
      <c r="B25" s="1" t="s">
        <v>929</v>
      </c>
      <c r="C25" s="81">
        <v>46313</v>
      </c>
      <c r="D25" s="82" t="s">
        <v>926</v>
      </c>
      <c r="E25" s="12"/>
      <c r="F25" s="12"/>
      <c r="G25" s="12" t="s">
        <v>930</v>
      </c>
      <c r="H25" s="12"/>
      <c r="I25" s="12"/>
      <c r="J25" s="12"/>
      <c r="K25" s="11" t="s">
        <v>931</v>
      </c>
    </row>
    <row r="26" ht="15" customHeight="1">
      <c r="A26" s="1"/>
      <c r="B26" s="1" t="s">
        <v>932</v>
      </c>
      <c r="C26" s="81">
        <v>46311</v>
      </c>
      <c r="D26" s="82" t="s">
        <v>933</v>
      </c>
      <c r="E26" s="12"/>
      <c r="F26" s="12"/>
      <c r="G26" s="12" t="s">
        <v>934</v>
      </c>
      <c r="H26" s="12"/>
      <c r="I26" s="12"/>
      <c r="J26" s="12"/>
      <c r="K26" s="11" t="s">
        <v>935</v>
      </c>
    </row>
    <row r="27" ht="15" customHeight="1">
      <c r="A27" s="1"/>
      <c r="B27" s="1" t="s">
        <v>936</v>
      </c>
      <c r="C27" s="81">
        <v>46300</v>
      </c>
      <c r="D27" s="82" t="s">
        <v>937</v>
      </c>
      <c r="E27" s="12"/>
      <c r="F27" s="12"/>
      <c r="G27" s="12" t="s">
        <v>938</v>
      </c>
      <c r="H27" s="12"/>
      <c r="I27" s="12"/>
      <c r="J27" s="12"/>
      <c r="K27" s="11" t="s">
        <v>939</v>
      </c>
    </row>
    <row r="28" ht="15" customHeight="1">
      <c r="A28" s="1"/>
      <c r="B28" s="1" t="s">
        <v>940</v>
      </c>
      <c r="C28" s="81">
        <v>46308</v>
      </c>
      <c r="D28" s="82" t="s">
        <v>941</v>
      </c>
      <c r="E28" s="12"/>
      <c r="F28" s="12"/>
      <c r="G28" s="12" t="s">
        <v>942</v>
      </c>
      <c r="H28" s="12"/>
      <c r="I28" s="12"/>
      <c r="J28" s="12"/>
      <c r="K28" s="11" t="s">
        <v>943</v>
      </c>
    </row>
    <row r="29" ht="15" customHeight="1">
      <c r="A29" s="1"/>
      <c r="B29" s="1" t="s">
        <v>944</v>
      </c>
      <c r="C29" s="81">
        <v>46310</v>
      </c>
      <c r="D29" s="82" t="s">
        <v>945</v>
      </c>
      <c r="E29" s="12"/>
      <c r="F29" s="12"/>
      <c r="G29" s="12" t="s">
        <v>946</v>
      </c>
      <c r="H29" s="12"/>
      <c r="I29" s="12"/>
      <c r="J29" s="12"/>
      <c r="K29" s="11" t="s">
        <v>947</v>
      </c>
    </row>
    <row r="30" ht="15" customHeight="1">
      <c r="A30" s="1"/>
      <c r="B30" s="1" t="s">
        <v>948</v>
      </c>
      <c r="C30" s="81">
        <v>46311</v>
      </c>
      <c r="D30" s="82" t="s">
        <v>915</v>
      </c>
      <c r="E30" s="12"/>
      <c r="F30" s="12"/>
      <c r="G30" s="12" t="s">
        <v>949</v>
      </c>
      <c r="H30" s="12"/>
      <c r="I30" s="12"/>
      <c r="J30" s="12"/>
      <c r="K30" s="11" t="s">
        <v>950</v>
      </c>
    </row>
    <row r="31" ht="15" customHeight="1">
      <c r="A31" s="1"/>
      <c r="B31" s="1" t="s">
        <v>951</v>
      </c>
      <c r="C31" s="81">
        <v>45855</v>
      </c>
      <c r="D31" s="82" t="s">
        <v>952</v>
      </c>
      <c r="E31" s="12"/>
      <c r="F31" s="12"/>
      <c r="G31" s="12" t="s">
        <v>953</v>
      </c>
      <c r="H31" s="12"/>
      <c r="I31" s="12"/>
      <c r="J31" s="12"/>
      <c r="K31" s="11" t="s">
        <v>954</v>
      </c>
    </row>
    <row r="32" ht="15" customHeight="1">
      <c r="A32" s="1"/>
      <c r="B32" s="1" t="s">
        <v>955</v>
      </c>
      <c r="C32" s="81">
        <v>45763</v>
      </c>
      <c r="D32" s="82" t="s">
        <v>952</v>
      </c>
      <c r="E32" s="12"/>
      <c r="F32" s="12"/>
      <c r="G32" s="12" t="s">
        <v>953</v>
      </c>
      <c r="H32" s="12"/>
      <c r="I32" s="12"/>
      <c r="J32" s="12"/>
      <c r="K32" s="11" t="s">
        <v>956</v>
      </c>
    </row>
    <row r="33" ht="15" customHeight="1">
      <c r="A33" s="1"/>
      <c r="B33" s="1" t="s">
        <v>957</v>
      </c>
      <c r="C33" s="81">
        <v>45679</v>
      </c>
      <c r="D33" s="82" t="s">
        <v>952</v>
      </c>
      <c r="E33" s="12"/>
      <c r="F33" s="12"/>
      <c r="G33" s="12" t="s">
        <v>953</v>
      </c>
      <c r="H33" s="12"/>
      <c r="I33" s="12"/>
      <c r="J33" s="12"/>
      <c r="K33" s="11" t="s">
        <v>958</v>
      </c>
    </row>
    <row r="34" ht="15" customHeight="1">
      <c r="A34" s="1"/>
      <c r="B34" s="1" t="s">
        <v>959</v>
      </c>
      <c r="C34" s="81">
        <v>46311</v>
      </c>
      <c r="D34" s="82" t="s">
        <v>960</v>
      </c>
      <c r="E34" s="12"/>
      <c r="F34" s="12"/>
      <c r="G34" s="12" t="s">
        <v>961</v>
      </c>
      <c r="H34" s="12"/>
      <c r="I34" s="12"/>
      <c r="J34" s="12"/>
      <c r="K34" s="11" t="s">
        <v>962</v>
      </c>
    </row>
    <row r="35" ht="15" customHeight="1">
      <c r="A35" s="1"/>
      <c r="B35" s="1" t="s">
        <v>963</v>
      </c>
      <c r="C35" s="81">
        <v>46293</v>
      </c>
      <c r="D35" s="82" t="s">
        <v>964</v>
      </c>
      <c r="E35" s="12"/>
      <c r="F35" s="12"/>
      <c r="G35" s="12" t="s">
        <v>965</v>
      </c>
      <c r="H35" s="12"/>
      <c r="I35" s="12"/>
      <c r="J35" s="12"/>
      <c r="K35" s="11" t="s">
        <v>966</v>
      </c>
    </row>
    <row r="36" ht="15" customHeight="1">
      <c r="A36" s="1"/>
      <c r="B36" s="1" t="s">
        <v>967</v>
      </c>
      <c r="C36" s="81">
        <v>46309</v>
      </c>
      <c r="D36" s="82" t="s">
        <v>968</v>
      </c>
      <c r="E36" s="12"/>
      <c r="F36" s="12"/>
      <c r="G36" s="12" t="s">
        <v>969</v>
      </c>
      <c r="H36" s="12"/>
      <c r="I36" s="12"/>
      <c r="J36" s="12"/>
      <c r="K36" s="11" t="s">
        <v>970</v>
      </c>
    </row>
    <row r="37" ht="15" customHeight="1">
      <c r="A37" s="1"/>
      <c r="B37" s="1" t="s">
        <v>971</v>
      </c>
      <c r="C37" s="81">
        <v>46282</v>
      </c>
      <c r="D37" s="82" t="s">
        <v>972</v>
      </c>
      <c r="E37" s="12"/>
      <c r="F37" s="12"/>
      <c r="G37" s="12" t="s">
        <v>973</v>
      </c>
      <c r="H37" s="12"/>
      <c r="I37" s="12"/>
      <c r="J37" s="12"/>
      <c r="K37" s="11" t="s">
        <v>974</v>
      </c>
    </row>
    <row r="38" ht="15" customHeight="1">
      <c r="A38" s="1"/>
      <c r="B38" s="1"/>
      <c r="C38" s="13"/>
      <c r="D38" s="12"/>
      <c r="E38" s="12"/>
      <c r="F38" s="12"/>
      <c r="G38" s="12"/>
      <c r="H38" s="12"/>
      <c r="I38" s="12"/>
      <c r="J38" s="12"/>
      <c r="K38" s="11"/>
    </row>
    <row r="39" ht="15" customHeight="1">
      <c r="A39" s="1"/>
      <c r="B39" s="4" t="s">
        <v>975</v>
      </c>
      <c r="C39" s="13"/>
      <c r="D39" s="12"/>
      <c r="E39" s="12"/>
      <c r="F39" s="12"/>
      <c r="G39" s="12"/>
      <c r="H39" s="12"/>
      <c r="I39" s="12"/>
      <c r="J39" s="12"/>
      <c r="K39" s="11"/>
    </row>
    <row r="40" ht="15" customHeight="1">
      <c r="A40" s="1"/>
      <c r="B40" s="4" t="s">
        <v>976</v>
      </c>
      <c r="C40" s="13"/>
      <c r="D40" s="12"/>
      <c r="E40" s="12"/>
      <c r="F40" s="12"/>
      <c r="G40" s="12"/>
      <c r="H40" s="12"/>
      <c r="I40" s="12"/>
      <c r="J40" s="12"/>
      <c r="K40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B4234F8-99E8-0E58-8FA8-44AB74390CEA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3" t="s">
        <v>977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5" t="s">
        <v>978</v>
      </c>
      <c r="C5" s="6"/>
      <c r="D5" s="6"/>
      <c r="E5" s="6"/>
      <c r="F5" s="6"/>
      <c r="G5" s="6"/>
      <c r="H5" s="6"/>
      <c r="I5" s="6"/>
      <c r="J5" s="6"/>
      <c r="K5" s="5" t="s">
        <v>4</v>
      </c>
    </row>
    <row r="6" ht="15" customHeight="1">
      <c r="A6" s="1"/>
      <c r="B6" s="7"/>
      <c r="C6" s="8"/>
      <c r="D6" s="8"/>
      <c r="E6" s="8"/>
      <c r="F6" s="8"/>
      <c r="G6" s="8"/>
      <c r="H6" s="8"/>
      <c r="I6" s="8"/>
      <c r="J6" s="8"/>
      <c r="K6" s="7"/>
    </row>
    <row r="7" ht="15" customHeight="1">
      <c r="A7" s="1"/>
      <c r="B7" s="9"/>
      <c r="C7" s="10"/>
      <c r="D7" s="10"/>
      <c r="E7" s="10"/>
      <c r="F7" s="10"/>
      <c r="G7" s="10"/>
      <c r="H7" s="10"/>
      <c r="I7" s="10"/>
      <c r="J7" s="10"/>
      <c r="K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1"/>
    </row>
    <row r="9" ht="15" customHeight="1">
      <c r="A9" s="1"/>
      <c r="B9" s="3" t="s">
        <v>979</v>
      </c>
      <c r="C9" s="1"/>
      <c r="D9" s="1"/>
      <c r="E9" s="1"/>
      <c r="F9" s="1"/>
      <c r="G9" s="1"/>
      <c r="H9" s="1"/>
      <c r="I9" s="1"/>
      <c r="J9" s="1"/>
      <c r="K9" s="11"/>
    </row>
    <row r="10" ht="15" customHeight="1">
      <c r="A10" s="1"/>
      <c r="B10" s="1" t="s">
        <v>980</v>
      </c>
      <c r="C10" s="12" t="s">
        <v>981</v>
      </c>
      <c r="D10" s="13"/>
      <c r="E10" s="13"/>
      <c r="F10" s="13"/>
      <c r="G10" s="13"/>
      <c r="H10" s="13"/>
      <c r="I10" s="13"/>
      <c r="J10" s="13"/>
      <c r="K10" s="11" t="s">
        <v>864</v>
      </c>
    </row>
    <row r="11" ht="15" customHeight="1">
      <c r="A11" s="1"/>
      <c r="B11" s="1" t="s">
        <v>982</v>
      </c>
      <c r="C11" s="12" t="s">
        <v>983</v>
      </c>
      <c r="D11" s="13"/>
      <c r="E11" s="13"/>
      <c r="F11" s="13"/>
      <c r="G11" s="13"/>
      <c r="H11" s="13"/>
      <c r="I11" s="13"/>
      <c r="J11" s="13"/>
      <c r="K11" s="11" t="s">
        <v>864</v>
      </c>
    </row>
    <row r="12" ht="15" customHeight="1">
      <c r="A12" s="1"/>
      <c r="B12" s="1" t="s">
        <v>984</v>
      </c>
      <c r="C12" s="12" t="s">
        <v>6</v>
      </c>
      <c r="D12" s="13"/>
      <c r="E12" s="13"/>
      <c r="F12" s="13"/>
      <c r="G12" s="13"/>
      <c r="H12" s="13"/>
      <c r="I12" s="13"/>
      <c r="J12" s="13"/>
      <c r="K12" s="11" t="s">
        <v>864</v>
      </c>
    </row>
    <row r="13" ht="15" customHeight="1">
      <c r="A13" s="1"/>
      <c r="B13" s="1" t="s">
        <v>985</v>
      </c>
      <c r="C13" s="12" t="s">
        <v>986</v>
      </c>
      <c r="D13" s="13"/>
      <c r="E13" s="13"/>
      <c r="F13" s="13"/>
      <c r="G13" s="13"/>
      <c r="H13" s="13"/>
      <c r="I13" s="13"/>
      <c r="J13" s="13"/>
      <c r="K13" s="11" t="s">
        <v>864</v>
      </c>
    </row>
    <row r="14" ht="15" customHeight="1">
      <c r="A14" s="1"/>
      <c r="B14" s="1" t="s">
        <v>987</v>
      </c>
      <c r="C14" s="83" t="s">
        <v>988</v>
      </c>
      <c r="D14" s="13"/>
      <c r="E14" s="13"/>
      <c r="F14" s="13"/>
      <c r="G14" s="13"/>
      <c r="H14" s="13"/>
      <c r="I14" s="13"/>
      <c r="J14" s="13"/>
      <c r="K14" s="11" t="s">
        <v>864</v>
      </c>
    </row>
    <row r="15" ht="15" customHeight="1">
      <c r="A15" s="1"/>
      <c r="B15" s="1" t="s">
        <v>989</v>
      </c>
      <c r="C15" s="83" t="s">
        <v>990</v>
      </c>
      <c r="D15" s="13"/>
      <c r="E15" s="13"/>
      <c r="F15" s="13"/>
      <c r="G15" s="13"/>
      <c r="H15" s="13"/>
      <c r="I15" s="13"/>
      <c r="J15" s="13"/>
      <c r="K15" s="11" t="s">
        <v>864</v>
      </c>
    </row>
    <row r="16" ht="15" customHeight="1">
      <c r="A16" s="1"/>
      <c r="B16" s="1" t="s">
        <v>991</v>
      </c>
      <c r="C16" s="73">
        <v>23</v>
      </c>
      <c r="D16" s="13"/>
      <c r="E16" s="13"/>
      <c r="F16" s="13"/>
      <c r="G16" s="13"/>
      <c r="H16" s="13"/>
      <c r="I16" s="13"/>
      <c r="J16" s="13"/>
      <c r="K16" s="11" t="s">
        <v>864</v>
      </c>
    </row>
    <row r="17" ht="15" customHeight="1">
      <c r="A17" s="1"/>
      <c r="B17" s="1" t="s">
        <v>992</v>
      </c>
      <c r="C17" s="28">
        <v>1.41</v>
      </c>
      <c r="D17" s="13"/>
      <c r="E17" s="13"/>
      <c r="F17" s="13"/>
      <c r="G17" s="13"/>
      <c r="H17" s="13"/>
      <c r="I17" s="13"/>
      <c r="J17" s="13"/>
      <c r="K17" s="11" t="s">
        <v>864</v>
      </c>
    </row>
    <row r="18" ht="15" customHeight="1">
      <c r="A18" s="1"/>
      <c r="B18" s="1" t="s">
        <v>993</v>
      </c>
      <c r="C18" s="12" t="s">
        <v>994</v>
      </c>
      <c r="D18" s="13"/>
      <c r="E18" s="13"/>
      <c r="F18" s="13"/>
      <c r="G18" s="13"/>
      <c r="H18" s="13"/>
      <c r="I18" s="13"/>
      <c r="J18" s="13"/>
      <c r="K18" s="11" t="s">
        <v>995</v>
      </c>
    </row>
    <row r="19" ht="15" customHeight="1">
      <c r="A19" s="1"/>
      <c r="B19" s="1" t="s">
        <v>996</v>
      </c>
      <c r="C19" s="84">
        <v>12990.17</v>
      </c>
      <c r="D19" s="13"/>
      <c r="E19" s="13"/>
      <c r="F19" s="13"/>
      <c r="G19" s="13"/>
      <c r="H19" s="13"/>
      <c r="I19" s="13"/>
      <c r="J19" s="13"/>
      <c r="K19" s="11" t="s">
        <v>864</v>
      </c>
    </row>
    <row r="20" ht="15" customHeight="1">
      <c r="A20" s="1"/>
      <c r="B20" s="1" t="s">
        <v>997</v>
      </c>
      <c r="C20" s="12" t="s">
        <v>998</v>
      </c>
      <c r="D20" s="13"/>
      <c r="E20" s="13"/>
      <c r="F20" s="13"/>
      <c r="G20" s="13"/>
      <c r="H20" s="13"/>
      <c r="I20" s="13"/>
      <c r="J20" s="13"/>
      <c r="K20" s="11" t="s">
        <v>864</v>
      </c>
    </row>
    <row r="21" ht="15" customHeight="1">
      <c r="A21" s="1"/>
      <c r="B21" s="1" t="s">
        <v>999</v>
      </c>
      <c r="C21" s="12" t="s">
        <v>994</v>
      </c>
      <c r="D21" s="13"/>
      <c r="E21" s="13"/>
      <c r="F21" s="13"/>
      <c r="G21" s="13"/>
      <c r="H21" s="13"/>
      <c r="I21" s="13"/>
      <c r="J21" s="13"/>
      <c r="K21" s="11" t="s">
        <v>1000</v>
      </c>
    </row>
    <row r="22" ht="15" customHeight="1">
      <c r="A22" s="1"/>
      <c r="B22" s="1" t="s">
        <v>1001</v>
      </c>
      <c r="C22" s="12" t="s">
        <v>1002</v>
      </c>
      <c r="D22" s="13"/>
      <c r="E22" s="13"/>
      <c r="F22" s="13"/>
      <c r="G22" s="13"/>
      <c r="H22" s="13"/>
      <c r="I22" s="13"/>
      <c r="J22" s="13"/>
      <c r="K22" s="11" t="s">
        <v>864</v>
      </c>
    </row>
    <row r="23" ht="15" customHeight="1">
      <c r="A23" s="1"/>
      <c r="B23" s="1" t="s">
        <v>1003</v>
      </c>
      <c r="C23" s="12" t="s">
        <v>998</v>
      </c>
      <c r="D23" s="13"/>
      <c r="E23" s="13"/>
      <c r="F23" s="13"/>
      <c r="G23" s="13"/>
      <c r="H23" s="13"/>
      <c r="I23" s="13"/>
      <c r="J23" s="13"/>
      <c r="K23" s="11" t="s">
        <v>864</v>
      </c>
    </row>
    <row r="24" ht="15" customHeight="1">
      <c r="A24" s="1"/>
      <c r="B24" s="1" t="s">
        <v>1004</v>
      </c>
      <c r="C24" s="12" t="s">
        <v>998</v>
      </c>
      <c r="D24" s="13"/>
      <c r="E24" s="13"/>
      <c r="F24" s="13"/>
      <c r="G24" s="13"/>
      <c r="H24" s="13"/>
      <c r="I24" s="13"/>
      <c r="J24" s="13"/>
      <c r="K24" s="11" t="s">
        <v>864</v>
      </c>
    </row>
    <row r="25" ht="15" customHeight="1">
      <c r="A25" s="1"/>
      <c r="B25" s="1" t="s">
        <v>1005</v>
      </c>
      <c r="C25" s="12" t="s">
        <v>1006</v>
      </c>
      <c r="D25" s="13"/>
      <c r="E25" s="13"/>
      <c r="F25" s="13"/>
      <c r="G25" s="13"/>
      <c r="H25" s="13"/>
      <c r="I25" s="13"/>
      <c r="J25" s="13"/>
      <c r="K25" s="11" t="s">
        <v>864</v>
      </c>
    </row>
    <row r="26" ht="15" customHeight="1">
      <c r="A26" s="1"/>
      <c r="B26" s="1" t="s">
        <v>1007</v>
      </c>
      <c r="C26" s="12" t="s">
        <v>998</v>
      </c>
      <c r="D26" s="13"/>
      <c r="E26" s="13"/>
      <c r="F26" s="13"/>
      <c r="G26" s="13"/>
      <c r="H26" s="13"/>
      <c r="I26" s="13"/>
      <c r="J26" s="13"/>
      <c r="K26" s="11" t="s">
        <v>864</v>
      </c>
    </row>
    <row r="27" ht="15" customHeight="1">
      <c r="A27" s="1"/>
      <c r="B27" s="1" t="s">
        <v>1008</v>
      </c>
      <c r="C27" s="12" t="s">
        <v>1009</v>
      </c>
      <c r="D27" s="13"/>
      <c r="E27" s="13"/>
      <c r="F27" s="13"/>
      <c r="G27" s="13"/>
      <c r="H27" s="13"/>
      <c r="I27" s="13"/>
      <c r="J27" s="13"/>
      <c r="K27" s="11" t="s">
        <v>864</v>
      </c>
    </row>
    <row r="28" ht="15" customHeight="1">
      <c r="A28" s="1"/>
      <c r="B28" s="1" t="s">
        <v>1010</v>
      </c>
      <c r="C28" s="12" t="s">
        <v>1011</v>
      </c>
      <c r="D28" s="13"/>
      <c r="E28" s="13"/>
      <c r="F28" s="13"/>
      <c r="G28" s="13"/>
      <c r="H28" s="13"/>
      <c r="I28" s="13"/>
      <c r="J28" s="13"/>
      <c r="K28" s="11" t="s">
        <v>1012</v>
      </c>
    </row>
    <row r="29" ht="15" customHeight="1">
      <c r="A29" s="1"/>
      <c r="B29" s="3" t="s">
        <v>1013</v>
      </c>
      <c r="C29" s="1"/>
      <c r="D29" s="1"/>
      <c r="E29" s="1"/>
      <c r="F29" s="1"/>
      <c r="G29" s="1"/>
      <c r="H29" s="1"/>
      <c r="I29" s="1"/>
      <c r="J29" s="1"/>
      <c r="K29" s="11"/>
    </row>
    <row r="30" ht="15" customHeight="1">
      <c r="A30" s="1"/>
      <c r="B30" s="1" t="s">
        <v>982</v>
      </c>
      <c r="C30" s="12" t="s">
        <v>983</v>
      </c>
      <c r="D30" s="13"/>
      <c r="E30" s="13"/>
      <c r="F30" s="13"/>
      <c r="G30" s="13"/>
      <c r="H30" s="13"/>
      <c r="I30" s="13"/>
      <c r="J30" s="13"/>
      <c r="K30" s="11" t="s">
        <v>864</v>
      </c>
    </row>
    <row r="31" ht="15" customHeight="1">
      <c r="A31" s="1"/>
      <c r="B31" s="1" t="s">
        <v>1014</v>
      </c>
      <c r="C31" s="12" t="s">
        <v>6</v>
      </c>
      <c r="D31" s="13"/>
      <c r="E31" s="13"/>
      <c r="F31" s="13"/>
      <c r="G31" s="13"/>
      <c r="H31" s="13"/>
      <c r="I31" s="13"/>
      <c r="J31" s="13"/>
      <c r="K31" s="11" t="s">
        <v>864</v>
      </c>
    </row>
    <row r="32" ht="15" customHeight="1">
      <c r="A32" s="1"/>
      <c r="B32" s="1" t="s">
        <v>1015</v>
      </c>
      <c r="C32" s="12" t="s">
        <v>1016</v>
      </c>
      <c r="D32" s="13"/>
      <c r="E32" s="13"/>
      <c r="F32" s="13"/>
      <c r="G32" s="13"/>
      <c r="H32" s="13"/>
      <c r="I32" s="13"/>
      <c r="J32" s="13"/>
      <c r="K32" s="11" t="s">
        <v>864</v>
      </c>
    </row>
    <row r="33" ht="15" customHeight="1">
      <c r="A33" s="1"/>
      <c r="B33" s="1" t="s">
        <v>1017</v>
      </c>
      <c r="C33" s="12" t="s">
        <v>1018</v>
      </c>
      <c r="D33" s="13"/>
      <c r="E33" s="13"/>
      <c r="F33" s="13"/>
      <c r="G33" s="13"/>
      <c r="H33" s="13"/>
      <c r="I33" s="13"/>
      <c r="J33" s="13"/>
      <c r="K33" s="11" t="s">
        <v>864</v>
      </c>
    </row>
    <row r="34" ht="15" customHeight="1">
      <c r="A34" s="1"/>
      <c r="B34" s="1" t="s">
        <v>1019</v>
      </c>
      <c r="C34" s="12" t="s">
        <v>998</v>
      </c>
      <c r="D34" s="13"/>
      <c r="E34" s="13"/>
      <c r="F34" s="13"/>
      <c r="G34" s="13"/>
      <c r="H34" s="13"/>
      <c r="I34" s="13"/>
      <c r="J34" s="13"/>
      <c r="K34" s="11" t="s">
        <v>864</v>
      </c>
    </row>
    <row r="35" ht="15" customHeight="1">
      <c r="A35" s="1"/>
      <c r="B35" s="1" t="s">
        <v>1020</v>
      </c>
      <c r="C35" s="12" t="s">
        <v>1021</v>
      </c>
      <c r="D35" s="13"/>
      <c r="E35" s="13"/>
      <c r="F35" s="13"/>
      <c r="G35" s="13"/>
      <c r="H35" s="13"/>
      <c r="I35" s="13"/>
      <c r="J35" s="13"/>
      <c r="K35" s="11" t="s">
        <v>864</v>
      </c>
    </row>
    <row r="36" ht="15" customHeight="1">
      <c r="A36" s="1"/>
      <c r="B36" s="1" t="s">
        <v>1022</v>
      </c>
      <c r="C36" s="12" t="s">
        <v>986</v>
      </c>
      <c r="D36" s="13"/>
      <c r="E36" s="13"/>
      <c r="F36" s="13"/>
      <c r="G36" s="13"/>
      <c r="H36" s="13"/>
      <c r="I36" s="13"/>
      <c r="J36" s="13"/>
      <c r="K36" s="11" t="s">
        <v>864</v>
      </c>
    </row>
    <row r="37" ht="15" customHeight="1">
      <c r="A37" s="1"/>
      <c r="B37" s="1" t="s">
        <v>1023</v>
      </c>
      <c r="C37" s="83" t="s">
        <v>988</v>
      </c>
      <c r="D37" s="13"/>
      <c r="E37" s="13"/>
      <c r="F37" s="13"/>
      <c r="G37" s="13"/>
      <c r="H37" s="13"/>
      <c r="I37" s="13"/>
      <c r="J37" s="13"/>
      <c r="K37" s="11" t="s">
        <v>864</v>
      </c>
    </row>
    <row r="38" ht="15" customHeight="1">
      <c r="A38" s="1"/>
      <c r="B38" s="1" t="s">
        <v>1024</v>
      </c>
      <c r="C38" s="83" t="s">
        <v>1025</v>
      </c>
      <c r="D38" s="13"/>
      <c r="E38" s="13"/>
      <c r="F38" s="13"/>
      <c r="G38" s="13"/>
      <c r="H38" s="13"/>
      <c r="I38" s="13"/>
      <c r="J38" s="13"/>
      <c r="K38" s="11" t="s">
        <v>864</v>
      </c>
    </row>
    <row r="39" ht="15" customHeight="1">
      <c r="A39" s="1"/>
      <c r="B39" s="1" t="s">
        <v>993</v>
      </c>
      <c r="C39" s="12" t="s">
        <v>994</v>
      </c>
      <c r="D39" s="13"/>
      <c r="E39" s="13"/>
      <c r="F39" s="13"/>
      <c r="G39" s="13"/>
      <c r="H39" s="13"/>
      <c r="I39" s="13"/>
      <c r="J39" s="13"/>
      <c r="K39" s="11" t="s">
        <v>1026</v>
      </c>
    </row>
    <row r="40" ht="15" customHeight="1">
      <c r="A40" s="1"/>
      <c r="B40" s="1" t="s">
        <v>1027</v>
      </c>
      <c r="C40" s="73">
        <v>23</v>
      </c>
      <c r="D40" s="13"/>
      <c r="E40" s="13"/>
      <c r="F40" s="13"/>
      <c r="G40" s="13"/>
      <c r="H40" s="13"/>
      <c r="I40" s="13"/>
      <c r="J40" s="13"/>
      <c r="K40" s="11" t="s">
        <v>864</v>
      </c>
    </row>
    <row r="41" ht="15" customHeight="1">
      <c r="A41" s="1"/>
      <c r="B41" s="1" t="s">
        <v>1028</v>
      </c>
      <c r="C41" s="73">
        <v>23</v>
      </c>
      <c r="D41" s="13"/>
      <c r="E41" s="13"/>
      <c r="F41" s="13"/>
      <c r="G41" s="13"/>
      <c r="H41" s="13"/>
      <c r="I41" s="13"/>
      <c r="J41" s="13"/>
      <c r="K41" s="11" t="s">
        <v>864</v>
      </c>
    </row>
    <row r="42" ht="15" customHeight="1">
      <c r="A42" s="1"/>
      <c r="B42" s="4" t="s">
        <v>1029</v>
      </c>
      <c r="C42" s="13"/>
      <c r="D42" s="13"/>
      <c r="E42" s="13"/>
      <c r="F42" s="13"/>
      <c r="G42" s="13"/>
      <c r="H42" s="13"/>
      <c r="I42" s="13"/>
      <c r="J42" s="13"/>
      <c r="K42" s="11" t="s">
        <v>1030</v>
      </c>
    </row>
    <row r="43" ht="15" customHeight="1">
      <c r="A43" s="1"/>
      <c r="B43" s="1" t="s">
        <v>1031</v>
      </c>
      <c r="C43" s="28">
        <v>1.41</v>
      </c>
      <c r="D43" s="13"/>
      <c r="E43" s="13"/>
      <c r="F43" s="13"/>
      <c r="G43" s="13"/>
      <c r="H43" s="13"/>
      <c r="I43" s="13"/>
      <c r="J43" s="13"/>
      <c r="K43" s="11" t="s">
        <v>864</v>
      </c>
    </row>
    <row r="44" ht="15" customHeight="1">
      <c r="A44" s="1"/>
      <c r="B44" s="1" t="s">
        <v>1032</v>
      </c>
      <c r="C44" s="28">
        <v>1.42</v>
      </c>
      <c r="D44" s="13"/>
      <c r="E44" s="13"/>
      <c r="F44" s="13"/>
      <c r="G44" s="13"/>
      <c r="H44" s="13"/>
      <c r="I44" s="13"/>
      <c r="J44" s="13"/>
      <c r="K44" s="11" t="s">
        <v>864</v>
      </c>
    </row>
    <row r="45" ht="15" customHeight="1">
      <c r="A45" s="1"/>
      <c r="B45" s="1" t="s">
        <v>1033</v>
      </c>
      <c r="C45" s="28">
        <v>1.44</v>
      </c>
      <c r="D45" s="13"/>
      <c r="E45" s="13"/>
      <c r="F45" s="13"/>
      <c r="G45" s="13"/>
      <c r="H45" s="13"/>
      <c r="I45" s="13"/>
      <c r="J45" s="13"/>
      <c r="K45" s="11" t="s">
        <v>864</v>
      </c>
    </row>
    <row r="46" ht="15" customHeight="1">
      <c r="A46" s="1"/>
      <c r="B46" s="1" t="s">
        <v>1034</v>
      </c>
      <c r="C46" s="28">
        <v>1.31</v>
      </c>
      <c r="D46" s="13"/>
      <c r="E46" s="13"/>
      <c r="F46" s="13"/>
      <c r="G46" s="13"/>
      <c r="H46" s="13"/>
      <c r="I46" s="13"/>
      <c r="J46" s="13"/>
      <c r="K46" s="11" t="s">
        <v>864</v>
      </c>
    </row>
    <row r="47" ht="15" customHeight="1">
      <c r="A47" s="1"/>
      <c r="B47" s="1" t="s">
        <v>1035</v>
      </c>
      <c r="C47" s="28">
        <v>0.02</v>
      </c>
      <c r="D47" s="13"/>
      <c r="E47" s="13"/>
      <c r="F47" s="13"/>
      <c r="G47" s="13"/>
      <c r="H47" s="13"/>
      <c r="I47" s="13"/>
      <c r="J47" s="13"/>
      <c r="K47" s="11" t="s">
        <v>864</v>
      </c>
    </row>
    <row r="48" ht="15" customHeight="1">
      <c r="A48" s="1"/>
      <c r="B48" s="1" t="s">
        <v>1036</v>
      </c>
      <c r="C48" s="73">
        <v>23</v>
      </c>
      <c r="D48" s="13"/>
      <c r="E48" s="13"/>
      <c r="F48" s="13"/>
      <c r="G48" s="13"/>
      <c r="H48" s="13"/>
      <c r="I48" s="13"/>
      <c r="J48" s="13"/>
      <c r="K48" s="11" t="s">
        <v>864</v>
      </c>
    </row>
    <row r="49" ht="15" customHeight="1">
      <c r="A49" s="1"/>
      <c r="B49" s="4" t="s">
        <v>1037</v>
      </c>
      <c r="C49" s="13"/>
      <c r="D49" s="13"/>
      <c r="E49" s="13"/>
      <c r="F49" s="13"/>
      <c r="G49" s="13"/>
      <c r="H49" s="13"/>
      <c r="I49" s="13"/>
      <c r="J49" s="13"/>
      <c r="K49" s="11" t="s">
        <v>1030</v>
      </c>
    </row>
    <row r="50" ht="15" customHeight="1">
      <c r="A50" s="1"/>
      <c r="B50" s="1" t="s">
        <v>1038</v>
      </c>
      <c r="C50" s="28">
        <v>1.38</v>
      </c>
      <c r="D50" s="13"/>
      <c r="E50" s="13"/>
      <c r="F50" s="13"/>
      <c r="G50" s="13"/>
      <c r="H50" s="13"/>
      <c r="I50" s="13"/>
      <c r="J50" s="13"/>
      <c r="K50" s="11" t="s">
        <v>864</v>
      </c>
    </row>
    <row r="51" ht="15" customHeight="1">
      <c r="A51" s="1"/>
      <c r="B51" s="1" t="s">
        <v>1039</v>
      </c>
      <c r="C51" s="28">
        <v>1.46</v>
      </c>
      <c r="D51" s="13"/>
      <c r="E51" s="13"/>
      <c r="F51" s="13"/>
      <c r="G51" s="13"/>
      <c r="H51" s="13"/>
      <c r="I51" s="13"/>
      <c r="J51" s="13"/>
      <c r="K51" s="11" t="s">
        <v>864</v>
      </c>
    </row>
    <row r="52" ht="15" customHeight="1">
      <c r="A52" s="1"/>
      <c r="B52" s="1" t="s">
        <v>1040</v>
      </c>
      <c r="C52" s="28">
        <v>0.96</v>
      </c>
      <c r="D52" s="13"/>
      <c r="E52" s="13"/>
      <c r="F52" s="13"/>
      <c r="G52" s="13"/>
      <c r="H52" s="13"/>
      <c r="I52" s="13"/>
      <c r="J52" s="13"/>
      <c r="K52" s="11" t="s">
        <v>864</v>
      </c>
    </row>
    <row r="53" ht="15" customHeight="1">
      <c r="A53" s="1"/>
      <c r="B53" s="1" t="s">
        <v>1041</v>
      </c>
      <c r="C53" s="28">
        <v>1.03</v>
      </c>
      <c r="D53" s="13"/>
      <c r="E53" s="13"/>
      <c r="F53" s="13"/>
      <c r="G53" s="13"/>
      <c r="H53" s="13"/>
      <c r="I53" s="13"/>
      <c r="J53" s="13"/>
      <c r="K53" s="11" t="s">
        <v>864</v>
      </c>
    </row>
    <row r="54" ht="15" customHeight="1">
      <c r="A54" s="1"/>
      <c r="B54" s="1" t="s">
        <v>1042</v>
      </c>
      <c r="C54" s="28">
        <v>1.2</v>
      </c>
      <c r="D54" s="13"/>
      <c r="E54" s="13"/>
      <c r="F54" s="13"/>
      <c r="G54" s="13"/>
      <c r="H54" s="13"/>
      <c r="I54" s="13"/>
      <c r="J54" s="13"/>
      <c r="K54" s="11" t="s">
        <v>864</v>
      </c>
    </row>
    <row r="55" ht="15" customHeight="1">
      <c r="A55" s="1"/>
      <c r="B55" s="1" t="s">
        <v>1043</v>
      </c>
      <c r="C55" s="28">
        <v>0.62</v>
      </c>
      <c r="D55" s="13"/>
      <c r="E55" s="13"/>
      <c r="F55" s="13"/>
      <c r="G55" s="13"/>
      <c r="H55" s="13"/>
      <c r="I55" s="13"/>
      <c r="J55" s="13"/>
      <c r="K55" s="11" t="s">
        <v>864</v>
      </c>
    </row>
    <row r="56" ht="15" customHeight="1">
      <c r="A56" s="1"/>
      <c r="B56" s="1" t="s">
        <v>1044</v>
      </c>
      <c r="C56" s="28">
        <v>0.16</v>
      </c>
      <c r="D56" s="13"/>
      <c r="E56" s="13"/>
      <c r="F56" s="13"/>
      <c r="G56" s="13"/>
      <c r="H56" s="13"/>
      <c r="I56" s="13"/>
      <c r="J56" s="13"/>
      <c r="K56" s="11" t="s">
        <v>864</v>
      </c>
    </row>
    <row r="57" ht="15" customHeight="1">
      <c r="A57" s="1"/>
      <c r="B57" s="1" t="s">
        <v>1045</v>
      </c>
      <c r="C57" s="73">
        <v>11</v>
      </c>
      <c r="D57" s="13"/>
      <c r="E57" s="13"/>
      <c r="F57" s="13"/>
      <c r="G57" s="13"/>
      <c r="H57" s="13"/>
      <c r="I57" s="13"/>
      <c r="J57" s="13"/>
      <c r="K57" s="11" t="s">
        <v>864</v>
      </c>
    </row>
    <row r="58" ht="15" customHeight="1">
      <c r="A58" s="1"/>
      <c r="B58" s="4" t="s">
        <v>1046</v>
      </c>
      <c r="C58" s="13"/>
      <c r="D58" s="13"/>
      <c r="E58" s="13"/>
      <c r="F58" s="13"/>
      <c r="G58" s="13"/>
      <c r="H58" s="13"/>
      <c r="I58" s="13"/>
      <c r="J58" s="13"/>
      <c r="K58" s="11" t="s">
        <v>1030</v>
      </c>
    </row>
    <row r="59" ht="15" customHeight="1">
      <c r="A59" s="1"/>
      <c r="B59" s="4" t="s">
        <v>1047</v>
      </c>
      <c r="C59" s="13"/>
      <c r="D59" s="13"/>
      <c r="E59" s="13"/>
      <c r="F59" s="13"/>
      <c r="G59" s="13"/>
      <c r="H59" s="13"/>
      <c r="I59" s="13"/>
      <c r="J59" s="13"/>
      <c r="K59" s="11" t="s">
        <v>1030</v>
      </c>
    </row>
    <row r="60" ht="15" customHeight="1">
      <c r="A60" s="1"/>
      <c r="B60" s="4" t="s">
        <v>1048</v>
      </c>
      <c r="C60" s="13"/>
      <c r="D60" s="13"/>
      <c r="E60" s="13"/>
      <c r="F60" s="13"/>
      <c r="G60" s="13"/>
      <c r="H60" s="13"/>
      <c r="I60" s="13"/>
      <c r="J60" s="13"/>
      <c r="K60" s="11" t="s">
        <v>1030</v>
      </c>
    </row>
    <row r="61" ht="15" customHeight="1">
      <c r="A61" s="1"/>
      <c r="B61" s="1" t="s">
        <v>1049</v>
      </c>
      <c r="C61" s="84">
        <v>12990.17</v>
      </c>
      <c r="D61" s="13"/>
      <c r="E61" s="13"/>
      <c r="F61" s="13"/>
      <c r="G61" s="13"/>
      <c r="H61" s="13"/>
      <c r="I61" s="13"/>
      <c r="J61" s="13"/>
      <c r="K61" s="11" t="s">
        <v>864</v>
      </c>
    </row>
    <row r="62" ht="15" customHeight="1">
      <c r="A62" s="1"/>
      <c r="B62" s="1" t="s">
        <v>1050</v>
      </c>
      <c r="C62" s="84">
        <v>12986.65</v>
      </c>
      <c r="D62" s="13"/>
      <c r="E62" s="13"/>
      <c r="F62" s="13"/>
      <c r="G62" s="13"/>
      <c r="H62" s="13"/>
      <c r="I62" s="13"/>
      <c r="J62" s="13"/>
      <c r="K62" s="11" t="s">
        <v>864</v>
      </c>
    </row>
    <row r="63" ht="15" customHeight="1">
      <c r="A63" s="1"/>
      <c r="B63" s="1" t="s">
        <v>1051</v>
      </c>
      <c r="C63" s="84">
        <v>13144</v>
      </c>
      <c r="D63" s="13"/>
      <c r="E63" s="13"/>
      <c r="F63" s="13"/>
      <c r="G63" s="13"/>
      <c r="H63" s="13"/>
      <c r="I63" s="13"/>
      <c r="J63" s="13"/>
      <c r="K63" s="11" t="s">
        <v>864</v>
      </c>
    </row>
    <row r="64" ht="15" customHeight="1">
      <c r="A64" s="1"/>
      <c r="B64" s="1" t="s">
        <v>1052</v>
      </c>
      <c r="C64" s="84">
        <v>12926</v>
      </c>
      <c r="D64" s="13"/>
      <c r="E64" s="13"/>
      <c r="F64" s="13"/>
      <c r="G64" s="13"/>
      <c r="H64" s="13"/>
      <c r="I64" s="13"/>
      <c r="J64" s="13"/>
      <c r="K64" s="11" t="s">
        <v>864</v>
      </c>
    </row>
    <row r="65" ht="15" customHeight="1">
      <c r="A65" s="1"/>
      <c r="B65" s="1" t="s">
        <v>1053</v>
      </c>
      <c r="C65" s="84">
        <v>54.86</v>
      </c>
      <c r="D65" s="13"/>
      <c r="E65" s="13"/>
      <c r="F65" s="13"/>
      <c r="G65" s="13"/>
      <c r="H65" s="13"/>
      <c r="I65" s="13"/>
      <c r="J65" s="13"/>
      <c r="K65" s="11" t="s">
        <v>864</v>
      </c>
    </row>
    <row r="66" ht="15" customHeight="1">
      <c r="A66" s="1"/>
      <c r="B66" s="1" t="s">
        <v>1054</v>
      </c>
      <c r="C66" s="73">
        <v>24</v>
      </c>
      <c r="D66" s="13"/>
      <c r="E66" s="13"/>
      <c r="F66" s="13"/>
      <c r="G66" s="13"/>
      <c r="H66" s="13"/>
      <c r="I66" s="13"/>
      <c r="J66" s="13"/>
      <c r="K66" s="11" t="s">
        <v>864</v>
      </c>
    </row>
    <row r="67" ht="15" customHeight="1">
      <c r="A67" s="1"/>
      <c r="B67" s="4" t="s">
        <v>1055</v>
      </c>
      <c r="C67" s="13"/>
      <c r="D67" s="13"/>
      <c r="E67" s="13"/>
      <c r="F67" s="13"/>
      <c r="G67" s="13"/>
      <c r="H67" s="13"/>
      <c r="I67" s="13"/>
      <c r="J67" s="13"/>
      <c r="K67" s="11" t="s">
        <v>1030</v>
      </c>
    </row>
    <row r="68" ht="15" customHeight="1">
      <c r="A68" s="1"/>
      <c r="B68" s="4" t="s">
        <v>1056</v>
      </c>
      <c r="C68" s="13"/>
      <c r="D68" s="13"/>
      <c r="E68" s="13"/>
      <c r="F68" s="13"/>
      <c r="G68" s="13"/>
      <c r="H68" s="13"/>
      <c r="I68" s="13"/>
      <c r="J68" s="13"/>
      <c r="K68" s="11" t="s">
        <v>1030</v>
      </c>
    </row>
    <row r="69" ht="15" customHeight="1">
      <c r="A69" s="1"/>
      <c r="B69" s="4" t="s">
        <v>1057</v>
      </c>
      <c r="C69" s="13"/>
      <c r="D69" s="13"/>
      <c r="E69" s="13"/>
      <c r="F69" s="13"/>
      <c r="G69" s="13"/>
      <c r="H69" s="13"/>
      <c r="I69" s="13"/>
      <c r="J69" s="13"/>
      <c r="K69" s="11" t="s">
        <v>1030</v>
      </c>
    </row>
    <row r="70" ht="15" customHeight="1">
      <c r="A70" s="1"/>
      <c r="B70" s="1" t="s">
        <v>1058</v>
      </c>
      <c r="C70" s="84">
        <v>3449.7</v>
      </c>
      <c r="D70" s="13"/>
      <c r="E70" s="13"/>
      <c r="F70" s="13"/>
      <c r="G70" s="13"/>
      <c r="H70" s="13"/>
      <c r="I70" s="13"/>
      <c r="J70" s="13"/>
      <c r="K70" s="11" t="s">
        <v>864</v>
      </c>
    </row>
    <row r="71" ht="15" customHeight="1">
      <c r="A71" s="1"/>
      <c r="B71" s="1" t="s">
        <v>1059</v>
      </c>
      <c r="C71" s="84">
        <v>3072.16</v>
      </c>
      <c r="D71" s="13"/>
      <c r="E71" s="13"/>
      <c r="F71" s="13"/>
      <c r="G71" s="13"/>
      <c r="H71" s="13"/>
      <c r="I71" s="13"/>
      <c r="J71" s="13"/>
      <c r="K71" s="11" t="s">
        <v>864</v>
      </c>
    </row>
    <row r="72" ht="15" customHeight="1">
      <c r="A72" s="1"/>
      <c r="B72" s="1" t="s">
        <v>1060</v>
      </c>
      <c r="C72" s="84">
        <v>2925.82</v>
      </c>
      <c r="D72" s="13"/>
      <c r="E72" s="13"/>
      <c r="F72" s="13"/>
      <c r="G72" s="13"/>
      <c r="H72" s="13"/>
      <c r="I72" s="13"/>
      <c r="J72" s="13"/>
      <c r="K72" s="11" t="s">
        <v>864</v>
      </c>
    </row>
    <row r="73" ht="15" customHeight="1">
      <c r="A73" s="1"/>
      <c r="B73" s="1" t="s">
        <v>1061</v>
      </c>
      <c r="C73" s="84">
        <v>1999</v>
      </c>
      <c r="D73" s="13"/>
      <c r="E73" s="13"/>
      <c r="F73" s="13"/>
      <c r="G73" s="13"/>
      <c r="H73" s="13"/>
      <c r="I73" s="13"/>
      <c r="J73" s="13"/>
      <c r="K73" s="11" t="s">
        <v>864</v>
      </c>
    </row>
    <row r="74" ht="15" customHeight="1">
      <c r="A74" s="1"/>
      <c r="B74" s="1" t="s">
        <v>1062</v>
      </c>
      <c r="C74" s="84">
        <v>2478.36</v>
      </c>
      <c r="D74" s="13"/>
      <c r="E74" s="13"/>
      <c r="F74" s="13"/>
      <c r="G74" s="13"/>
      <c r="H74" s="13"/>
      <c r="I74" s="13"/>
      <c r="J74" s="13"/>
      <c r="K74" s="11" t="s">
        <v>864</v>
      </c>
    </row>
    <row r="75" ht="15" customHeight="1">
      <c r="A75" s="1"/>
      <c r="B75" s="1" t="s">
        <v>1063</v>
      </c>
      <c r="C75" s="84">
        <v>1761.75</v>
      </c>
      <c r="D75" s="13"/>
      <c r="E75" s="13"/>
      <c r="F75" s="13"/>
      <c r="G75" s="13"/>
      <c r="H75" s="13"/>
      <c r="I75" s="13"/>
      <c r="J75" s="13"/>
      <c r="K75" s="11" t="s">
        <v>864</v>
      </c>
    </row>
    <row r="76" ht="15" customHeight="1">
      <c r="A76" s="1"/>
      <c r="B76" s="4" t="s">
        <v>1064</v>
      </c>
      <c r="C76" s="13"/>
      <c r="D76" s="13"/>
      <c r="E76" s="13"/>
      <c r="F76" s="13"/>
      <c r="G76" s="13"/>
      <c r="H76" s="13"/>
      <c r="I76" s="13"/>
      <c r="J76" s="13"/>
      <c r="K76" s="11" t="s">
        <v>1030</v>
      </c>
    </row>
    <row r="77" ht="15" customHeight="1">
      <c r="A77" s="1"/>
      <c r="B77" s="4" t="s">
        <v>1065</v>
      </c>
      <c r="C77" s="13"/>
      <c r="D77" s="13"/>
      <c r="E77" s="13"/>
      <c r="F77" s="13"/>
      <c r="G77" s="13"/>
      <c r="H77" s="13"/>
      <c r="I77" s="13"/>
      <c r="J77" s="13"/>
      <c r="K77" s="11" t="s">
        <v>1030</v>
      </c>
    </row>
    <row r="78" ht="15" customHeight="1">
      <c r="A78" s="1"/>
      <c r="B78" s="1" t="s">
        <v>1066</v>
      </c>
      <c r="C78" s="84">
        <v>404</v>
      </c>
      <c r="D78" s="13"/>
      <c r="E78" s="13"/>
      <c r="F78" s="13"/>
      <c r="G78" s="13"/>
      <c r="H78" s="13"/>
      <c r="I78" s="13"/>
      <c r="J78" s="13"/>
      <c r="K78" s="11" t="s">
        <v>864</v>
      </c>
    </row>
    <row r="79" ht="15" customHeight="1">
      <c r="A79" s="1"/>
      <c r="B79" s="4" t="s">
        <v>1067</v>
      </c>
      <c r="C79" s="13"/>
      <c r="D79" s="13"/>
      <c r="E79" s="13"/>
      <c r="F79" s="13"/>
      <c r="G79" s="13"/>
      <c r="H79" s="13"/>
      <c r="I79" s="13"/>
      <c r="J79" s="13"/>
      <c r="K79" s="11" t="s">
        <v>1030</v>
      </c>
    </row>
    <row r="80" ht="15" customHeight="1">
      <c r="A80" s="1"/>
      <c r="B80" s="4" t="s">
        <v>1068</v>
      </c>
      <c r="C80" s="13"/>
      <c r="D80" s="13"/>
      <c r="E80" s="13"/>
      <c r="F80" s="13"/>
      <c r="G80" s="13"/>
      <c r="H80" s="13"/>
      <c r="I80" s="13"/>
      <c r="J80" s="13"/>
      <c r="K80" s="11" t="s">
        <v>1030</v>
      </c>
    </row>
    <row r="81" ht="15" customHeight="1">
      <c r="A81" s="1"/>
      <c r="B81" s="4" t="s">
        <v>1069</v>
      </c>
      <c r="C81" s="13"/>
      <c r="D81" s="13"/>
      <c r="E81" s="13"/>
      <c r="F81" s="13"/>
      <c r="G81" s="13"/>
      <c r="H81" s="13"/>
      <c r="I81" s="13"/>
      <c r="J81" s="13"/>
      <c r="K81" s="11" t="s">
        <v>1030</v>
      </c>
    </row>
    <row r="82" ht="15" customHeight="1">
      <c r="A82" s="1"/>
      <c r="B82" s="1" t="s">
        <v>1070</v>
      </c>
      <c r="C82" s="84">
        <v>-290.9</v>
      </c>
      <c r="D82" s="13"/>
      <c r="E82" s="13"/>
      <c r="F82" s="13"/>
      <c r="G82" s="13"/>
      <c r="H82" s="13"/>
      <c r="I82" s="13"/>
      <c r="J82" s="13"/>
      <c r="K82" s="11" t="s">
        <v>864</v>
      </c>
    </row>
    <row r="83" ht="15" customHeight="1">
      <c r="A83" s="1"/>
      <c r="B83" s="1" t="s">
        <v>1071</v>
      </c>
      <c r="C83" s="84">
        <v>25897.41</v>
      </c>
      <c r="D83" s="13"/>
      <c r="E83" s="13"/>
      <c r="F83" s="13"/>
      <c r="G83" s="13"/>
      <c r="H83" s="13"/>
      <c r="I83" s="13"/>
      <c r="J83" s="13"/>
      <c r="K83" s="11" t="s">
        <v>864</v>
      </c>
    </row>
    <row r="84" ht="15" customHeight="1">
      <c r="A84" s="1"/>
      <c r="B84" s="4" t="s">
        <v>1072</v>
      </c>
      <c r="C84" s="13"/>
      <c r="D84" s="13"/>
      <c r="E84" s="13"/>
      <c r="F84" s="13"/>
      <c r="G84" s="13"/>
      <c r="H84" s="13"/>
      <c r="I84" s="13"/>
      <c r="J84" s="13"/>
      <c r="K84" s="11" t="s">
        <v>1030</v>
      </c>
    </row>
    <row r="85" ht="15" customHeight="1">
      <c r="A85" s="1"/>
      <c r="B85" s="4" t="s">
        <v>1073</v>
      </c>
      <c r="C85" s="13"/>
      <c r="D85" s="13"/>
      <c r="E85" s="13"/>
      <c r="F85" s="13"/>
      <c r="G85" s="13"/>
      <c r="H85" s="13"/>
      <c r="I85" s="13"/>
      <c r="J85" s="13"/>
      <c r="K85" s="11" t="s">
        <v>1030</v>
      </c>
    </row>
    <row r="86" ht="15" customHeight="1">
      <c r="A86" s="1"/>
      <c r="B86" s="1" t="s">
        <v>1074</v>
      </c>
      <c r="C86" s="28">
        <v>120.72</v>
      </c>
      <c r="D86" s="13"/>
      <c r="E86" s="13"/>
      <c r="F86" s="13"/>
      <c r="G86" s="13"/>
      <c r="H86" s="13"/>
      <c r="I86" s="13"/>
      <c r="J86" s="13"/>
      <c r="K86" s="11" t="s">
        <v>864</v>
      </c>
    </row>
    <row r="87" ht="15" customHeight="1">
      <c r="A87" s="1"/>
      <c r="B87" s="1" t="s">
        <v>1075</v>
      </c>
      <c r="C87" s="28">
        <v>120</v>
      </c>
      <c r="D87" s="13"/>
      <c r="E87" s="13"/>
      <c r="F87" s="13"/>
      <c r="G87" s="13"/>
      <c r="H87" s="13"/>
      <c r="I87" s="13"/>
      <c r="J87" s="13"/>
      <c r="K87" s="11" t="s">
        <v>864</v>
      </c>
    </row>
    <row r="88" ht="15" customHeight="1">
      <c r="A88" s="1"/>
      <c r="B88" s="1" t="s">
        <v>1076</v>
      </c>
      <c r="C88" s="28">
        <v>135</v>
      </c>
      <c r="D88" s="13"/>
      <c r="E88" s="13"/>
      <c r="F88" s="13"/>
      <c r="G88" s="13"/>
      <c r="H88" s="13"/>
      <c r="I88" s="13"/>
      <c r="J88" s="13"/>
      <c r="K88" s="11" t="s">
        <v>864</v>
      </c>
    </row>
    <row r="89" ht="15" customHeight="1">
      <c r="A89" s="1"/>
      <c r="B89" s="1" t="s">
        <v>1077</v>
      </c>
      <c r="C89" s="28">
        <v>103</v>
      </c>
      <c r="D89" s="13"/>
      <c r="E89" s="13"/>
      <c r="F89" s="13"/>
      <c r="G89" s="13"/>
      <c r="H89" s="13"/>
      <c r="I89" s="13"/>
      <c r="J89" s="13"/>
      <c r="K89" s="11" t="s">
        <v>864</v>
      </c>
    </row>
    <row r="90" ht="15" customHeight="1">
      <c r="A90" s="1"/>
      <c r="B90" s="1" t="s">
        <v>1078</v>
      </c>
      <c r="C90" s="28">
        <v>8.16</v>
      </c>
      <c r="D90" s="13"/>
      <c r="E90" s="13"/>
      <c r="F90" s="13"/>
      <c r="G90" s="13"/>
      <c r="H90" s="13"/>
      <c r="I90" s="13"/>
      <c r="J90" s="13"/>
      <c r="K90" s="11" t="s">
        <v>864</v>
      </c>
    </row>
    <row r="91" ht="15" customHeight="1">
      <c r="A91" s="1"/>
      <c r="B91" s="1" t="s">
        <v>1079</v>
      </c>
      <c r="C91" s="73">
        <v>26</v>
      </c>
      <c r="D91" s="13"/>
      <c r="E91" s="13"/>
      <c r="F91" s="13"/>
      <c r="G91" s="13"/>
      <c r="H91" s="13"/>
      <c r="I91" s="13"/>
      <c r="J91" s="13"/>
      <c r="K91" s="11" t="s">
        <v>864</v>
      </c>
    </row>
    <row r="92" ht="15" customHeight="1">
      <c r="A92" s="1"/>
      <c r="B92" s="1" t="s">
        <v>1080</v>
      </c>
      <c r="C92" s="12" t="s">
        <v>1081</v>
      </c>
      <c r="D92" s="13"/>
      <c r="E92" s="13"/>
      <c r="F92" s="13"/>
      <c r="G92" s="13"/>
      <c r="H92" s="13"/>
      <c r="I92" s="13"/>
      <c r="J92" s="13"/>
      <c r="K92" s="11" t="s">
        <v>864</v>
      </c>
    </row>
    <row r="93" ht="15" customHeight="1">
      <c r="A93" s="1"/>
      <c r="B93" s="1" t="s">
        <v>1082</v>
      </c>
      <c r="C93" s="85">
        <v>1.46</v>
      </c>
      <c r="D93" s="13"/>
      <c r="E93" s="13"/>
      <c r="F93" s="13"/>
      <c r="G93" s="13"/>
      <c r="H93" s="13"/>
      <c r="I93" s="13"/>
      <c r="J93" s="13"/>
      <c r="K93" s="11" t="s">
        <v>864</v>
      </c>
    </row>
    <row r="94" ht="15" customHeight="1">
      <c r="A94" s="1"/>
      <c r="B94" s="1" t="s">
        <v>1083</v>
      </c>
      <c r="C94" s="28">
        <v>104.89</v>
      </c>
      <c r="D94" s="13"/>
      <c r="E94" s="13"/>
      <c r="F94" s="13"/>
      <c r="G94" s="13"/>
      <c r="H94" s="13"/>
      <c r="I94" s="13"/>
      <c r="J94" s="13"/>
      <c r="K94" s="11" t="s">
        <v>864</v>
      </c>
    </row>
    <row r="95" ht="15" customHeight="1">
      <c r="A95" s="1"/>
      <c r="B95" s="1" t="s">
        <v>1084</v>
      </c>
      <c r="C95" s="12" t="s">
        <v>1085</v>
      </c>
      <c r="D95" s="13"/>
      <c r="E95" s="13"/>
      <c r="F95" s="13"/>
      <c r="G95" s="13"/>
      <c r="H95" s="13"/>
      <c r="I95" s="13"/>
      <c r="J95" s="13"/>
      <c r="K95" s="11" t="s">
        <v>864</v>
      </c>
    </row>
    <row r="96" ht="15" customHeight="1">
      <c r="A96" s="1"/>
      <c r="B96" s="1" t="s">
        <v>1086</v>
      </c>
      <c r="C96" s="83" t="s">
        <v>990</v>
      </c>
      <c r="D96" s="13"/>
      <c r="E96" s="13"/>
      <c r="F96" s="13"/>
      <c r="G96" s="13"/>
      <c r="H96" s="13"/>
      <c r="I96" s="13"/>
      <c r="J96" s="13"/>
      <c r="K96" s="11" t="s">
        <v>864</v>
      </c>
    </row>
    <row r="97" ht="15" customHeight="1">
      <c r="A97" s="1"/>
      <c r="B97" s="1" t="s">
        <v>1087</v>
      </c>
      <c r="C97" s="12" t="s">
        <v>994</v>
      </c>
      <c r="D97" s="13"/>
      <c r="E97" s="13"/>
      <c r="F97" s="13"/>
      <c r="G97" s="13"/>
      <c r="H97" s="13"/>
      <c r="I97" s="13"/>
      <c r="J97" s="13"/>
      <c r="K97" s="11" t="s">
        <v>1088</v>
      </c>
    </row>
    <row r="98" ht="1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1"/>
    </row>
    <row r="99" ht="15" customHeight="1">
      <c r="A99" s="1"/>
      <c r="B99" s="3" t="s">
        <v>1089</v>
      </c>
      <c r="C99" s="1"/>
      <c r="D99" s="1"/>
      <c r="E99" s="1"/>
      <c r="F99" s="1"/>
      <c r="G99" s="1"/>
      <c r="H99" s="1"/>
      <c r="I99" s="1"/>
      <c r="J99" s="1"/>
      <c r="K99" s="11"/>
    </row>
    <row r="100" ht="15" customHeight="1">
      <c r="A100" s="1"/>
      <c r="B100" s="80" t="s">
        <v>987</v>
      </c>
      <c r="C100" s="15" t="s">
        <v>1090</v>
      </c>
      <c r="D100" s="15" t="s">
        <v>1091</v>
      </c>
      <c r="E100" s="15" t="s">
        <v>1092</v>
      </c>
      <c r="F100" s="15" t="s">
        <v>1093</v>
      </c>
      <c r="G100" s="15" t="s">
        <v>1094</v>
      </c>
      <c r="H100" s="15" t="s">
        <v>1095</v>
      </c>
      <c r="I100" s="15" t="s">
        <v>1096</v>
      </c>
      <c r="J100" s="15" t="s">
        <v>1097</v>
      </c>
      <c r="K100" s="16" t="s">
        <v>1098</v>
      </c>
    </row>
    <row r="101" ht="15" customHeight="1">
      <c r="A101" s="1"/>
      <c r="B101" s="86">
        <v>45747</v>
      </c>
      <c r="C101" s="83" t="s">
        <v>1099</v>
      </c>
      <c r="D101" s="28">
        <v>1.07</v>
      </c>
      <c r="E101" s="28">
        <v>1.09</v>
      </c>
      <c r="F101" s="28">
        <v>0.78</v>
      </c>
      <c r="G101" s="28">
        <v>0.76</v>
      </c>
      <c r="H101" s="84">
        <v>10416.96</v>
      </c>
      <c r="I101" s="84">
        <v>10358</v>
      </c>
      <c r="J101" s="32">
        <f t="shared" si="0" ref="J101:J106">E101-D101</f>
        <v>0.020000000000000018</v>
      </c>
      <c r="K101" s="11" t="s">
        <v>1100</v>
      </c>
    </row>
    <row r="102" ht="15" customHeight="1">
      <c r="A102" s="1"/>
      <c r="B102" s="86">
        <v>45838</v>
      </c>
      <c r="C102" s="83" t="s">
        <v>1101</v>
      </c>
      <c r="D102" s="28">
        <v>1.26</v>
      </c>
      <c r="E102" s="28">
        <v>1.26</v>
      </c>
      <c r="F102" s="28">
        <v>0.99</v>
      </c>
      <c r="G102" s="28">
        <v>1.01</v>
      </c>
      <c r="H102" s="84">
        <v>11057.89</v>
      </c>
      <c r="I102" s="84">
        <v>11142</v>
      </c>
      <c r="J102" s="32">
        <f t="shared" si="0"/>
        <v>0</v>
      </c>
      <c r="K102" s="11" t="s">
        <v>1100</v>
      </c>
    </row>
    <row r="103" ht="15" customHeight="1">
      <c r="A103" s="1"/>
      <c r="B103" s="86">
        <v>45930</v>
      </c>
      <c r="C103" s="83" t="s">
        <v>1102</v>
      </c>
      <c r="D103" s="28">
        <v>1.3</v>
      </c>
      <c r="E103" s="28">
        <v>1.3</v>
      </c>
      <c r="F103" s="28">
        <v>1.04</v>
      </c>
      <c r="G103" s="28">
        <v>0.94</v>
      </c>
      <c r="H103" s="84">
        <v>11393.15</v>
      </c>
      <c r="I103" s="84">
        <v>11369</v>
      </c>
      <c r="J103" s="32">
        <f t="shared" si="0"/>
        <v>0</v>
      </c>
      <c r="K103" s="11" t="s">
        <v>1100</v>
      </c>
    </row>
    <row r="104" ht="15" customHeight="1">
      <c r="A104" s="1"/>
      <c r="B104" s="86">
        <v>46022</v>
      </c>
      <c r="C104" s="83" t="s">
        <v>1103</v>
      </c>
      <c r="D104" s="28">
        <v>1.49</v>
      </c>
      <c r="E104" s="28">
        <v>1.5</v>
      </c>
      <c r="F104" s="28">
        <v>1.21</v>
      </c>
      <c r="G104" s="28">
        <v>1.01</v>
      </c>
      <c r="H104" s="84">
        <v>11801.91</v>
      </c>
      <c r="I104" s="84">
        <v>11459</v>
      </c>
      <c r="J104" s="32">
        <f t="shared" si="0"/>
        <v>0.010000000000000009</v>
      </c>
      <c r="K104" s="11" t="s">
        <v>1100</v>
      </c>
    </row>
    <row r="105" ht="15" customHeight="1">
      <c r="A105" s="1"/>
      <c r="B105" s="86">
        <v>46112</v>
      </c>
      <c r="C105" s="83" t="s">
        <v>1104</v>
      </c>
      <c r="D105" s="28">
        <v>1.15</v>
      </c>
      <c r="E105" s="28">
        <v>1.15</v>
      </c>
      <c r="F105" s="28">
        <v>0.87</v>
      </c>
      <c r="G105" s="28">
        <v>0.61</v>
      </c>
      <c r="H105" s="84">
        <v>10997.71</v>
      </c>
      <c r="I105" s="84">
        <v>11164</v>
      </c>
      <c r="J105" s="32">
        <f t="shared" si="0"/>
        <v>0</v>
      </c>
      <c r="K105" s="11" t="s">
        <v>1100</v>
      </c>
    </row>
    <row r="106" ht="15" customHeight="1">
      <c r="A106" s="1"/>
      <c r="B106" s="86">
        <v>46203</v>
      </c>
      <c r="C106" s="83" t="s">
        <v>1105</v>
      </c>
      <c r="D106" s="28">
        <v>1.28</v>
      </c>
      <c r="E106" s="28">
        <v>1.31</v>
      </c>
      <c r="F106" s="28">
        <v>0.95</v>
      </c>
      <c r="G106" s="28">
        <v>0.53</v>
      </c>
      <c r="H106" s="84">
        <v>12516.64</v>
      </c>
      <c r="I106" s="84">
        <v>12593</v>
      </c>
      <c r="J106" s="32">
        <f t="shared" si="0"/>
        <v>0.030000000000000027</v>
      </c>
      <c r="K106" s="11" t="s">
        <v>1100</v>
      </c>
    </row>
    <row r="107" ht="1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1"/>
    </row>
    <row r="108" ht="15" customHeight="1">
      <c r="A108" s="1"/>
      <c r="B108" s="1" t="s">
        <v>1106</v>
      </c>
      <c r="C108" s="12" t="s">
        <v>1107</v>
      </c>
      <c r="D108" s="13"/>
      <c r="E108" s="13"/>
      <c r="F108" s="13"/>
      <c r="G108" s="13"/>
      <c r="H108" s="13"/>
      <c r="I108" s="13"/>
      <c r="J108" s="13"/>
      <c r="K108" s="11"/>
    </row>
    <row r="109" ht="15" customHeight="1">
      <c r="A109" s="1"/>
      <c r="B109" s="1" t="s">
        <v>1108</v>
      </c>
      <c r="C109" s="12" t="s">
        <v>1109</v>
      </c>
      <c r="D109" s="13"/>
      <c r="E109" s="13"/>
      <c r="F109" s="13"/>
      <c r="G109" s="13"/>
      <c r="H109" s="13"/>
      <c r="I109" s="13"/>
      <c r="J109" s="13"/>
      <c r="K109" s="1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2026-10-19T20:27:40Z</dcterms:created>
</cp:coreProperties>
</file>