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omments13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Electrification" sheetId="3"/>
    <sheet r:id="rId4" name="Segment - Motion" sheetId="4"/>
    <sheet r:id="rId5" name="Segment - Automation" sheetId="5"/>
    <sheet r:id="rId6" name="Income Statement" sheetId="6"/>
    <sheet r:id="rId7" name="Balance Sheet" sheetId="7"/>
    <sheet r:id="rId8" name="Cash Flow Statement" sheetId="8"/>
    <sheet r:id="rId9" name="Geo" sheetId="9"/>
    <sheet r:id="rId10" name="Share Count" sheetId="10"/>
    <sheet r:id="rId11" name="Guidance" sheetId="11"/>
    <sheet r:id="rId12" name="Sources" sheetId="12"/>
    <sheet r:id="rId13" name="Inputs" sheetId="13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32" authorId="0">
      <text>
        <r>
          <rPr>
            <sz val="9"/>
            <color rgb="FF000000"/>
            <rFont val="Arial"/>
            <family val="2"/>
          </rPr>
          <t>ABB-Q4-2025-financial-information.pdf | Key Figures (revenues, Corporate and Other) | 135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ABB-Q4-2025-financial-information.pdf | Key Figures (revenues, Corporate and Other) | 462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ABB-Q1-2026-financial-information.pdf | Key Figures (revenues, Corporate and Other) | 88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ABB Q2 2026 Financial Information.pdf | Key Figures (revenues, Corporate and Other) | 117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ABB-Q4-2025-financial-information.pdf | Key Figures (revenues, prior year) | 181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ABB-Q4-2025-financial-information.pdf | Key Figures (revenues, prior year) | 558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ABB-Q1-2026-financial-information.pdf | Key Figures (revenues, prior year) | 96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ABB Q2 2026 Financial Information.pdf | Key Figures (revenues, prior year) | 107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ABB-Q4-2025-financial-information.pdf | Key Figures (revenues, intersegment eliminations) | (288)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ABB-Q4-2025-financial-information.pdf | Key Figures (revenues, intersegment eliminations) | (930)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ABB-Q1-2026-financial-information.pdf | Key Figures (revenues, intersegment eliminations) | (256)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ABB Q2 2026 Financial Information.pdf | Key Figures (revenues, intersegment eliminations) | (252)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ABB-Q4-2025-financial-information.pdf | Key Figures (revenues, intersegment eliminations, prior year) | (236)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ABB-Q4-2025-financial-information.pdf | Key Figures (revenues, intersegment eliminations, prior year) | (902)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ABB-Q1-2026-financial-information.pdf | Key Figures (revenues, intersegment eliminations, prior year) | (197)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ABB Q2 2026 Financial Information.pdf | Key Figures (revenues, intersegment eliminations, prior year) | (218)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7,996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30,583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ABB-Q1-2026-financial-information.pdf | Key Figures (year-ago comparative) | 7,382</t>
        </r>
      </text>
    </comment>
    <comment ref="G47" authorId="0">
      <text>
        <r>
          <rPr>
            <sz val="9"/>
            <color rgb="FF000000"/>
            <rFont val="Arial"/>
            <family val="2"/>
          </rPr>
          <t>ABB Q2 2026 Financial Information.pdf | Key Figures (year-ago comparative) | 8,295</t>
        </r>
      </text>
    </comment>
    <comment ref="D50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9%</t>
        </r>
      </text>
    </comment>
    <comment ref="E50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7%</t>
        </r>
      </text>
    </comment>
    <comment ref="F50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12%</t>
        </r>
      </text>
    </comment>
    <comment ref="G50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12%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9%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7%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11%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12%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ABB-Q4-2025-financial-information.pdf | Key Figures (orders) | 202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ABB-Q4-2025-financial-information.pdf | Key Figures (orders) | 522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ABB-Q1-2026-financial-information.pdf | Key Figures (orders) | 72</t>
        </r>
      </text>
    </comment>
    <comment ref="G76" authorId="0">
      <text>
        <r>
          <rPr>
            <sz val="9"/>
            <color rgb="FF000000"/>
            <rFont val="Arial"/>
            <family val="2"/>
          </rPr>
          <t>ABB Q2 2026 Financial Information.pdf | Key Figures (orders) | 79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ABB-Q4-2025-financial-information.pdf | Key Figures (orders) | (215)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ABB-Q4-2025-financial-information.pdf | Key Figures (orders) | (1,061)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ABB-Q1-2026-financial-information.pdf | Key Figures (orders) | (433)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ABB Q2 2026 Financial Information.pdf | Key Figures (orders) | (314)</t>
        </r>
      </text>
    </comment>
    <comment ref="D8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7,593</t>
        </r>
      </text>
    </comment>
    <comment ref="E8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31,482</t>
        </r>
      </text>
    </comment>
    <comment ref="F83" authorId="0">
      <text>
        <r>
          <rPr>
            <sz val="9"/>
            <color rgb="FF000000"/>
            <rFont val="Arial"/>
            <family val="2"/>
          </rPr>
          <t>ABB-Q1-2026-financial-information.pdf | Key Figures (orders, prior year) | 8,589</t>
        </r>
      </text>
    </comment>
    <comment ref="G83" authorId="0">
      <text>
        <r>
          <rPr>
            <sz val="9"/>
            <color rgb="FF000000"/>
            <rFont val="Arial"/>
            <family val="2"/>
          </rPr>
          <t>ABB Q2 2026 Financial Information.pdf | Key Figures (orders, prior year) | 9,254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32%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15%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ABB-Q1-2026-financial-information.pdf | Key Figures (orders comparable change) | 24%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ABB Q2 2026 Financial Information.pdf | Key Figures (orders comparable change) | 28%</t>
        </r>
      </text>
    </comment>
    <comment ref="D93" authorId="0">
      <text>
        <r>
          <rPr>
            <sz val="9"/>
            <color rgb="FF000000"/>
            <rFont val="Arial"/>
            <family val="2"/>
          </rPr>
          <t>ABB-Q4-2025-financial-information.pdf | Key Figures (order backlog) | (574)</t>
        </r>
      </text>
    </comment>
    <comment ref="F93" authorId="0">
      <text>
        <r>
          <rPr>
            <sz val="9"/>
            <color rgb="FF000000"/>
            <rFont val="Arial"/>
            <family val="2"/>
          </rPr>
          <t>ABB-Q1-2026-financial-information.pdf | Key Figures (order backlog) | (892)</t>
        </r>
      </text>
    </comment>
    <comment ref="G93" authorId="0">
      <text>
        <r>
          <rPr>
            <sz val="9"/>
            <color rgb="FF000000"/>
            <rFont val="Arial"/>
            <family val="2"/>
          </rPr>
          <t>ABB Q2 2026 Financial Information.pdf | Key Figures (order backlog) | (1,166)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2" authorId="0">
      <text>
        <r>
          <rPr>
            <sz val="9"/>
            <color rgb="FF000000"/>
            <rFont val="Arial"/>
            <family val="2"/>
          </rPr>
          <t>ABB-Q4-2025-financial-information.pdf | Key Figures (orders) | 5,323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Key Figures (orders) | 18,757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Key Figures (orders) | 6,647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Key Figures (orders) | 7,231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ABB-Q3-2025-financial-information.pdf | Key Figures (orders, prior year) | 4,049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3,908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16,422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ABB-Q1-2026-financial-information.pdf | Key Figures (orders, prior year) | 4,394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ABB Q2 2026 Financial Information.pdf | Key Figures (orders, prior year) | 4,518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ABB-Q3-2025-financial-information.pdf | Key Figures (orders comparable change) | 10%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33%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13%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Key Figures (orders comparable change) | 44%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Key Figures (orders comparable change) | 58%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ABB-Q3-2025-financial-information.pdf | Key Figures (order backlog) | 8,750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ABB-Q4-2025-financial-information.pdf | Key Figures (order backlog) | 9,438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ABB-Q1-2026-financial-information.pdf | Key Figures (order backlog) | 11,460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ABB Q2 2026 Financial Information.pdf | Key Figures (order backlog) | 13,676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ABB-Q3-2025-financial-information.pdf | Key Figures (order backlog, prior year) | 7,945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ABB-Q4-2025-financial-information.pdf | Key Figures (order backlog, prior year) | 7,506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ABB-Q1-2026-financial-information.pdf | Key Figures (order backlog, prior year) | 8,173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ABB Q2 2026 Financial Information.pdf | Key Figures (order backlog, prior year) | 8,685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Key Figures (revenues) | 4,702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ABB-Q4-2025-financial-information.pdf | Key Figures (revenues) | 17,357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Key Figures (revenues) | 4,613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Key Figures (revenues) | 5,200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ABB-Q3-2025-financial-information.pdf | Key Figures (year-ago comparative) | 3,913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4,046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15,448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ABB-Q1-2026-financial-information.pdf | Key Figures (year-ago comparative) | 3,825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ABB Q2 2026 Financial Information.pdf | Key Figures (year-ago comparative) | 4,331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ABB-Q3-2025-financial-information.pdf | Key Figures (US$ / local / comparable change) | 13%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13%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11%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15%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18%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ABB-Q3-2025-financial-information.pdf | Key Figures (US$ / local / comparable change) | 13%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12%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11%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15%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19%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1,389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5,150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1,323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1,377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1,175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4,566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1,154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1,297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2,001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7,589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2,127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2,418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1,691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6,577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1,692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1,893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1,610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6,082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1,746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2,003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1,325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5,128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1,357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1,517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1,220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4,348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1,099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1,316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1,117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4,047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935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1,074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449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1,793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470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529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440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1,777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408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458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4,238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15,838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4,260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4,774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3,685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14,129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3,522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3,959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372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1,249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289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337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298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1,061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259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305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92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270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ABB-Q1-2026-financial-information.pdf | Operating segment data (intersegment revenues) | 64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ABB Q2 2026 Financial Information.pdf | Operating segment data (intersegment revenues) | 89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63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258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intersegment revenues) | 44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intersegment revenues) | 67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(2,797)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(10,054)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cost of sales) | (2,662)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cost of sales) | (3,025)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(2,444)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(9,078)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operational cost of sales) | (2,189)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operational cost of sales) | (2,481)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(740)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(2,793)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(741)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(765)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(631)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(2,462)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(650)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(708)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(143)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(487)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(122)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(142)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(124)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(436)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(105)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(118)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40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58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ABB-Q1-2026-financial-information.pdf | Operating segment data (other segment items) | 17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ABB Q2 2026 Financial Information.pdf | Operating segment data (other segment items) | 33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1,062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4,081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EBITA) | 1,105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EBITA) | 1,301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ABB-Q3-2025-financial-information.pdf | Key Figures (Operational EBITA, prior year) | 944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863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3,520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ABB-Q1-2026-financial-information.pdf | Key Figures (Operational EBITA, prior year) | 886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ABB Q2 2026 Financial Information.pdf | Key Figures (Operational EBITA, prior year) | 1,033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1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(15)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revenues) | 0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revenues) | 23</t>
        </r>
      </text>
    </comment>
    <comment ref="C161" authorId="0">
      <text>
        <r>
          <rPr>
            <sz val="9"/>
            <color rgb="FF000000"/>
            <rFont val="Arial"/>
            <family val="2"/>
          </rPr>
          <t>ABB-Q3-2025-financial-information.pdf | Key Figures (operational revenues, prior year) | 3,922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4,052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15,486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ABB-Q1-2026-financial-information.pdf | Key Figures (operational revenues, prior year) | 3,820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ABB Q2 2026 Financial Information.pdf | Key Figures (operational revenues, prior year) | 4,323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1,074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4,065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ABB-Q1-2026-financial-information.pdf | Key Figures (income from operations by business area) | 969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ABB Q2 2026 Financial Information.pdf | Key Figures (income from operations by business area) | 1,172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2" authorId="0">
      <text>
        <r>
          <rPr>
            <sz val="9"/>
            <color rgb="FF000000"/>
            <rFont val="Arial"/>
            <family val="2"/>
          </rPr>
          <t>ABB-Q4-2025-financial-information.pdf | Key Figures (orders) | 2,189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Key Figures (orders) | 8,619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Key Figures (orders) | 2,548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Key Figures (orders) | 2,592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ABB-Q3-2025-financial-information.pdf | Key Figures (orders, prior year) | 1,806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1,866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7,989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ABB-Q1-2026-financial-information.pdf | Key Figures (orders, prior year) | 2,156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ABB Q2 2026 Financial Information.pdf | Key Figures (orders, prior year) | 2,112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ABB-Q3-2025-financial-information.pdf | Key Figures (orders comparable change) | 17%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13%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6%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Key Figures (orders comparable change) | 9%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Key Figures (orders comparable change) | 20%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ABB-Q3-2025-financial-information.pdf | Key Figures (order backlog) | 6,176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ABB-Q4-2025-financial-information.pdf | Key Figures (order backlog) | 6,285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ABB-Q1-2026-financial-information.pdf | Key Figures (order backlog) | 6,597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ABB Q2 2026 Financial Information.pdf | Key Figures (order backlog) | 6,953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ABB-Q3-2025-financial-information.pdf | Key Figures (order backlog, prior year) | 5,750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ABB-Q4-2025-financial-information.pdf | Key Figures (order backlog, prior year) | 5,239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ABB-Q1-2026-financial-information.pdf | Key Figures (order backlog, prior year) | 5,716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ABB Q2 2026 Financial Information.pdf | Key Figures (order backlog, prior year) | 6,102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Key Figures (revenues) | 2,260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ABB-Q4-2025-financial-information.pdf | Key Figures (revenues) | 8,247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Key Figures (revenues) | 2,142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Key Figures (revenues) | 2,217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ABB-Q3-2025-financial-information.pdf | Key Figures (year-ago comparative) | 1,969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2,038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7,787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ABB-Q1-2026-financial-information.pdf | Key Figures (year-ago comparative) | 1,840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ABB Q2 2026 Financial Information.pdf | Key Figures (year-ago comparative) | 2,065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ABB-Q3-2025-financial-information.pdf | Key Figures (US$ / local / comparable change) | 3%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7%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4%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10%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5%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ABB-Q3-2025-financial-information.pdf | Key Figures (US$ / local / comparable change) | 3%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6%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4%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7%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4%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782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2,610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663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653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620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2,241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540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619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665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2,663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719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770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670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2,618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635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679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534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2,185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592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639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542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2,122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524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563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646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2,407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592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642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604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2,353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536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633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288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1,098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284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333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271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1,098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243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291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1,761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6,495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1,685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1,749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1,605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6,060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1,456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1,639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332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1,185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289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316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289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1,152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255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292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167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567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ABB-Q1-2026-financial-information.pdf | Operating segment data (intersegment revenues) | 168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ABB Q2 2026 Financial Information.pdf | Operating segment data (intersegment revenues) | 152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144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575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intersegment revenues) | 129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intersegment revenues) | 134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(1,433)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(5,096)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cost of sales) | (1,338)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cost of sales) | (1,388)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(1,302)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(4,924)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operational cost of sales) | (1,113)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operational cost of sales) | (1,263)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(324)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(1,240)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(334)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(343)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(288)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(1,087)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(289)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(314)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(89)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(319)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(84)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(93)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(84)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(310)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(73)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(78)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(2)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8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ABB-Q1-2026-financial-information.pdf | Operating segment data (other segment items) | 12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ABB Q2 2026 Financial Information.pdf | Operating segment data (other segment items) | 20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412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1,600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EBITA) | 398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EBITA) | 413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ABB-Q3-2025-financial-information.pdf | Key Figures (Operational EBITA, prior year) | 404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383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1,518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ABB-Q1-2026-financial-information.pdf | Key Figures (Operational EBITA, prior year) | 360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ABB Q2 2026 Financial Information.pdf | Key Figures (Operational EBITA, prior year) | 407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(4)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(6)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revenues) | 4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revenues) | 18</t>
        </r>
      </text>
    </comment>
    <comment ref="C161" authorId="0">
      <text>
        <r>
          <rPr>
            <sz val="9"/>
            <color rgb="FF000000"/>
            <rFont val="Arial"/>
            <family val="2"/>
          </rPr>
          <t>ABB-Q3-2025-financial-information.pdf | Key Figures (operational revenues, prior year) | 1,956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2,049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7,814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ABB-Q1-2026-financial-information.pdf | Key Figures (operational revenues, prior year) | 1,837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ABB Q2 2026 Financial Information.pdf | Key Figures (operational revenues, prior year) | 2,057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408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1,564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ABB-Q1-2026-financial-information.pdf | Key Figures (income from operations by business area) | 311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ABB Q2 2026 Financial Information.pdf | Key Figures (income from operations by business area) | 376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2" authorId="0">
      <text>
        <r>
          <rPr>
            <sz val="9"/>
            <color rgb="FF000000"/>
            <rFont val="Arial"/>
            <family val="2"/>
          </rPr>
          <t>ABB-Q4-2025-financial-information.pdf | Key Figures (orders) | 2,817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Key Figures (orders) | 9,928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Key Figures (orders) | 2,464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Key Figures (orders) | 2,454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1,893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ABB-Q4-2025-financial-information.pdf | Key Figures (orders, prior year) | 7,485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ABB-Q1-2026-financial-information.pdf | Key Figures (orders, prior year) | 2,197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ABB Q2 2026 Financial Information.pdf | Key Figures (orders, prior year) | 2,814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41%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ABB-Q4-2025-financial-information.pdf | Key Figures (orders comparable change) | 30%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Key Figures (orders comparable change) | 5%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Key Figures (orders comparable change) | -14%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ABB-Q4-2025-financial-information.pdf | Key Figures (order backlog) | 10,133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ABB-Q1-2026-financial-information.pdf | Key Figures (order backlog) | 10,350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ABB Q2 2026 Financial Information.pdf | Key Figures (order backlog) | 10,544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ABB-Q4-2025-financial-information.pdf | Key Figures (order backlog, prior year) | 7,631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ABB-Q1-2026-financial-information.pdf | Key Figures (order backlog, prior year) | 8,261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ABB Q2 2026 Financial Information.pdf | Key Figures (order backlog, prior year) | 9,450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Key Figures (revenues) | 2,243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ABB-Q4-2025-financial-information.pdf | Key Figures (revenues) | 8,084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Key Figures (revenues) | 2,147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Key Figures (revenues) | 2,193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1,967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ABB-Q4-2025-financial-information.pdf | Key Figures (year-ago comparative) | 7,692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ABB-Q1-2026-financial-information.pdf | Key Figures (year-ago comparative) | 1,818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ABB Q2 2026 Financial Information.pdf | Key Figures (year-ago comparative) | 2,010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9%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3%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10%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7%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9%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ABB-Q4-2025-financial-information.pdf | Key Figures (US$ / local / comparable change) | 3%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ABB-Q1-2026-financial-information.pdf | Key Figures (US$ / local / comparable change) | 10%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ABB Q2 2026 Financial Information.pdf | Key Figures (US$ / local / comparable change) | 7%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937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3,438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967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918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767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3,110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815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833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547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2,024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514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541</t>
        </r>
      </text>
    </comment>
    <comment ref="D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505</t>
        </r>
      </text>
    </comment>
    <comment ref="E62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1,970</t>
        </r>
      </text>
    </comment>
    <comment ref="F62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453</t>
        </r>
      </text>
    </comment>
    <comment ref="G62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531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350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1,306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335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362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315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1,232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296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341</t>
        </r>
      </text>
    </comment>
    <comment ref="D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740</t>
        </r>
      </text>
    </comment>
    <comment ref="E78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2,569</t>
        </r>
      </text>
    </comment>
    <comment ref="F78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654</t>
        </r>
      </text>
    </comment>
    <comment ref="G78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727</t>
        </r>
      </text>
    </comment>
    <comment ref="D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681</t>
        </r>
      </text>
    </comment>
    <comment ref="E7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2,577</t>
        </r>
      </text>
    </comment>
    <comment ref="F7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541</t>
        </r>
      </text>
    </comment>
    <comment ref="G7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635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213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ABB-Q4-2025-financial-information.pdf | Operating segment data (geographical markets) | 742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ABB-Q1-2026-financial-information.pdf | Operating segment data (geographical markets) | 195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ABB Q2 2026 Financial Information.pdf | Operating segment data (geographical markets) | 219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202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geographical markets) | 808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geographical markets) | 154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geographical markets) | 185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1,391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5,013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1,339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1,368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1,188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4,865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1,108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1,240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833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ABB-Q4-2025-financial-information.pdf | Operating segment data (product type) | 3,018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ABB-Q1-2026-financial-information.pdf | Operating segment data (product type) | 796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ABB Q2 2026 Financial Information.pdf | Operating segment data (product type) | 818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765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product type) | 2,792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product type) | 701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product type) | 759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19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ABB-Q4-2025-financial-information.pdf | Operating segment data (intersegment revenues) | 53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ABB-Q1-2026-financial-information.pdf | Operating segment data (intersegment revenues) | 12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ABB Q2 2026 Financial Information.pdf | Operating segment data (intersegment revenues) | 7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14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intersegment revenues) | 35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intersegment revenues) | 9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intersegment revenues) | 11</t>
        </r>
      </text>
    </comment>
    <comment ref="D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(1,387)</t>
        </r>
      </text>
    </comment>
    <comment ref="E12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cost of sales) | (4,946)</t>
        </r>
      </text>
    </comment>
    <comment ref="F12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cost of sales) | (1,322)</t>
        </r>
      </text>
    </comment>
    <comment ref="G12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cost of sales) | (1,354)</t>
        </r>
      </text>
    </comment>
    <comment ref="D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(1,237)</t>
        </r>
      </text>
    </comment>
    <comment ref="E12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operational cost of sales) | (4,803)</t>
        </r>
      </text>
    </comment>
    <comment ref="F12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operational cost of sales) | (1,088)</t>
        </r>
      </text>
    </comment>
    <comment ref="G12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operational cost of sales) | (1,240)</t>
        </r>
      </text>
    </comment>
    <comment ref="D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(414)</t>
        </r>
      </text>
    </comment>
    <comment ref="E132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(1,561)</t>
        </r>
      </text>
    </comment>
    <comment ref="F132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(380)</t>
        </r>
      </text>
    </comment>
    <comment ref="G132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(404)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(372)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(1,418)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(361)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(396)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(113)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ABB-Q4-2025-financial-information.pdf | Operating segment data (significant segment expenses) | (414)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ABB-Q1-2026-financial-information.pdf | Operating segment data (significant segment expenses) | (103)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ABB Q2 2026 Financial Information.pdf | Operating segment data (significant segment expenses) | (115)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(115)</t>
        </r>
      </text>
    </comment>
    <comment ref="E139" authorId="0">
      <text>
        <r>
          <rPr>
            <sz val="9"/>
            <color rgb="FF000000"/>
            <rFont val="Arial"/>
            <family val="2"/>
          </rPr>
          <t>ABB-Q4-2025-financial-information.pdf | Operating segment data (prior-year significant segment expenses) | (400)</t>
        </r>
      </text>
    </comment>
    <comment ref="F139" authorId="0">
      <text>
        <r>
          <rPr>
            <sz val="9"/>
            <color rgb="FF000000"/>
            <rFont val="Arial"/>
            <family val="2"/>
          </rPr>
          <t>ABB-Q1-2026-financial-information.pdf | Operating segment data (prior-year significant segment expenses) | (97)</t>
        </r>
      </text>
    </comment>
    <comment ref="G139" authorId="0">
      <text>
        <r>
          <rPr>
            <sz val="9"/>
            <color rgb="FF000000"/>
            <rFont val="Arial"/>
            <family val="2"/>
          </rPr>
          <t>ABB Q2 2026 Financial Information.pdf | Operating segment data (prior-year significant segment expenses) | (100)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(18)</t>
        </r>
      </text>
    </comment>
    <comment ref="E142" authorId="0">
      <text>
        <r>
          <rPr>
            <sz val="9"/>
            <color rgb="FF000000"/>
            <rFont val="Arial"/>
            <family val="2"/>
          </rPr>
          <t>ABB-Q4-2025-financial-information.pdf | Operating segment data (other segment items) | (31)</t>
        </r>
      </text>
    </comment>
    <comment ref="F142" authorId="0">
      <text>
        <r>
          <rPr>
            <sz val="9"/>
            <color rgb="FF000000"/>
            <rFont val="Arial"/>
            <family val="2"/>
          </rPr>
          <t>ABB-Q1-2026-financial-information.pdf | Operating segment data (other segment items) | (31)</t>
        </r>
      </text>
    </comment>
    <comment ref="G142" authorId="0">
      <text>
        <r>
          <rPr>
            <sz val="9"/>
            <color rgb="FF000000"/>
            <rFont val="Arial"/>
            <family val="2"/>
          </rPr>
          <t>ABB Q2 2026 Financial Information.pdf | Operating segment data (other segment items) | 18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311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EBITA) | 1,132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EBITA) | 311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EBITA) | 338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244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1,080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ABB-Q1-2026-financial-information.pdf | Key Figures (Operational EBITA, prior year) | 255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ABB Q2 2026 Financial Information.pdf | Key Figures (Operational EBITA, prior year) | 288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(13)</t>
        </r>
      </text>
    </comment>
    <comment ref="E15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(24)</t>
        </r>
      </text>
    </comment>
    <comment ref="F154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revenues) | (25)</t>
        </r>
      </text>
    </comment>
    <comment ref="G154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revenues) | 8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1,969</t>
        </r>
      </text>
    </comment>
    <comment ref="E161" authorId="0">
      <text>
        <r>
          <rPr>
            <sz val="9"/>
            <color rgb="FF000000"/>
            <rFont val="Arial"/>
            <family val="2"/>
          </rPr>
          <t>ABB-Q4-2025-financial-information.pdf | Key Figures (operational revenues, prior year) | 7,709</t>
        </r>
      </text>
    </comment>
    <comment ref="F161" authorId="0">
      <text>
        <r>
          <rPr>
            <sz val="9"/>
            <color rgb="FF000000"/>
            <rFont val="Arial"/>
            <family val="2"/>
          </rPr>
          <t>ABB-Q1-2026-financial-information.pdf | Key Figures (operational revenues, prior year) | 1,801</t>
        </r>
      </text>
    </comment>
    <comment ref="G161" authorId="0">
      <text>
        <r>
          <rPr>
            <sz val="9"/>
            <color rgb="FF000000"/>
            <rFont val="Arial"/>
            <family val="2"/>
          </rPr>
          <t>ABB Q2 2026 Financial Information.pdf | Key Figures (operational revenues, prior year) | 2,028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278</t>
        </r>
      </text>
    </comment>
    <comment ref="E167" authorId="0">
      <text>
        <r>
          <rPr>
            <sz val="9"/>
            <color rgb="FF000000"/>
            <rFont val="Arial"/>
            <family val="2"/>
          </rPr>
          <t>ABB-Q4-2025-financial-information.pdf | Key Figures (income from operations by business area) | 1,097</t>
        </r>
      </text>
    </comment>
    <comment ref="F167" authorId="0">
      <text>
        <r>
          <rPr>
            <sz val="9"/>
            <color rgb="FF000000"/>
            <rFont val="Arial"/>
            <family val="2"/>
          </rPr>
          <t>ABB-Q1-2026-financial-information.pdf | Key Figures (income from operations by business area) | 287</t>
        </r>
      </text>
    </comment>
    <comment ref="G167" authorId="0">
      <text>
        <r>
          <rPr>
            <sz val="9"/>
            <color rgb="FF000000"/>
            <rFont val="Arial"/>
            <family val="2"/>
          </rPr>
          <t>ABB Q2 2026 Financial Information.pdf | Key Figures (income from operations by business area) | 327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7,484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27,669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7,339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7,984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6,634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25,531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6,156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6,909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1,568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5,551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1,395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1,491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1,362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5,052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1,226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1,386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(4,524)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(16,581)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(4,506)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(4,919)</t>
        </r>
      </text>
    </comment>
    <comment ref="D29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(870)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(2,999)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(788)</t>
        </r>
      </text>
    </comment>
    <comment ref="G29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(763)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2,982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12,001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3,122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3,362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(1,769)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(6,593)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(1,675)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(1,725)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(1,565)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(5,980)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(1,534)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(1,671)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(369)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(1,318)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(333)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(371)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(358)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(1,268)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(303)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(320)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(15)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318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348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(112)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1,094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4,735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1,474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1,466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61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203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49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41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(13)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(86)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(29)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(9)</t>
        </r>
      </text>
    </comment>
    <comment ref="D60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13</t>
        </r>
      </text>
    </comment>
    <comment ref="E60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55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18</t>
        </r>
      </text>
    </comment>
    <comment ref="G60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17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(292)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(1,570)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(467)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(416)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(217)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(1,197)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(444)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(404)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1,165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4,923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1,499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1,517</t>
        </r>
      </text>
    </comment>
    <comment ref="D7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6</t>
        </r>
      </text>
    </comment>
    <comment ref="E71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174</t>
        </r>
      </text>
    </comment>
    <comment ref="F71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(18)</t>
        </r>
      </text>
    </comment>
    <comment ref="G71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38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(7)</t>
        </r>
      </text>
    </comment>
    <comment ref="E75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(89)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(9)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(25)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ABB-Q3-2025-financial-information.pdf | Consolidated Income Statements (prior year) | 947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987</t>
        </r>
      </text>
    </comment>
    <comment ref="E8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3,935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1,102</t>
        </r>
      </text>
    </comment>
    <comment ref="G82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1,151</t>
        </r>
      </text>
    </comment>
    <comment ref="D8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(amounts attributable to ABB shareholders) | 1,267</t>
        </r>
      </text>
    </comment>
    <comment ref="E8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(amounts attributable to ABB shareholders) | 4,561</t>
        </r>
      </text>
    </comment>
    <comment ref="F84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(amounts attributable to ABB shareholders) | 1,337</t>
        </r>
      </text>
    </comment>
    <comment ref="G84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(amounts attributable to ABB shareholders) | 1,192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ABB-Q3-2025-financial-information.pdf | Consolidated Income Statements | 0.66</t>
        </r>
      </text>
    </comment>
    <comment ref="D9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0.7</t>
        </r>
      </text>
    </comment>
    <comment ref="E9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| 2.59</t>
        </r>
      </text>
    </comment>
    <comment ref="F92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| 0.73</t>
        </r>
      </text>
    </comment>
    <comment ref="G92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| 0.68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ABB-Q3-2025-financial-information.pdf | Consolidated Income Statements (prior year) | 0.51</t>
        </r>
      </text>
    </comment>
    <comment ref="D9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0.53</t>
        </r>
      </text>
    </comment>
    <comment ref="E94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(prior year) | 2.13</t>
        </r>
      </text>
    </comment>
    <comment ref="F94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(prior year) | 0.6</t>
        </r>
      </text>
    </comment>
    <comment ref="G94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(prior year) | 0.63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(33)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(148)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 reconciliation) | (47)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 reconciliation) | (18)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(30)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(123)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 reconciliation) | (26)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 reconciliation) | (25)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(134)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ABB-Q4-2025-financial-information.pdf | Operating segment data (Operational EBITA reconciliation) | (228)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ABB-Q1-2026-financial-information.pdf | Operating segment data (Operational EBITA reconciliation) | 308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ABB Q2 2026 Financial Information.pdf | Operating segment data (Operational EBITA reconciliation) | (84)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EBITA) | 1,588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EBITA) | 6,314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ABB-Q1-2026-financial-information.pdf | Key Figures (Operational EBITA) | 2,049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ABB Q2 2026 Financial Information.pdf | Key Figures (Operational EBITA) | 1,925</t>
        </r>
      </text>
    </comment>
    <comment ref="D115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(16)</t>
        </r>
      </text>
    </comment>
    <comment ref="E115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revenues) | (47)</t>
        </r>
      </text>
    </comment>
    <comment ref="F115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revenues) | (21)</t>
        </r>
      </text>
    </comment>
    <comment ref="G115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revenues) | 45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revenues, prior year) | 8,009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revenues, prior year) | 30,665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revenues, prior year) | 7,357</t>
        </r>
      </text>
    </comment>
    <comment ref="G119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revenues, prior year) | 8,296</t>
        </r>
      </text>
    </comment>
    <comment ref="D125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1,330</t>
        </r>
      </text>
    </comment>
    <comment ref="E125" authorId="0">
      <text>
        <r>
          <rPr>
            <sz val="9"/>
            <color rgb="FF000000"/>
            <rFont val="Arial"/>
            <family val="2"/>
          </rPr>
          <t>ABB-Q4-2025-financial-information.pdf | Key Figures (Operational EBITA, prior year) | 5,572</t>
        </r>
      </text>
    </comment>
    <comment ref="F125" authorId="0">
      <text>
        <r>
          <rPr>
            <sz val="9"/>
            <color rgb="FF000000"/>
            <rFont val="Arial"/>
            <family val="2"/>
          </rPr>
          <t>ABB-Q1-2026-financial-information.pdf | Key Figures (Operational EBITA, prior year) | 1,495</t>
        </r>
      </text>
    </comment>
    <comment ref="G125" authorId="0">
      <text>
        <r>
          <rPr>
            <sz val="9"/>
            <color rgb="FF000000"/>
            <rFont val="Arial"/>
            <family val="2"/>
          </rPr>
          <t>ABB Q2 2026 Financial Information.pdf | Key Figures (Operational EBITA, prior year) | 1,598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46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185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47</t>
        </r>
      </text>
    </comment>
    <comment ref="G128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51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53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92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48</t>
        </r>
      </text>
    </comment>
    <comment ref="G131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16</t>
        </r>
      </text>
    </comment>
    <comment ref="D13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0</t>
        </r>
      </text>
    </comment>
    <comment ref="E134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(3)</t>
        </r>
      </text>
    </comment>
    <comment ref="F134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(5)</t>
        </r>
      </text>
    </comment>
    <comment ref="G134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0</t>
        </r>
      </text>
    </comment>
    <comment ref="D137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3</t>
        </r>
      </text>
    </comment>
    <comment ref="E137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3</t>
        </r>
      </text>
    </comment>
    <comment ref="F137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(2)</t>
        </r>
      </text>
    </comment>
    <comment ref="G137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(5)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18</t>
        </r>
      </text>
    </comment>
    <comment ref="E140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55</t>
        </r>
      </text>
    </comment>
    <comment ref="F140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12</t>
        </r>
      </text>
    </comment>
    <comment ref="G140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23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33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166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28</t>
        </r>
      </text>
    </comment>
    <comment ref="G143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20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41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(34)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53</t>
        </r>
      </text>
    </comment>
    <comment ref="G146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151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(111)</t>
        </r>
      </text>
    </comment>
    <comment ref="E149" authorId="0">
      <text>
        <r>
          <rPr>
            <sz val="9"/>
            <color rgb="FF000000"/>
            <rFont val="Arial"/>
            <family val="2"/>
          </rPr>
          <t>ABB-Q4-2025-financial-information.pdf | Supplemental Reconciliations (Operational EBITA to net income) | (197)</t>
        </r>
      </text>
    </comment>
    <comment ref="F149" authorId="0">
      <text>
        <r>
          <rPr>
            <sz val="9"/>
            <color rgb="FF000000"/>
            <rFont val="Arial"/>
            <family val="2"/>
          </rPr>
          <t>ABB-Q1-2026-financial-information.pdf | Supplemental Reconciliations (Operational EBITA to net income) | 88</t>
        </r>
      </text>
    </comment>
    <comment ref="G149" authorId="0">
      <text>
        <r>
          <rPr>
            <sz val="9"/>
            <color rgb="FF000000"/>
            <rFont val="Arial"/>
            <family val="2"/>
          </rPr>
          <t>ABB Q2 2026 Financial Information.pdf | Supplemental Reconciliations (Operational EBITA to net income) | 84</t>
        </r>
      </text>
    </comment>
    <comment ref="D18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(prior year) | 194</t>
        </r>
      </text>
    </comment>
    <comment ref="E18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(prior year) | 761</t>
        </r>
      </text>
    </comment>
    <comment ref="F181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(prior year) | 186</t>
        </r>
      </text>
    </comment>
    <comment ref="G181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(prior year) | 202</t>
        </r>
      </text>
    </comment>
    <comment ref="C184" authorId="0">
      <text>
        <r>
          <rPr>
            <sz val="9"/>
            <color rgb="FF000000"/>
            <rFont val="Arial"/>
            <family val="2"/>
          </rPr>
          <t>ABB-Q3-2025-financial-information.pdf | Q2 2026 press release (Additional figures) | 1,806</t>
        </r>
      </text>
    </comment>
    <comment ref="D184" authorId="0">
      <text>
        <r>
          <rPr>
            <sz val="9"/>
            <color rgb="FF000000"/>
            <rFont val="Arial"/>
            <family val="2"/>
          </rPr>
          <t>ABB-Q4-2025-financial-information.pdf | Q2 2026 press release (Additional figures) | 1,726</t>
        </r>
      </text>
    </comment>
    <comment ref="E184" authorId="0">
      <text>
        <r>
          <rPr>
            <sz val="9"/>
            <color rgb="FF000000"/>
            <rFont val="Arial"/>
            <family val="2"/>
          </rPr>
          <t>ABB-Q4-2025-financial-information.pdf | Q2 2026 press release (Additional figures) | 6,860</t>
        </r>
      </text>
    </comment>
    <comment ref="F184" authorId="0">
      <text>
        <r>
          <rPr>
            <sz val="9"/>
            <color rgb="FF000000"/>
            <rFont val="Arial"/>
            <family val="2"/>
          </rPr>
          <t>ABB-Q1-2026-financial-information.pdf | Q2 2026 press release (Additional figures) | 1,990</t>
        </r>
      </text>
    </comment>
    <comment ref="G184" authorId="0">
      <text>
        <r>
          <rPr>
            <sz val="9"/>
            <color rgb="FF000000"/>
            <rFont val="Arial"/>
            <family val="2"/>
          </rPr>
          <t>ABB Q2 2026 Financial Information.pdf | Q2 2026 press release (Additional figures) | 1,805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3,937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4,640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3,325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3,867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1,890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1,981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2,601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1,990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7,955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7,535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7,606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8,033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1,289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1,090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1,152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1,189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6,431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5,862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6,056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6,471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330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281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363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358</t>
        </r>
      </text>
    </comment>
    <comment ref="C17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514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627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580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512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45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3,562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3,779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3,931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4,690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4,692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4,605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4,700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845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765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785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783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401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349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321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340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859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937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958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982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1,147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1,119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1,088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1,075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11,368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9,637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9,585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9,636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1,378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1,248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1,289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1,344</t>
        </r>
      </text>
    </comment>
    <comment ref="C27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575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560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536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490</t>
        </r>
      </text>
    </comment>
    <comment ref="C28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0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0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0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35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5,271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5,210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5,423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5,868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3,451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3,221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3,475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3,545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680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475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1,621</t>
        </r>
      </text>
    </comment>
    <comment ref="G34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1,610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270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253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227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252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1,584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1,477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1,493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1,492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4,748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4,677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5,088</t>
        </r>
      </text>
    </comment>
    <comment ref="G37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4,518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32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1,108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1,184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1,155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7,844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7,829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6,573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6,567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601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533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579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553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604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550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541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552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829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792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855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827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2,218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2,101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2,160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2,309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0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13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43</t>
        </r>
      </text>
    </comment>
    <comment ref="G45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83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160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160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160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158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28</t>
        </r>
      </text>
    </comment>
    <comment ref="D50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64</t>
        </r>
      </text>
    </comment>
    <comment ref="F50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42</t>
        </r>
      </text>
    </comment>
    <comment ref="G50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23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21,333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22,606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21,784</t>
        </r>
      </text>
    </comment>
    <comment ref="G51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21,630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(5,339)</t>
        </r>
      </text>
    </comment>
    <comment ref="D5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(5,253)</t>
        </r>
      </text>
    </comment>
    <comment ref="F5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(5,418)</t>
        </r>
      </text>
    </comment>
    <comment ref="G5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(5,394)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(1,208)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(1,490)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(1,801)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(518)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548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559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600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506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| 43,654</t>
        </r>
      </text>
    </comment>
    <comment ref="D59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| 44,885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| 44,629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| 45,736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1,280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4,823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1,333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1,256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(6)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(174)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(38)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221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813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210</t>
        </r>
      </text>
    </comment>
    <comment ref="G13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220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59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(21)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30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34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8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(48)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(16)</t>
        </r>
      </text>
    </comment>
    <comment ref="G15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4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(20)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108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13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(67)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(145)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(311)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42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75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(11)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(198)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(392)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(17)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3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3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(2)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(5)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26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58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44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18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15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(222)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(105)</t>
        </r>
      </text>
    </comment>
    <comment ref="G21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(433)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(42)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151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217</t>
        </r>
      </text>
    </comment>
    <comment ref="G22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33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250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132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(268)</t>
        </r>
      </text>
    </comment>
    <comment ref="G23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(457)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198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147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247</t>
        </r>
      </text>
    </comment>
    <comment ref="G24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462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192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119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(531)</t>
        </r>
      </text>
    </comment>
    <comment ref="G25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202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15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(8)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36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138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(125)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(53)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92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70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70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(69)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43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(192)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(39)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219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18</t>
        </r>
      </text>
    </comment>
    <comment ref="G30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(153)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(171)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(1,218)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(833)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(10)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(409)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(1,001)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(181)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(236)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(175)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(752)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(27)</t>
        </r>
      </text>
    </comment>
    <comment ref="G39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(122)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72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589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192</t>
        </r>
      </text>
    </comment>
    <comment ref="G40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634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18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194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437</t>
        </r>
      </text>
    </comment>
    <comment ref="G41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25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(15)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59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1</t>
        </r>
      </text>
    </comment>
    <comment ref="G42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27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(14)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(129)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6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63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(5)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(10)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(1)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11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(52)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(121)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(34)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(61)</t>
        </r>
      </text>
    </comment>
    <comment ref="D5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(19)</t>
        </r>
      </text>
    </comment>
    <comment ref="E52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(85)</t>
        </r>
      </text>
    </comment>
    <comment ref="F52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27</t>
        </r>
      </text>
    </comment>
    <comment ref="G52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(32)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(3)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1,083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23</t>
        </r>
      </text>
    </comment>
    <comment ref="G53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13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(214)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(433)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(30)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(19)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66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99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0</t>
        </r>
      </text>
    </comment>
    <comment ref="G55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0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(350)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(1,499)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(248)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(225)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0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(1,907)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(1,614)</t>
        </r>
      </text>
    </comment>
    <comment ref="G57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(547)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0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(114)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0</t>
        </r>
      </text>
    </comment>
    <comment ref="G58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(123)</t>
        </r>
      </text>
    </comment>
    <comment ref="D5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(14)</t>
        </r>
      </text>
    </comment>
    <comment ref="E59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(22)</t>
        </r>
      </text>
    </comment>
    <comment ref="F59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(15)</t>
        </r>
      </text>
    </comment>
    <comment ref="G59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(5)</t>
        </r>
      </text>
    </comment>
    <comment ref="D6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</t>
        </r>
      </text>
    </comment>
    <comment ref="E61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</t>
        </r>
      </text>
    </comment>
    <comment ref="F61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3</t>
        </r>
      </text>
    </comment>
    <comment ref="G61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(5)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16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111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(50)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4</t>
        </r>
      </text>
    </comment>
    <comment ref="D6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21</t>
        </r>
      </text>
    </comment>
    <comment ref="E66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| 0</t>
        </r>
      </text>
    </comment>
    <comment ref="F66" authorId="0">
      <text>
        <r>
          <rPr>
            <sz val="9"/>
            <color rgb="FF000000"/>
            <rFont val="Arial"/>
            <family val="2"/>
          </rPr>
          <t>ABB-Q1-2026-financial-information.pdf | Consolidated Statements of Cash Flows | 0</t>
        </r>
      </text>
    </comment>
    <comment ref="G66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| 0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ABB Q2 2026 Financial Information.pdf | Consolidated Statements of Cash Flows (beginning of period) | 3,266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ABB-Q4-2025-financial-information.pdf | Consolidated Statements of Cash Flows (beginning of period) | 4,326</t>
        </r>
      </text>
    </comment>
    <comment ref="D74" authorId="0">
      <text>
        <r>
          <rPr>
            <sz val="9"/>
            <color rgb="FF000000"/>
            <rFont val="Arial"/>
            <family val="2"/>
          </rPr>
          <t>ABB-Q4-2025-financial-information.pdf | Operating segment data (depreciation and amortization) | 164</t>
        </r>
      </text>
    </comment>
    <comment ref="E74" authorId="0">
      <text>
        <r>
          <rPr>
            <sz val="9"/>
            <color rgb="FF000000"/>
            <rFont val="Arial"/>
            <family val="2"/>
          </rPr>
          <t>ABB-Q4-2025-financial-information.pdf | Operating segment data (depreciation and amortization) | 581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ABB-Q1-2026-financial-information.pdf | Operating segment data (depreciation and amortization) | 150</t>
        </r>
      </text>
    </comment>
    <comment ref="G74" authorId="0">
      <text>
        <r>
          <rPr>
            <sz val="9"/>
            <color rgb="FF000000"/>
            <rFont val="Arial"/>
            <family val="2"/>
          </rPr>
          <t>ABB Q2 2026 Financial Information.pdf | Operating segment data (depreciation and amortization) | 155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ABB-Q4-2025-financial-information.pdf | Operating segment data (depreciation and amortization) | 57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ABB-Q4-2025-financial-information.pdf | Operating segment data (depreciation and amortization) | 232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ABB-Q1-2026-financial-information.pdf | Operating segment data (depreciation and amortization) | 60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ABB Q2 2026 Financial Information.pdf | Operating segment data (depreciation and amortization) | 65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ABB-Q3-2025-financial-information.pdf | Key Figures (free cash flow) | 1,552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ABB-Q4-2025-financial-information.pdf | Key Figures (free cash flow) | 1,517</t>
        </r>
      </text>
    </comment>
    <comment ref="E82" authorId="0">
      <text>
        <r>
          <rPr>
            <sz val="9"/>
            <color rgb="FF000000"/>
            <rFont val="Arial"/>
            <family val="2"/>
          </rPr>
          <t>ABB-Q4-2025-financial-information.pdf | Key Figures (free cash flow) | 4,566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ABB-Q1-2026-financial-information.pdf | Key Figures (free cash flow) | 1,250</t>
        </r>
      </text>
    </comment>
    <comment ref="G82" authorId="0">
      <text>
        <r>
          <rPr>
            <sz val="9"/>
            <color rgb="FF000000"/>
            <rFont val="Arial"/>
            <family val="2"/>
          </rPr>
          <t>ABB Q2 2026 Financial Information.pdf | Key Figures (free cash flow) | 881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3,175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11,407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2,992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2,994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2,624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10,138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(prior year) | 2,548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(prior year) | 2,793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11%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7%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5%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4%</t>
        </r>
      </text>
    </comment>
    <comment ref="D1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11%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7%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3%</t>
        </r>
      </text>
    </comment>
    <comment ref="G17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3%</t>
        </r>
      </text>
    </comment>
    <comment ref="D2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3,247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12,424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3,391</t>
        </r>
      </text>
    </comment>
    <comment ref="G27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3,788</t>
        </r>
      </text>
    </comment>
    <comment ref="D28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2,934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11,370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(prior year) | 2,810</t>
        </r>
      </text>
    </comment>
    <comment ref="G28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(prior year) | 3,146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9%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10%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19%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19%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10%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10%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18%</t>
        </r>
      </text>
    </comment>
    <comment ref="G33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19%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2,511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9,660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2,696</t>
        </r>
      </text>
    </comment>
    <comment ref="G43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3,047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2,222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8,623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(prior year) | 2,197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(prior year) | 2,444</t>
        </r>
      </text>
    </comment>
    <comment ref="D48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13%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12%</t>
        </r>
      </text>
    </comment>
    <comment ref="F48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22%</t>
        </r>
      </text>
    </comment>
    <comment ref="G48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25%</t>
        </r>
      </text>
    </comment>
    <comment ref="D4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13%</t>
        </r>
      </text>
    </comment>
    <comment ref="E4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12%</t>
        </r>
      </text>
    </comment>
    <comment ref="F49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22%</t>
        </r>
      </text>
    </comment>
    <comment ref="G49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24%</t>
        </r>
      </text>
    </comment>
    <comment ref="D64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2,630</t>
        </r>
      </text>
    </comment>
    <comment ref="E64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9,389</t>
        </r>
      </text>
    </comment>
    <comment ref="F64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2,351</t>
        </r>
      </text>
    </comment>
    <comment ref="G64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2,693</t>
        </r>
      </text>
    </comment>
    <comment ref="D6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2,438</t>
        </r>
      </text>
    </comment>
    <comment ref="E6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9,075</t>
        </r>
      </text>
    </comment>
    <comment ref="F65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(prior year) | 2,024</t>
        </r>
      </text>
    </comment>
    <comment ref="G65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(prior year) | 2,356</t>
        </r>
      </text>
    </comment>
    <comment ref="D6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7%</t>
        </r>
      </text>
    </comment>
    <comment ref="E6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4%</t>
        </r>
      </text>
    </comment>
    <comment ref="F69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13%</t>
        </r>
      </text>
    </comment>
    <comment ref="G69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13%</t>
        </r>
      </text>
    </comment>
    <comment ref="D70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7%</t>
        </r>
      </text>
    </comment>
    <comment ref="E70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3%</t>
        </r>
      </text>
    </comment>
    <comment ref="F70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12%</t>
        </r>
      </text>
    </comment>
    <comment ref="G70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13%</t>
        </r>
      </text>
    </comment>
    <comment ref="D80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955</t>
        </r>
      </text>
    </comment>
    <comment ref="E80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3,650</t>
        </r>
      </text>
    </comment>
    <comment ref="F80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949</t>
        </r>
      </text>
    </comment>
    <comment ref="G80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1,081</t>
        </r>
      </text>
    </comment>
    <comment ref="D8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921</t>
        </r>
      </text>
    </comment>
    <comment ref="E8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(prior year) | 3,705</t>
        </r>
      </text>
    </comment>
    <comment ref="F81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(prior year) | 809</t>
        </r>
      </text>
    </comment>
    <comment ref="G81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(prior year) | 937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2%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-2%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12%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9%</t>
        </r>
      </text>
    </comment>
    <comment ref="D86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0%</t>
        </r>
      </text>
    </comment>
    <comment ref="E86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(US$ / local / comparable change) | -4%</t>
        </r>
      </text>
    </comment>
    <comment ref="F86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(US$ / local / comparable change) | 11%</t>
        </r>
      </text>
    </comment>
    <comment ref="G86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(US$ / local / comparable change) | 10%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3,530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12,169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3,755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3,360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4,281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14,537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4,584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5,728</t>
        </r>
      </text>
    </comment>
    <comment ref="D10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3,467</t>
        </r>
      </text>
    </comment>
    <comment ref="E109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11,591</t>
        </r>
      </text>
    </comment>
    <comment ref="F109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3,852</t>
        </r>
      </text>
    </comment>
    <comment ref="G109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4,917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2,505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10,059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2,959</t>
        </r>
      </text>
    </comment>
    <comment ref="G111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2,954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903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ABB-Q4-2025-financial-information.pdf | Orders received and revenues by region | 3,805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ABB-Q1-2026-financial-information.pdf | Orders received and revenues by region | 1,152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ABB Q2 2026 Financial Information.pdf | Orders received and revenues by region | 1,133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(common stock) | 1,844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(common stock) | 1,844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(common stock) | 1,844</t>
        </r>
      </text>
    </comment>
    <comment ref="G11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(common stock) | 1,823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ABB-Q3-2025-financial-information.pdf | Consolidated Balance Sheets (treasury stock) | 22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ABB-Q4-2025-financial-information.pdf | Consolidated Balance Sheets (treasury stock) | 26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ABB-Q1-2026-financial-information.pdf | Consolidated Balance Sheets (treasury stock) | 29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ABB Q2 2026 Financial Information.pdf | Consolidated Balance Sheets (treasury stock) | 8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ABB Q2 2026 Financial Information.pdf | Q2 2026 press release (Additional figures) | 1,822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ABB Q2 2026 Financial Information.pdf | Q2 2026 press release (Additional figures) | 1,818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ABB Q2 2026 Financial Information.pdf | Q2 2026 press release (Additional figures) | 1,814</t>
        </r>
      </text>
    </comment>
    <comment ref="G14" authorId="0">
      <text>
        <r>
          <rPr>
            <sz val="9"/>
            <color rgb="FF000000"/>
            <rFont val="Arial"/>
            <family val="2"/>
          </rPr>
          <t>ABB Q2 2026 Financial Information.pdf | Q2 2026 press release (Additional figures) | 1,815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ABB-Q1-2026-press-release-English.pdf | Share buyback program (shares repurchased) | 2.610604</t>
        </r>
      </text>
    </comment>
    <comment ref="G18" authorId="0">
      <text>
        <r>
          <rPr>
            <sz val="9"/>
            <color rgb="FF000000"/>
            <rFont val="Arial"/>
            <family val="2"/>
          </rPr>
          <t>ABB Q2 2026 Press release English.pdf | Share buyback program (shares repurchased) | 1.528217</t>
        </r>
      </text>
    </comment>
    <comment ref="H19" authorId="0">
      <text>
        <r>
          <rPr>
            <sz val="9"/>
            <color rgb="FF000000"/>
            <rFont val="Arial"/>
            <family val="2"/>
          </rPr>
          <t>EQS ABB share buybacks Sep 24 2026 - Sep 30 2026 | Cumulative shares bought back from Feb 9, 2026 to Sep 30, 2026 | 9.865326</t>
        </r>
      </text>
    </comment>
    <comment ref="G20" authorId="0">
      <text>
        <r>
          <rPr>
            <sz val="9"/>
            <color rgb="FF000000"/>
            <rFont val="Arial"/>
            <family val="2"/>
          </rPr>
          <t>ABB Q2 2026 Press release English.pdf | Share buyback program (approximately $147 million) | 147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ABB-Q3-2025-financial-information.pdf | Consolidated Income Statements (weighted-average shares) | 1,823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(weighted-average shares) | 1,820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(weighted-average shares) | 1,827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(weighted-average shares) | 1,817</t>
        </r>
      </text>
    </comment>
    <comment ref="G32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(weighted-average shares) | 1,815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ABB-Q3-2025-financial-information.pdf | Consolidated Income Statements (weighted-average shares) | 1,827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(weighted-average shares) | 1,823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ABB-Q4-2025-financial-information.pdf | Consolidated Income Statements (weighted-average shares) | 1,831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ABB-Q1-2026-financial-information.pdf | Consolidated Income Statements (weighted-average shares) | 1,821</t>
        </r>
      </text>
    </comment>
    <comment ref="G38" authorId="0">
      <text>
        <r>
          <rPr>
            <sz val="9"/>
            <color rgb="FF000000"/>
            <rFont val="Arial"/>
            <family val="2"/>
          </rPr>
          <t>ABB Q2 2026 Financial Information.pdf | Consolidated Income Statements (weighted-average shares) | 1,818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7" authorId="0">
      <text>
        <r>
          <rPr>
            <sz val="9"/>
            <color rgb="FF000000"/>
            <rFont val="Arial"/>
            <family val="2"/>
          </rPr>
          <t>ABBN_consensus.json | value | 2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ABBN_consensus.json | value | 0.82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ABBN_consensus.json | value | 9755.28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ABBN_consensus.json | value | 2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ABBN_consensus.json | value | 4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ABBN_consensus.json | value | 0.82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ABBN_consensus.json | value | 0.82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ABBN_consensus.json | value | 0.85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ABBN_consensus.json | value | 0.79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ABBN_consensus.json | value | 0.03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ABBN_consensus.json | value | 2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ABBN_consensus.json | value | 0.77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ABBN_consensus.json | value | 0.77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ABBN_consensus.json | value | 0.8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ABBN_consensus.json | value | 0.74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ABBN_consensus.json | value | 0.03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ABBN_consensus.json | value | 2</t>
        </r>
      </text>
    </comment>
    <comment ref="C62" authorId="0">
      <text>
        <r>
          <rPr>
            <sz val="9"/>
            <color rgb="FF000000"/>
            <rFont val="Arial"/>
            <family val="2"/>
          </rPr>
          <t>ABBN_consensus.json | value | 9755.28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ABBN_consensus.json | value | 9,742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ABBN_consensus.json | value | 9,874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ABBN_consensus.json | value | 9,626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ABBN_consensus.json | value | 83.56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ABBN_consensus.json | value | 9</t>
        </r>
      </text>
    </comment>
    <comment ref="C71" authorId="0">
      <text>
        <r>
          <rPr>
            <sz val="9"/>
            <color rgb="FF000000"/>
            <rFont val="Arial"/>
            <family val="2"/>
          </rPr>
          <t>ABBN_consensus.json | value | 2073.5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ABBN_consensus.json | value | 1947.85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ABBN_consensus.json | value | 1941.07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ABBN_consensus.json | value | 1421.65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ABBN_consensus.json | value | 2388.35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ABBN_consensus.json | value | 101.0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ABBN_consensus.json | value | 101.0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ABBN_consensus.json | value | 116.55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ABBN_consensus.json | value | 80.84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ABBN_consensus.json | value | 8.28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ABBN_consensus.json | value | 26</t>
        </r>
      </text>
    </comment>
    <comment ref="C94" authorId="0">
      <text>
        <r>
          <rPr>
            <sz val="9"/>
            <color rgb="FF000000"/>
            <rFont val="Arial"/>
            <family val="2"/>
          </rPr>
          <t>ABBN_consensus.json | value | 2.85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ABBN_consensus.json | value | 75.68</t>
        </r>
      </text>
    </comment>
    <comment ref="D102" authorId="0">
      <text>
        <r>
          <rPr>
            <sz val="9"/>
            <color rgb="FF000000"/>
            <rFont val="Arial"/>
            <family val="2"/>
          </rPr>
          <t>ABBN_history.csv | value | 0.58</t>
        </r>
      </text>
    </comment>
    <comment ref="E102" authorId="0">
      <text>
        <r>
          <rPr>
            <sz val="9"/>
            <color rgb="FF000000"/>
            <rFont val="Arial"/>
            <family val="2"/>
          </rPr>
          <t>ABBN_history.csv | value | 0.61</t>
        </r>
      </text>
    </comment>
    <comment ref="F102" authorId="0">
      <text>
        <r>
          <rPr>
            <sz val="9"/>
            <color rgb="FF000000"/>
            <rFont val="Arial"/>
            <family val="2"/>
          </rPr>
          <t>ABBN_history.csv | value | 0.51</t>
        </r>
      </text>
    </comment>
    <comment ref="G102" authorId="0">
      <text>
        <r>
          <rPr>
            <sz val="9"/>
            <color rgb="FF000000"/>
            <rFont val="Arial"/>
            <family val="2"/>
          </rPr>
          <t>ABBN_history.csv | value | 0.6</t>
        </r>
      </text>
    </comment>
    <comment ref="H102" authorId="0">
      <text>
        <r>
          <rPr>
            <sz val="9"/>
            <color rgb="FF000000"/>
            <rFont val="Arial"/>
            <family val="2"/>
          </rPr>
          <t>ABBN_history.csv | value | 8194.73</t>
        </r>
      </text>
    </comment>
    <comment ref="I102" authorId="0">
      <text>
        <r>
          <rPr>
            <sz val="9"/>
            <color rgb="FF000000"/>
            <rFont val="Arial"/>
            <family val="2"/>
          </rPr>
          <t>ABBN_history.csv | value | 7,935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ABBN_history.csv | value | 0.67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ABBN_history.csv | value | 0.7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ABBN_history.csv | value | 0.61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ABBN_history.csv | value | 0.63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ABBN_history.csv | value | 8820.07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ABBN_history.csv | value | 8,900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ABBN_history.csv | value | 0.68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ABBN_history.csv | value | 0.69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ABBN_history.csv | value | 0.63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ABBN_history.csv | value | 0.66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ABBN_history.csv | value | 8883.83</t>
        </r>
      </text>
    </comment>
    <comment ref="I104" authorId="0">
      <text>
        <r>
          <rPr>
            <sz val="9"/>
            <color rgb="FF000000"/>
            <rFont val="Arial"/>
            <family val="2"/>
          </rPr>
          <t>ABBN_history.csv | value | 9,083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ABBN_history.csv | value | 0.7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ABBN_history.csv | value | 0.73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ABBN_history.csv | value | 0.63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ABBN_history.csv | value | 0.7</t>
        </r>
      </text>
    </comment>
    <comment ref="H105" authorId="0">
      <text>
        <r>
          <rPr>
            <sz val="9"/>
            <color rgb="FF000000"/>
            <rFont val="Arial"/>
            <family val="2"/>
          </rPr>
          <t>ABBN_history.csv | value | 8849.69</t>
        </r>
      </text>
    </comment>
    <comment ref="I105" authorId="0">
      <text>
        <r>
          <rPr>
            <sz val="9"/>
            <color rgb="FF000000"/>
            <rFont val="Arial"/>
            <family val="2"/>
          </rPr>
          <t>ABBN_history.csv | value | 9,052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ABBN_history.csv | value | 0.8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ABBN_history.csv | value | 0.84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ABBN_history.csv | value | 0.76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ABBN_history.csv | value | 0.73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ABBN_history.csv | value | 8538.1</t>
        </r>
      </text>
    </comment>
    <comment ref="I106" authorId="0">
      <text>
        <r>
          <rPr>
            <sz val="9"/>
            <color rgb="FF000000"/>
            <rFont val="Arial"/>
            <family val="2"/>
          </rPr>
          <t>ABBN_history.csv | value | 8,734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ABBN_history.csv | value | 0.77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ABBN_history.csv | value | 0.8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ABBN_history.csv | value | 0.72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ABBN_history.csv | value | 0.68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ABBN_history.csv | value | 9445.25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ABBN_history.csv | value | 9,475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moneyswapp.com average rates | value | 1.221</t>
        </r>
      </text>
    </comment>
    <comment ref="C129" authorId="0">
      <text>
        <r>
          <rPr>
            <sz val="9"/>
            <color rgb="FF000000"/>
            <rFont val="Arial"/>
            <family val="2"/>
          </rPr>
          <t>9AKK108473A4206_en_A_ABB Pre Q3 2026 Consensus.pdf | value | 9,742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9AKK108473A4206_en_A_ABB Pre Q3 2026 Consensus.pdf | value | 2,000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9AKK108473A4206_en_A_ABB Pre Q3 2026 Consensus.pdf | value | 20.5%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9AKK108473A4206_en_A_ABB Pre Q3 2026 Consensus.pdf | value | 1,424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9AKK108473A4206_en_A_ABB Pre Q3 2026 Consensus.pdf | value | 1,808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9AKK108473A4206_en_A_ABB Pre Q3 2026 Consensus.pdf | value | 0.79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borsvarlden.com FactSet article | value | 2,003</t>
        </r>
      </text>
    </comment>
    <comment ref="D139" authorId="0">
      <text>
        <r>
          <rPr>
            <sz val="9"/>
            <color rgb="FF000000"/>
            <rFont val="Arial"/>
            <family val="2"/>
          </rPr>
          <t>ABB Q2 2026 Financial Information.pdf | value | 203</t>
        </r>
      </text>
    </comment>
    <comment ref="D140" authorId="0">
      <text>
        <r>
          <rPr>
            <sz val="9"/>
            <color rgb="FF000000"/>
            <rFont val="Arial"/>
            <family val="2"/>
          </rPr>
          <t>ABB Q2 2026 Financial Information.pdf | value | (415)</t>
        </r>
      </text>
    </comment>
    <comment ref="D141" authorId="0">
      <text>
        <r>
          <rPr>
            <sz val="9"/>
            <color rgb="FF000000"/>
            <rFont val="Arial"/>
            <family val="2"/>
          </rPr>
          <t>ABB Q2 2026 Financial Information.pdf | value | 238</t>
        </r>
      </text>
    </comment>
    <comment ref="D142" authorId="0">
      <text>
        <r>
          <rPr>
            <sz val="9"/>
            <color rgb="FF000000"/>
            <rFont val="Arial"/>
            <family val="2"/>
          </rPr>
          <t>ABB Q2 2026 Financial Information.pdf | value | (586)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ABB Q2 2026 Financial Information.pdf | value | 8,912</t>
        </r>
      </text>
    </comment>
    <comment ref="D144" authorId="0">
      <text>
        <r>
          <rPr>
            <sz val="9"/>
            <color rgb="FF000000"/>
            <rFont val="Arial"/>
            <family val="2"/>
          </rPr>
          <t>ABB Q2 2026 Financial Information.pdf | value | 8,156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ABB Q2 2026 Financial Information.pdf | value | 2,451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ABB Q2 2026 Financial Information.pdf | value | 3,585</t>
        </r>
      </text>
    </comment>
    <comment ref="D147" authorId="0">
      <text>
        <r>
          <rPr>
            <sz val="9"/>
            <color rgb="FF000000"/>
            <rFont val="Arial"/>
            <family val="2"/>
          </rPr>
          <t>ABB Q2 2026 Financial Information.pdf | value | 2,874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ABB Q2 2026 Financial Information.pdf | value | 2,009</t>
        </r>
      </text>
    </comment>
    <comment ref="D149" authorId="0">
      <text>
        <r>
          <rPr>
            <sz val="9"/>
            <color rgb="FF000000"/>
            <rFont val="Arial"/>
            <family val="2"/>
          </rPr>
          <t>ABB Q2 2026 Financial Information.pdf | value | 866</t>
        </r>
      </text>
    </comment>
    <comment ref="D150" authorId="0">
      <text>
        <r>
          <rPr>
            <sz val="9"/>
            <color rgb="FF000000"/>
            <rFont val="Arial"/>
            <family val="2"/>
          </rPr>
          <t>ABB Q2 2026 Financial Information.pdf | value | 7,481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ABB Q2 2026 Financial Information.pdf | value | 564</t>
        </r>
      </text>
    </comment>
    <comment ref="D152" authorId="0">
      <text>
        <r>
          <rPr>
            <sz val="9"/>
            <color rgb="FF000000"/>
            <rFont val="Arial"/>
            <family val="2"/>
          </rPr>
          <t>ABB Q2 2026 Financial Information.pdf | value | 111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ABB Q2 2026 Financial Information.pdf | value | (4,670)</t>
        </r>
      </text>
    </comment>
    <comment ref="D154" authorId="0">
      <text>
        <r>
          <rPr>
            <sz val="9"/>
            <color rgb="FF000000"/>
            <rFont val="Arial"/>
            <family val="2"/>
          </rPr>
          <t>ABB Q2 2026 Financial Information.pdf | value | (1,358)</t>
        </r>
      </text>
    </comment>
    <comment ref="D155" authorId="0">
      <text>
        <r>
          <rPr>
            <sz val="9"/>
            <color rgb="FF000000"/>
            <rFont val="Arial"/>
            <family val="2"/>
          </rPr>
          <t>ABB Q2 2026 Financial Information.pdf | value | (223)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ABB Q2 2026 Financial Information.pdf | value | 14</t>
        </r>
      </text>
    </comment>
    <comment ref="D157" authorId="0">
      <text>
        <r>
          <rPr>
            <sz val="9"/>
            <color rgb="FF000000"/>
            <rFont val="Arial"/>
            <family val="2"/>
          </rPr>
          <t>ABB Q2 2026 Financial Information.pdf | value | 1,919</t>
        </r>
      </text>
    </comment>
    <comment ref="D158" authorId="0">
      <text>
        <r>
          <rPr>
            <sz val="9"/>
            <color rgb="FF000000"/>
            <rFont val="Arial"/>
            <family val="2"/>
          </rPr>
          <t>ABB Q2 2026 Financial Information.pdf | value | (13)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ABB Q2 2026 Financial Information.pdf | value | 1,912</t>
        </r>
      </text>
    </comment>
    <comment ref="D160" authorId="0">
      <text>
        <r>
          <rPr>
            <sz val="9"/>
            <color rgb="FF000000"/>
            <rFont val="Arial"/>
            <family val="2"/>
          </rPr>
          <t>ABB Q2 2026 Financial Information.pdf | value | 4,268</t>
        </r>
      </text>
    </comment>
    <comment ref="D161" authorId="0">
      <text>
        <r>
          <rPr>
            <sz val="9"/>
            <color rgb="FF000000"/>
            <rFont val="Arial"/>
            <family val="2"/>
          </rPr>
          <t>ABB Q2 2026 Financial Information.pdf | value | 3,905</t>
        </r>
      </text>
    </comment>
    <comment ref="D162" authorId="0">
      <text>
        <r>
          <rPr>
            <sz val="9"/>
            <color rgb="FF000000"/>
            <rFont val="Arial"/>
            <family val="2"/>
          </rPr>
          <t>ABB Q2 2026 Financial Information.pdf | value | 1,159</t>
        </r>
      </text>
    </comment>
    <comment ref="D163" authorId="0">
      <text>
        <r>
          <rPr>
            <sz val="9"/>
            <color rgb="FF000000"/>
            <rFont val="Arial"/>
            <family val="2"/>
          </rPr>
          <t>ABB Q2 2026 Financial Information.pdf | value | 1,314</t>
        </r>
      </text>
    </comment>
    <comment ref="D164" authorId="0">
      <text>
        <r>
          <rPr>
            <sz val="9"/>
            <color rgb="FF000000"/>
            <rFont val="Arial"/>
            <family val="2"/>
          </rPr>
          <t>ABB Q2 2026 Financial Information.pdf | value | 1,087</t>
        </r>
      </text>
    </comment>
    <comment ref="D165" authorId="0">
      <text>
        <r>
          <rPr>
            <sz val="9"/>
            <color rgb="FF000000"/>
            <rFont val="Arial"/>
            <family val="2"/>
          </rPr>
          <t>ABB Q2 2026 Financial Information.pdf | value | 1,169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ABB Q2 2026 Financial Information.pdf | value | 534</t>
        </r>
      </text>
    </comment>
    <comment ref="D167" authorId="0">
      <text>
        <r>
          <rPr>
            <sz val="9"/>
            <color rgb="FF000000"/>
            <rFont val="Arial"/>
            <family val="2"/>
          </rPr>
          <t>ABB Q2 2026 Financial Information.pdf | value | 3,095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ABB Q2 2026 Financial Information.pdf | value | 547</t>
        </r>
      </text>
    </comment>
    <comment ref="D169" authorId="0">
      <text>
        <r>
          <rPr>
            <sz val="9"/>
            <color rgb="FF000000"/>
            <rFont val="Arial"/>
            <family val="2"/>
          </rPr>
          <t>ABB Q2 2026 Financial Information.pdf | value | 263</t>
        </r>
      </text>
    </comment>
    <comment ref="D170" authorId="0">
      <text>
        <r>
          <rPr>
            <sz val="9"/>
            <color rgb="FF000000"/>
            <rFont val="Arial"/>
            <family val="2"/>
          </rPr>
          <t>ABB Q2 2026 Financial Information.pdf | value | (2,376)</t>
        </r>
      </text>
    </comment>
    <comment ref="D171" authorId="0">
      <text>
        <r>
          <rPr>
            <sz val="9"/>
            <color rgb="FF000000"/>
            <rFont val="Arial"/>
            <family val="2"/>
          </rPr>
          <t>ABB Q2 2026 Financial Information.pdf | value | (603)</t>
        </r>
      </text>
    </comment>
    <comment ref="D172" authorId="0">
      <text>
        <r>
          <rPr>
            <sz val="9"/>
            <color rgb="FF000000"/>
            <rFont val="Arial"/>
            <family val="2"/>
          </rPr>
          <t>ABB Q2 2026 Financial Information.pdf | value | (151)</t>
        </r>
      </text>
    </comment>
    <comment ref="D173" authorId="0">
      <text>
        <r>
          <rPr>
            <sz val="9"/>
            <color rgb="FF000000"/>
            <rFont val="Arial"/>
            <family val="2"/>
          </rPr>
          <t>ABB Q2 2026 Financial Information.pdf | value | (8)</t>
        </r>
      </text>
    </comment>
    <comment ref="D174" authorId="0">
      <text>
        <r>
          <rPr>
            <sz val="9"/>
            <color rgb="FF000000"/>
            <rFont val="Arial"/>
            <family val="2"/>
          </rPr>
          <t>ABB Q2 2026 Financial Information.pdf | value | 767</t>
        </r>
      </text>
    </comment>
    <comment ref="D175" authorId="0">
      <text>
        <r>
          <rPr>
            <sz val="9"/>
            <color rgb="FF000000"/>
            <rFont val="Arial"/>
            <family val="2"/>
          </rPr>
          <t>ABB Q2 2026 Financial Information.pdf | value | (11)</t>
        </r>
      </text>
    </comment>
    <comment ref="D176" authorId="0">
      <text>
        <r>
          <rPr>
            <sz val="9"/>
            <color rgb="FF000000"/>
            <rFont val="Arial"/>
            <family val="2"/>
          </rPr>
          <t>ABB Q2 2026 Financial Information.pdf | value | 754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ABB Q2 2026 Financial Information.pdf | value | 5,011</t>
        </r>
      </text>
    </comment>
    <comment ref="D178" authorId="0">
      <text>
        <r>
          <rPr>
            <sz val="9"/>
            <color rgb="FF000000"/>
            <rFont val="Arial"/>
            <family val="2"/>
          </rPr>
          <t>ABB Q2 2026 Financial Information.pdf | value | 3,828</t>
        </r>
      </text>
    </comment>
    <comment ref="D179" authorId="0">
      <text>
        <r>
          <rPr>
            <sz val="9"/>
            <color rgb="FF000000"/>
            <rFont val="Arial"/>
            <family val="2"/>
          </rPr>
          <t>ABB Q2 2026 Financial Information.pdf | value | 1,648</t>
        </r>
      </text>
    </comment>
    <comment ref="D180" authorId="0">
      <text>
        <r>
          <rPr>
            <sz val="9"/>
            <color rgb="FF000000"/>
            <rFont val="Arial"/>
            <family val="2"/>
          </rPr>
          <t>ABB Q2 2026 Financial Information.pdf | value | 984</t>
        </r>
      </text>
    </comment>
    <comment ref="D181" authorId="0">
      <text>
        <r>
          <rPr>
            <sz val="9"/>
            <color rgb="FF000000"/>
            <rFont val="Arial"/>
            <family val="2"/>
          </rPr>
          <t>ABB Q2 2026 Financial Information.pdf | value | 637</t>
        </r>
      </text>
    </comment>
    <comment ref="D182" authorId="0">
      <text>
        <r>
          <rPr>
            <sz val="9"/>
            <color rgb="FF000000"/>
            <rFont val="Arial"/>
            <family val="2"/>
          </rPr>
          <t>ABB Q2 2026 Financial Information.pdf | value | 1,176</t>
        </r>
      </text>
    </comment>
    <comment ref="D183" authorId="0">
      <text>
        <r>
          <rPr>
            <sz val="9"/>
            <color rgb="FF000000"/>
            <rFont val="Arial"/>
            <family val="2"/>
          </rPr>
          <t>ABB Q2 2026 Financial Information.pdf | value | 339</t>
        </r>
      </text>
    </comment>
    <comment ref="D184" authorId="0">
      <text>
        <r>
          <rPr>
            <sz val="9"/>
            <color rgb="FF000000"/>
            <rFont val="Arial"/>
            <family val="2"/>
          </rPr>
          <t>ABB Q2 2026 Financial Information.pdf | value | 2,348</t>
        </r>
      </text>
    </comment>
    <comment ref="D185" authorId="0">
      <text>
        <r>
          <rPr>
            <sz val="9"/>
            <color rgb="FF000000"/>
            <rFont val="Arial"/>
            <family val="2"/>
          </rPr>
          <t>ABB Q2 2026 Financial Information.pdf | value | 1,460</t>
        </r>
      </text>
    </comment>
    <comment ref="D186" authorId="0">
      <text>
        <r>
          <rPr>
            <sz val="9"/>
            <color rgb="FF000000"/>
            <rFont val="Arial"/>
            <family val="2"/>
          </rPr>
          <t>ABB Q2 2026 Financial Information.pdf | value | 20</t>
        </r>
      </text>
    </comment>
    <comment ref="D187" authorId="0">
      <text>
        <r>
          <rPr>
            <sz val="9"/>
            <color rgb="FF000000"/>
            <rFont val="Arial"/>
            <family val="2"/>
          </rPr>
          <t>ABB Q2 2026 Financial Information.pdf | value | (2,328)</t>
        </r>
      </text>
    </comment>
    <comment ref="D188" authorId="0">
      <text>
        <r>
          <rPr>
            <sz val="9"/>
            <color rgb="FF000000"/>
            <rFont val="Arial"/>
            <family val="2"/>
          </rPr>
          <t>ABB Q2 2026 Financial Information.pdf | value | (757)</t>
        </r>
      </text>
    </comment>
    <comment ref="D189" authorId="0">
      <text>
        <r>
          <rPr>
            <sz val="9"/>
            <color rgb="FF000000"/>
            <rFont val="Arial"/>
            <family val="2"/>
          </rPr>
          <t>ABB Q2 2026 Financial Information.pdf | value | (197)</t>
        </r>
      </text>
    </comment>
    <comment ref="D190" authorId="0">
      <text>
        <r>
          <rPr>
            <sz val="9"/>
            <color rgb="FF000000"/>
            <rFont val="Arial"/>
            <family val="2"/>
          </rPr>
          <t>ABB Q2 2026 Financial Information.pdf | value | (3)</t>
        </r>
      </text>
    </comment>
    <comment ref="D191" authorId="0">
      <text>
        <r>
          <rPr>
            <sz val="9"/>
            <color rgb="FF000000"/>
            <rFont val="Arial"/>
            <family val="2"/>
          </rPr>
          <t>ABB Q2 2026 Financial Information.pdf | value | 543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ABB Q2 2026 Financial Information.pdf | value | 1</t>
        </r>
      </text>
    </comment>
    <comment ref="D193" authorId="0">
      <text>
        <r>
          <rPr>
            <sz val="9"/>
            <color rgb="FF000000"/>
            <rFont val="Arial"/>
            <family val="2"/>
          </rPr>
          <t>ABB Q2 2026 Financial Information.pdf | value | 521</t>
        </r>
      </text>
    </comment>
    <comment ref="D194" authorId="0">
      <text>
        <r>
          <rPr>
            <sz val="9"/>
            <color rgb="FF000000"/>
            <rFont val="Arial"/>
            <family val="2"/>
          </rPr>
          <t>ABB Q2 2026 Financial Information.pdf | value | 13,065</t>
        </r>
      </text>
    </comment>
    <comment ref="D195" authorId="0">
      <text>
        <r>
          <rPr>
            <sz val="9"/>
            <color rgb="FF000000"/>
            <rFont val="Arial"/>
            <family val="2"/>
          </rPr>
          <t>ABB Q2 2026 Financial Information.pdf | value | 2,612</t>
        </r>
      </text>
    </comment>
    <comment ref="D196" authorId="0">
      <text>
        <r>
          <rPr>
            <sz val="9"/>
            <color rgb="FF000000"/>
            <rFont val="Arial"/>
            <family val="2"/>
          </rPr>
          <t>ABB Q2 2026 Financial Information.pdf | value | (7,773)</t>
        </r>
      </text>
    </comment>
    <comment ref="D197" authorId="0">
      <text>
        <r>
          <rPr>
            <sz val="9"/>
            <color rgb="FF000000"/>
            <rFont val="Arial"/>
            <family val="2"/>
          </rPr>
          <t>ABB Q2 2026 Financial Information.pdf | value | (1,420)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ABB Q2 2026 Financial Information.pdf | value | (3,205)</t>
        </r>
      </text>
    </comment>
    <comment ref="D199" authorId="0">
      <text>
        <r>
          <rPr>
            <sz val="9"/>
            <color rgb="FF000000"/>
            <rFont val="Arial"/>
            <family val="2"/>
          </rPr>
          <t>ABB Q2 2026 Financial Information.pdf | value | (623)</t>
        </r>
      </text>
    </comment>
    <comment ref="D200" authorId="0">
      <text>
        <r>
          <rPr>
            <sz val="9"/>
            <color rgb="FF000000"/>
            <rFont val="Arial"/>
            <family val="2"/>
          </rPr>
          <t>ABB Q2 2026 Financial Information.pdf | value | 284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ABB Q2 2026 Financial Information.pdf | value | 95</t>
        </r>
      </text>
    </comment>
    <comment ref="D202" authorId="0">
      <text>
        <r>
          <rPr>
            <sz val="9"/>
            <color rgb="FF000000"/>
            <rFont val="Arial"/>
            <family val="2"/>
          </rPr>
          <t>ABB Q2 2026 Financial Information.pdf | value | (49)</t>
        </r>
      </text>
    </comment>
    <comment ref="D203" authorId="0">
      <text>
        <r>
          <rPr>
            <sz val="9"/>
            <color rgb="FF000000"/>
            <rFont val="Arial"/>
            <family val="2"/>
          </rPr>
          <t>ABB Q2 2026 Financial Information.pdf | value | 30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ABB Q2 2026 Financial Information.pdf | value | (848)</t>
        </r>
      </text>
    </comment>
    <comment ref="D205" authorId="0">
      <text>
        <r>
          <rPr>
            <sz val="9"/>
            <color rgb="FF000000"/>
            <rFont val="Arial"/>
            <family val="2"/>
          </rPr>
          <t>ABB Q2 2026 Financial Information.pdf | value | 131</t>
        </r>
      </text>
    </comment>
    <comment ref="D206" authorId="0">
      <text>
        <r>
          <rPr>
            <sz val="9"/>
            <color rgb="FF000000"/>
            <rFont val="Arial"/>
            <family val="2"/>
          </rPr>
          <t>ABB Q2 2026 Financial Information.pdf | value | (46)</t>
        </r>
      </text>
    </comment>
    <comment ref="D207" authorId="0">
      <text>
        <r>
          <rPr>
            <sz val="9"/>
            <color rgb="FF000000"/>
            <rFont val="Arial"/>
            <family val="2"/>
          </rPr>
          <t>ABB Q2 2026 Financial Information.pdf | value | 2,122</t>
        </r>
      </text>
    </comment>
    <comment ref="D208" authorId="0">
      <text>
        <r>
          <rPr>
            <sz val="9"/>
            <color rgb="FF000000"/>
            <rFont val="Arial"/>
            <family val="2"/>
          </rPr>
          <t>ABB Q2 2026 Financial Information.pdf | value | (89)</t>
        </r>
      </text>
    </comment>
    <comment ref="D209" authorId="0">
      <text>
        <r>
          <rPr>
            <sz val="9"/>
            <color rgb="FF000000"/>
            <rFont val="Arial"/>
            <family val="2"/>
          </rPr>
          <t>ABB Q2 2026 Financial Information.pdf | value | (62)</t>
        </r>
      </text>
    </comment>
    <comment ref="D210" authorId="0">
      <text>
        <r>
          <rPr>
            <sz val="9"/>
            <color rgb="FF000000"/>
            <rFont val="Arial"/>
            <family val="2"/>
          </rPr>
          <t>ABB Q2 2026 Financial Information.pdf | value | 15</t>
        </r>
      </text>
    </comment>
    <comment ref="D211" authorId="0">
      <text>
        <r>
          <rPr>
            <sz val="9"/>
            <color rgb="FF000000"/>
            <rFont val="Arial"/>
            <family val="2"/>
          </rPr>
          <t>ABB Q2 2026 Financial Information.pdf | value | 3,093</t>
        </r>
      </text>
    </comment>
    <comment ref="D212" authorId="0">
      <text>
        <r>
          <rPr>
            <sz val="9"/>
            <color rgb="FF000000"/>
            <rFont val="Arial"/>
            <family val="2"/>
          </rPr>
          <t>ABB Q2 2026 Financial Information.pdf | value | (24)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ABB Q2 2026 Financial Information.pdf | value | 91</t>
        </r>
      </text>
    </comment>
    <comment ref="D214" authorId="0">
      <text>
        <r>
          <rPr>
            <sz val="9"/>
            <color rgb="FF000000"/>
            <rFont val="Arial"/>
            <family val="2"/>
          </rPr>
          <t>ABB Q2 2026 Financial Information.pdf | value | 20</t>
        </r>
      </text>
    </comment>
    <comment ref="D215" authorId="0">
      <text>
        <r>
          <rPr>
            <sz val="9"/>
            <color rgb="FF000000"/>
            <rFont val="Arial"/>
            <family val="2"/>
          </rPr>
          <t>ABB Q2 2026 Financial Information.pdf | value | (3)</t>
        </r>
      </text>
    </comment>
    <comment ref="D216" authorId="0">
      <text>
        <r>
          <rPr>
            <sz val="9"/>
            <color rgb="FF000000"/>
            <rFont val="Arial"/>
            <family val="2"/>
          </rPr>
          <t>ABB Q2 2026 Financial Information.pdf | value | (12)</t>
        </r>
      </text>
    </comment>
    <comment ref="D217" authorId="0">
      <text>
        <r>
          <rPr>
            <sz val="9"/>
            <color rgb="FF000000"/>
            <rFont val="Arial"/>
            <family val="2"/>
          </rPr>
          <t>ABB Q2 2026 Financial Information.pdf | value | 27</t>
        </r>
      </text>
    </comment>
    <comment ref="D218" authorId="0">
      <text>
        <r>
          <rPr>
            <sz val="9"/>
            <color rgb="FF000000"/>
            <rFont val="Arial"/>
            <family val="2"/>
          </rPr>
          <t>ABB Q2 2026 Financial Information.pdf | value | 92</t>
        </r>
      </text>
    </comment>
    <comment ref="D219" authorId="0">
      <text>
        <r>
          <rPr>
            <sz val="9"/>
            <color rgb="FF000000"/>
            <rFont val="Arial"/>
            <family val="2"/>
          </rPr>
          <t>ABB Q2 2026 Financial Information.pdf | value | (34)</t>
        </r>
      </text>
    </comment>
    <comment ref="D220" authorId="0">
      <text>
        <r>
          <rPr>
            <sz val="9"/>
            <color rgb="FF000000"/>
            <rFont val="Arial"/>
            <family val="2"/>
          </rPr>
          <t>ABB Q2 2026 Financial Information.pdf | value | (28)</t>
        </r>
      </text>
    </comment>
    <comment ref="D221" authorId="0">
      <text>
        <r>
          <rPr>
            <sz val="9"/>
            <color rgb="FF000000"/>
            <rFont val="Arial"/>
            <family val="2"/>
          </rPr>
          <t>ABB Q2 2026 Financial Information.pdf | value | 2,299</t>
        </r>
      </text>
    </comment>
    <comment ref="D222" authorId="0">
      <text>
        <r>
          <rPr>
            <sz val="9"/>
            <color rgb="FF000000"/>
            <rFont val="Arial"/>
            <family val="2"/>
          </rPr>
          <t>ABB Q2 2026 Financial Information.pdf | value | (131)</t>
        </r>
      </text>
    </comment>
    <comment ref="D223" authorId="0">
      <text>
        <r>
          <rPr>
            <sz val="9"/>
            <color rgb="FF000000"/>
            <rFont val="Arial"/>
            <family val="2"/>
          </rPr>
          <t>ABB Q2 2026 Financial Information.pdf | value | 388</t>
        </r>
      </text>
    </comment>
    <comment ref="D224" authorId="0">
      <text>
        <r>
          <rPr>
            <sz val="9"/>
            <color rgb="FF000000"/>
            <rFont val="Arial"/>
            <family val="2"/>
          </rPr>
          <t>ABB Q2 2026 Financial Information.pdf | value | (40)</t>
        </r>
      </text>
    </comment>
    <comment ref="D225" authorId="0">
      <text>
        <r>
          <rPr>
            <sz val="9"/>
            <color rgb="FF000000"/>
            <rFont val="Arial"/>
            <family val="2"/>
          </rPr>
          <t>ABB Q2 2026 Financial Information.pdf | value | (40)</t>
        </r>
      </text>
    </comment>
    <comment ref="D226" authorId="0">
      <text>
        <r>
          <rPr>
            <sz val="9"/>
            <color rgb="FF000000"/>
            <rFont val="Arial"/>
            <family val="2"/>
          </rPr>
          <t>ABB Q2 2026 Financial Information.pdf | value | 102</t>
        </r>
      </text>
    </comment>
    <comment ref="D227" authorId="0">
      <text>
        <r>
          <rPr>
            <sz val="9"/>
            <color rgb="FF000000"/>
            <rFont val="Arial"/>
            <family val="2"/>
          </rPr>
          <t>ABB Q2 2026 Financial Information.pdf | value | (86)</t>
        </r>
      </text>
    </comment>
    <comment ref="D228" authorId="0">
      <text>
        <r>
          <rPr>
            <sz val="9"/>
            <color rgb="FF000000"/>
            <rFont val="Arial"/>
            <family val="2"/>
          </rPr>
          <t>ABB Q2 2026 Financial Information.pdf | value | (184)</t>
        </r>
      </text>
    </comment>
    <comment ref="D229" authorId="0">
      <text>
        <r>
          <rPr>
            <sz val="9"/>
            <color rgb="FF000000"/>
            <rFont val="Arial"/>
            <family val="2"/>
          </rPr>
          <t>ABB Q2 2026 Financial Information.pdf | value | (12)</t>
        </r>
      </text>
    </comment>
    <comment ref="D230" authorId="0">
      <text>
        <r>
          <rPr>
            <sz val="9"/>
            <color rgb="FF000000"/>
            <rFont val="Arial"/>
            <family val="2"/>
          </rPr>
          <t>ABB Q2 2026 Financial Information.pdf | value | 15</t>
        </r>
      </text>
    </comment>
    <comment ref="D231" authorId="0">
      <text>
        <r>
          <rPr>
            <sz val="9"/>
            <color rgb="FF000000"/>
            <rFont val="Arial"/>
            <family val="2"/>
          </rPr>
          <t>ABB Q2 2026 Financial Information.pdf | value | (250)</t>
        </r>
      </text>
    </comment>
    <comment ref="D232" authorId="0">
      <text>
        <r>
          <rPr>
            <sz val="9"/>
            <color rgb="FF000000"/>
            <rFont val="Arial"/>
            <family val="2"/>
          </rPr>
          <t>ABB Q2 2026 Financial Information.pdf | value | 74</t>
        </r>
      </text>
    </comment>
    <comment ref="D233" authorId="0">
      <text>
        <r>
          <rPr>
            <sz val="9"/>
            <color rgb="FF000000"/>
            <rFont val="Arial"/>
            <family val="2"/>
          </rPr>
          <t>ABB Q2 2026 Financial Information.pdf | value | (52)</t>
        </r>
      </text>
    </comment>
    <comment ref="D234" authorId="0">
      <text>
        <r>
          <rPr>
            <sz val="9"/>
            <color rgb="FF000000"/>
            <rFont val="Arial"/>
            <family val="2"/>
          </rPr>
          <t>ABB Q2 2026 Financial Information.pdf | value | (88)</t>
        </r>
      </text>
    </comment>
    <comment ref="D235" authorId="0">
      <text>
        <r>
          <rPr>
            <sz val="9"/>
            <color rgb="FF000000"/>
            <rFont val="Arial"/>
            <family val="2"/>
          </rPr>
          <t>ABB Q2 2026 Financial Information.pdf | value | (346)</t>
        </r>
      </text>
    </comment>
    <comment ref="D236" authorId="0">
      <text>
        <r>
          <rPr>
            <sz val="9"/>
            <color rgb="FF000000"/>
            <rFont val="Arial"/>
            <family val="2"/>
          </rPr>
          <t>ABB Q2 2026 Financial Information.pdf | value | (52)</t>
        </r>
      </text>
    </comment>
    <comment ref="D237" authorId="0">
      <text>
        <r>
          <rPr>
            <sz val="9"/>
            <color rgb="FF000000"/>
            <rFont val="Arial"/>
            <family val="2"/>
          </rPr>
          <t>ABB Q2 2026 Financial Information.pdf | value | 183</t>
        </r>
      </text>
    </comment>
    <comment ref="D238" authorId="0">
      <text>
        <r>
          <rPr>
            <sz val="9"/>
            <color rgb="FF000000"/>
            <rFont val="Arial"/>
            <family val="2"/>
          </rPr>
          <t>ABB Q2 2026 Financial Information.pdf | value | (201)</t>
        </r>
      </text>
    </comment>
    <comment ref="D239" authorId="0">
      <text>
        <r>
          <rPr>
            <sz val="9"/>
            <color rgb="FF000000"/>
            <rFont val="Arial"/>
            <family val="2"/>
          </rPr>
          <t>ABB Q2 2026 Financial Information.pdf | value | 164</t>
        </r>
      </text>
    </comment>
    <comment ref="D240" authorId="0">
      <text>
        <r>
          <rPr>
            <sz val="9"/>
            <color rgb="FF000000"/>
            <rFont val="Arial"/>
            <family val="2"/>
          </rPr>
          <t>ABB Q2 2026 Financial Information.pdf | value | (996)</t>
        </r>
      </text>
    </comment>
    <comment ref="D241" authorId="0">
      <text>
        <r>
          <rPr>
            <sz val="9"/>
            <color rgb="FF000000"/>
            <rFont val="Arial"/>
            <family val="2"/>
          </rPr>
          <t>ABB Q2 2026 Financial Information.pdf | value | (385)</t>
        </r>
      </text>
    </comment>
    <comment ref="D242" authorId="0">
      <text>
        <r>
          <rPr>
            <sz val="9"/>
            <color rgb="FF000000"/>
            <rFont val="Arial"/>
            <family val="2"/>
          </rPr>
          <t>ABB Q2 2026 Financial Information.pdf | value | (570)</t>
        </r>
      </text>
    </comment>
    <comment ref="D243" authorId="0">
      <text>
        <r>
          <rPr>
            <sz val="9"/>
            <color rgb="FF000000"/>
            <rFont val="Arial"/>
            <family val="2"/>
          </rPr>
          <t>ABB Q2 2026 Financial Information.pdf | value | 517</t>
        </r>
      </text>
    </comment>
    <comment ref="D244" authorId="0">
      <text>
        <r>
          <rPr>
            <sz val="9"/>
            <color rgb="FF000000"/>
            <rFont val="Arial"/>
            <family val="2"/>
          </rPr>
          <t>ABB Q2 2026 Financial Information.pdf | value | 173</t>
        </r>
      </text>
    </comment>
    <comment ref="D245" authorId="0">
      <text>
        <r>
          <rPr>
            <sz val="9"/>
            <color rgb="FF000000"/>
            <rFont val="Arial"/>
            <family val="2"/>
          </rPr>
          <t>ABB Q2 2026 Financial Information.pdf | value | 73</t>
        </r>
      </text>
    </comment>
    <comment ref="D246" authorId="0">
      <text>
        <r>
          <rPr>
            <sz val="9"/>
            <color rgb="FF000000"/>
            <rFont val="Arial"/>
            <family val="2"/>
          </rPr>
          <t>ABB Q2 2026 Financial Information.pdf | value | (3)</t>
        </r>
      </text>
    </comment>
    <comment ref="D247" authorId="0">
      <text>
        <r>
          <rPr>
            <sz val="9"/>
            <color rgb="FF000000"/>
            <rFont val="Arial"/>
            <family val="2"/>
          </rPr>
          <t>ABB Q2 2026 Financial Information.pdf | value | 1</t>
        </r>
      </text>
    </comment>
    <comment ref="D248" authorId="0">
      <text>
        <r>
          <rPr>
            <sz val="9"/>
            <color rgb="FF000000"/>
            <rFont val="Arial"/>
            <family val="2"/>
          </rPr>
          <t>ABB Q2 2026 Financial Information.pdf | value | (42)</t>
        </r>
      </text>
    </comment>
    <comment ref="D249" authorId="0">
      <text>
        <r>
          <rPr>
            <sz val="9"/>
            <color rgb="FF000000"/>
            <rFont val="Arial"/>
            <family val="2"/>
          </rPr>
          <t>ABB Q2 2026 Financial Information.pdf | value | 139</t>
        </r>
      </text>
    </comment>
    <comment ref="D250" authorId="0">
      <text>
        <r>
          <rPr>
            <sz val="9"/>
            <color rgb="FF000000"/>
            <rFont val="Arial"/>
            <family val="2"/>
          </rPr>
          <t>ABB Q2 2026 Financial Information.pdf | value | 1,090</t>
        </r>
      </text>
    </comment>
    <comment ref="D251" authorId="0">
      <text>
        <r>
          <rPr>
            <sz val="9"/>
            <color rgb="FF000000"/>
            <rFont val="Arial"/>
            <family val="2"/>
          </rPr>
          <t>ABB Q2 2026 Financial Information.pdf | value | (131)</t>
        </r>
      </text>
    </comment>
    <comment ref="D252" authorId="0">
      <text>
        <r>
          <rPr>
            <sz val="9"/>
            <color rgb="FF000000"/>
            <rFont val="Arial"/>
            <family val="2"/>
          </rPr>
          <t>ABB Q2 2026 Financial Information.pdf | value | 19</t>
        </r>
      </text>
    </comment>
    <comment ref="D253" authorId="0">
      <text>
        <r>
          <rPr>
            <sz val="9"/>
            <color rgb="FF000000"/>
            <rFont val="Arial"/>
            <family val="2"/>
          </rPr>
          <t>ABB Q2 2026 Financial Information.pdf | value | (783)</t>
        </r>
      </text>
    </comment>
    <comment ref="D254" authorId="0">
      <text>
        <r>
          <rPr>
            <sz val="9"/>
            <color rgb="FF000000"/>
            <rFont val="Arial"/>
            <family val="2"/>
          </rPr>
          <t>ABB Q2 2026 Financial Information.pdf | value | (1,907)</t>
        </r>
      </text>
    </comment>
    <comment ref="D255" authorId="0">
      <text>
        <r>
          <rPr>
            <sz val="9"/>
            <color rgb="FF000000"/>
            <rFont val="Arial"/>
            <family val="2"/>
          </rPr>
          <t>ABB Q2 2026 Financial Information.pdf | value | (105)</t>
        </r>
      </text>
    </comment>
    <comment ref="D256" authorId="0">
      <text>
        <r>
          <rPr>
            <sz val="9"/>
            <color rgb="FF000000"/>
            <rFont val="Arial"/>
            <family val="2"/>
          </rPr>
          <t>ABB Q2 2026 Financial Information.pdf | value | 8</t>
        </r>
      </text>
    </comment>
    <comment ref="D257" authorId="0">
      <text>
        <r>
          <rPr>
            <sz val="9"/>
            <color rgb="FF000000"/>
            <rFont val="Arial"/>
            <family val="2"/>
          </rPr>
          <t>ABB Q2 2026 Financial Information.pdf | value | 0</t>
        </r>
      </text>
    </comment>
    <comment ref="D258" authorId="0">
      <text>
        <r>
          <rPr>
            <sz val="9"/>
            <color rgb="FF000000"/>
            <rFont val="Arial"/>
            <family val="2"/>
          </rPr>
          <t>ABB Q2 2026 Financial Information.pdf | value | 99</t>
        </r>
      </text>
    </comment>
    <comment ref="D259" authorId="0">
      <text>
        <r>
          <rPr>
            <sz val="9"/>
            <color rgb="FF000000"/>
            <rFont val="Arial"/>
            <family val="2"/>
          </rPr>
          <t>ABB Q2 2026 Financial Information.pdf | value | 0</t>
        </r>
      </text>
    </comment>
    <comment ref="D260" authorId="0">
      <text>
        <r>
          <rPr>
            <sz val="9"/>
            <color rgb="FF000000"/>
            <rFont val="Arial"/>
            <family val="2"/>
          </rPr>
          <t>ABB Q2 2026 Financial Information.pdf | value | 272</t>
        </r>
      </text>
    </comment>
    <comment ref="D261" authorId="0">
      <text>
        <r>
          <rPr>
            <sz val="9"/>
            <color rgb="FF000000"/>
            <rFont val="Arial"/>
            <family val="2"/>
          </rPr>
          <t>ABB Q2 2026 Financial Information.pdf | value | 116</t>
        </r>
      </text>
    </comment>
    <comment ref="D262" authorId="0">
      <text>
        <r>
          <rPr>
            <sz val="9"/>
            <color rgb="FF000000"/>
            <rFont val="Arial"/>
            <family val="2"/>
          </rPr>
          <t>ABB Q2 2026 Financial Information.pdf | value | 5,341</t>
        </r>
      </text>
    </comment>
    <comment ref="D263" authorId="0">
      <text>
        <r>
          <rPr>
            <sz val="9"/>
            <color rgb="FF000000"/>
            <rFont val="Arial"/>
            <family val="2"/>
          </rPr>
          <t>ABB Q2 2026 Financial Information.pdf | value | 5,956</t>
        </r>
      </text>
    </comment>
    <comment ref="D264" authorId="0">
      <text>
        <r>
          <rPr>
            <sz val="9"/>
            <color rgb="FF000000"/>
            <rFont val="Arial"/>
            <family val="2"/>
          </rPr>
          <t>ABB Q2 2026 Financial Information.pdf | value | 4,641</t>
        </r>
      </text>
    </comment>
    <comment ref="D265" authorId="0">
      <text>
        <r>
          <rPr>
            <sz val="9"/>
            <color rgb="FF000000"/>
            <rFont val="Arial"/>
            <family val="2"/>
          </rPr>
          <t>ABB Q2 2026 Financial Information.pdf | value | 4,380</t>
        </r>
      </text>
    </comment>
    <comment ref="D266" authorId="0">
      <text>
        <r>
          <rPr>
            <sz val="9"/>
            <color rgb="FF000000"/>
            <rFont val="Arial"/>
            <family val="2"/>
          </rPr>
          <t>ABB Q2 2026 Financial Information.pdf | value | 1,746</t>
        </r>
      </text>
    </comment>
    <comment ref="D267" authorId="0">
      <text>
        <r>
          <rPr>
            <sz val="9"/>
            <color rgb="FF000000"/>
            <rFont val="Arial"/>
            <family val="2"/>
          </rPr>
          <t>ABB Q2 2026 Financial Information.pdf | value | 5,880</t>
        </r>
      </text>
    </comment>
    <comment ref="D268" authorId="0">
      <text>
        <r>
          <rPr>
            <sz val="9"/>
            <color rgb="FF000000"/>
            <rFont val="Arial"/>
            <family val="2"/>
          </rPr>
          <t>ABB Q2 2026 Financial Information.pdf | value | 6,757</t>
        </r>
      </text>
    </comment>
    <comment ref="D269" authorId="0">
      <text>
        <r>
          <rPr>
            <sz val="9"/>
            <color rgb="FF000000"/>
            <rFont val="Arial"/>
            <family val="2"/>
          </rPr>
          <t>ABB Q2 2026 Financial Information.pdf | value | 5,293</t>
        </r>
      </text>
    </comment>
    <comment ref="D270" authorId="0">
      <text>
        <r>
          <rPr>
            <sz val="9"/>
            <color rgb="FF000000"/>
            <rFont val="Arial"/>
            <family val="2"/>
          </rPr>
          <t>ABB Q2 2026 Financial Information.pdf | value | 5,206</t>
        </r>
      </text>
    </comment>
    <comment ref="D271" authorId="0">
      <text>
        <r>
          <rPr>
            <sz val="9"/>
            <color rgb="FF000000"/>
            <rFont val="Arial"/>
            <family val="2"/>
          </rPr>
          <t>ABB Q2 2026 Financial Information.pdf | value | 2,029</t>
        </r>
      </text>
    </comment>
    <comment ref="C275" authorId="0">
      <text>
        <r>
          <rPr>
            <sz val="9"/>
            <color rgb="FF000000"/>
            <rFont val="Arial"/>
            <family val="2"/>
          </rPr>
          <t>9AKK108473A4206_en_A_ABB Pre Q3 2026 Consensus.pdf | value | 8,491</t>
        </r>
      </text>
    </comment>
    <comment ref="C276" authorId="0">
      <text>
        <r>
          <rPr>
            <sz val="9"/>
            <color rgb="FF000000"/>
            <rFont val="Arial"/>
            <family val="2"/>
          </rPr>
          <t>9AKK108473A4206_en_A_ABB Pre Q3 2026 Consensus.pdf | value | 1,633</t>
        </r>
      </text>
    </comment>
    <comment ref="C277" authorId="0">
      <text>
        <r>
          <rPr>
            <sz val="9"/>
            <color rgb="FF000000"/>
            <rFont val="Arial"/>
            <family val="2"/>
          </rPr>
          <t>9AKK108473A4206_en_A_ABB Pre Q3 2026 Consensus.pdf | value | 19.2%</t>
        </r>
      </text>
    </comment>
    <comment ref="C278" authorId="0">
      <text>
        <r>
          <rPr>
            <sz val="9"/>
            <color rgb="FF000000"/>
            <rFont val="Arial"/>
            <family val="2"/>
          </rPr>
          <t>9AKK108473A4206_en_A_ABB Pre Q3 2026 Consensus.pdf | value | 1,208</t>
        </r>
      </text>
    </comment>
    <comment ref="C279" authorId="0">
      <text>
        <r>
          <rPr>
            <sz val="9"/>
            <color rgb="FF000000"/>
            <rFont val="Arial"/>
            <family val="2"/>
          </rPr>
          <t>9AKK108473A4206_en_A_ABB Pre Q3 2026 Consensus.pdf | value | 1,823</t>
        </r>
      </text>
    </comment>
    <comment ref="C280" authorId="0">
      <text>
        <r>
          <rPr>
            <sz val="9"/>
            <color rgb="FF000000"/>
            <rFont val="Arial"/>
            <family val="2"/>
          </rPr>
          <t>9AKK108473A4206_en_A_ABB Pre Q3 2026 Consensus.pdf | value | 0.66</t>
        </r>
      </text>
    </comment>
    <comment ref="C282" authorId="0">
      <text>
        <r>
          <rPr>
            <sz val="9"/>
            <color rgb="FF000000"/>
            <rFont val="Arial"/>
            <family val="2"/>
          </rPr>
          <t>ABB Q2 2026 Financial Information.pdf | value | approximately 5 million</t>
        </r>
      </text>
    </comment>
    <comment ref="C283" authorId="0">
      <text>
        <r>
          <rPr>
            <sz val="9"/>
            <color rgb="FF000000"/>
            <rFont val="Arial"/>
            <family val="2"/>
          </rPr>
          <t>ABB-Q1-2026-financial-information.pdf | value | approximately 3 million</t>
        </r>
      </text>
    </comment>
  </commentList>
</comments>
</file>

<file path=xl/sharedStrings.xml><?xml version="1.0" encoding="utf-8"?>
<sst xmlns="http://schemas.openxmlformats.org/spreadsheetml/2006/main" count="978" uniqueCount="978">
  <si>
    <t>Company Model — built by Shortcut</t>
  </si>
  <si>
    <t>ABB Ltd (SWX:ABBN)</t>
  </si>
  <si>
    <t>Cover — Company Model — built by Shortcut</t>
  </si>
  <si>
    <t>$ millions, except per share</t>
  </si>
  <si>
    <t>Model timeline (reference)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</si>
  <si>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</si>
  <si>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</si>
  <si>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</si>
  <si>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</si>
  <si>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</si>
  <si>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</si>
  <si>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</si>
  <si>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</si>
  <si>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</si>
  <si>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Company</t>
  </si>
  <si>
    <t>ABB Ltd</t>
  </si>
  <si>
    <t>Ticker / exchange</t>
  </si>
  <si>
    <t>ABBN — SIX Swiss Exchange (SWX:ABBN); CapIQ EPS block anchored to OM:ABB (USD)</t>
  </si>
  <si>
    <t>Fiscal year end</t>
  </si>
  <si>
    <t>31 December (FQ3 2026 = quarter ended 30-Sep-2026; calendar month-end, no shorthand)</t>
  </si>
  <si>
    <t>Reporting currency</t>
  </si>
  <si>
    <t>USD millions (share price quoted in CHF; not used for EPS)</t>
  </si>
  <si>
    <t>EPS basis (scored)</t>
  </si>
  <si>
    <t>Normalized diluted EPS per ordinary share, USD (CapIQ); GAAP diluted EPS shown separately</t>
  </si>
  <si>
    <t>Information cutoff</t>
  </si>
  <si>
    <t>2026-10-18 21:34 UTC</t>
  </si>
  <si>
    <t>Expected report date</t>
  </si>
  <si>
    <t>2026-10-20 (frozen CapIQ expected_report_date, Inputs!C39); 07:00 CET per issuer webcast page (S13, undated)</t>
  </si>
  <si>
    <t>Author</t>
  </si>
  <si>
    <t>Shortcut — Company Model built by Shortcut</t>
  </si>
  <si>
    <t>3Q26E headline (US$ m, EPS in US$)</t>
  </si>
  <si>
    <t>Shortcut est.</t>
  </si>
  <si>
    <t>CapIQ cons.</t>
  </si>
  <si>
    <t>Variance</t>
  </si>
  <si>
    <t>Variance %</t>
  </si>
  <si>
    <t>ABB-compiled</t>
  </si>
  <si>
    <t>Guide mid.</t>
  </si>
  <si>
    <t>Revenues</t>
  </si>
  <si>
    <t>Operational EBITA</t>
  </si>
  <si>
    <t>n.a.</t>
  </si>
  <si>
    <t>CapIQ EBIT (1,947.85) is not Operational EBITA, so no like-for-like CapIQ figure; guide column = guided-midpoint revenue x 2Q26A floor margin</t>
  </si>
  <si>
    <t>Net income — normalized basis</t>
  </si>
  <si>
    <t>Not guided</t>
  </si>
  <si>
    <t>CapIQ net income excl. exceptionals (1,421.65) comes from a different contributor set than the 2-estimate normalized EPS mean</t>
  </si>
  <si>
    <t>Net income attributable to ABB — GAAP</t>
  </si>
  <si>
    <t>CapIQ GAAP net income (2,388.35) includes contributors booking the ~$2.4bn Robotics gain; the deal had not closed by 30-Sep-26</t>
  </si>
  <si>
    <t>Normalized diluted EPS (scored)</t>
  </si>
  <si>
    <t>Frozen CapIQ normalized consensus 0.82 (2 estimates, range 0.79-0.85) is the scoring baseline</t>
  </si>
  <si>
    <t>GAAP diluted EPS</t>
  </si>
  <si>
    <t>ABB-compiled figure is basic EPS on 1,808m shares</t>
  </si>
  <si>
    <t>P(beat consensus EPS)</t>
  </si>
  <si>
    <t>Confidence</t>
  </si>
  <si>
    <t>medium</t>
  </si>
  <si>
    <t>Check: Cover ties to statements (sum of abs differences)</t>
  </si>
  <si>
    <t>Cover estimate cells vs Revenue summary / Income Statement 3Q26E cells; must be 0</t>
  </si>
  <si>
    <t>Overall model check result</t>
  </si>
  <si>
    <t>PASS</t>
  </si>
  <si>
    <t>PASS = every inline check row within tolerance, incl. Share Count rows 43-44. Historical columns tie to reported figures; in 3Q26E most checks are identities by construction (RS H61, Seg H121/H122, IS H93/H154, CF H70/H71, Geo H102, SC H15) and cannot fail. Substantive 3Q26E check: BS H58; Share Count H43:H44 are integrity guards against a blank/overwritten prior cumulative. Residual plugs (IS H46, Geo AMEA) are assumptions, not checks</t>
  </si>
  <si>
    <t>Basis note: normalized EPS = GAAP net income less discontinued operations plus after-tax non-operational items (Income Statement bridge); calibrated to CapIQ actuals 4Q25-2Q26 within $0.01.</t>
  </si>
  <si>
    <t>Revenue summary: group revenue by business area, growth decomposition, orders and backlog</t>
  </si>
  <si>
    <t>Period</t>
  </si>
  <si>
    <t>Revenues by business area</t>
  </si>
  <si>
    <t>Electrification</t>
  </si>
  <si>
    <t>% Y/Y</t>
  </si>
  <si>
    <t>% Q/Q</t>
  </si>
  <si>
    <t>% of total revenues</t>
  </si>
  <si>
    <t>Organic (comparable) growth</t>
  </si>
  <si>
    <t>M&amp;A / portfolio impact</t>
  </si>
  <si>
    <t>FX impact</t>
  </si>
  <si>
    <t>Motion</t>
  </si>
  <si>
    <t>Automation</t>
  </si>
  <si>
    <t>Corporate and Other</t>
  </si>
  <si>
    <t>3Q26E assumption: E-mobility after 60% ChargeDot sale (Dec-25); 1Q26 88, 2Q26 117</t>
  </si>
  <si>
    <t>Year-ago (as restated)</t>
  </si>
  <si>
    <t>Organic/M&amp;A/FX: not disclosed</t>
  </si>
  <si>
    <t>Intersegment eliminations</t>
  </si>
  <si>
    <t>% Y/Y (change in magnitude)</t>
  </si>
  <si>
    <t>Δ Q/Q ($)</t>
  </si>
  <si>
    <t>Organic / M&amp;A / FX split: not disclosed for eliminations</t>
  </si>
  <si>
    <t>Elims % of BA revenues</t>
  </si>
  <si>
    <t>3Q26E assumption ~2Q26A (2.6%)</t>
  </si>
  <si>
    <t>Δ Y/Y (bps)</t>
  </si>
  <si>
    <t>Δ Q/Q (bps)</t>
  </si>
  <si>
    <t>Total revenues</t>
  </si>
  <si>
    <t>Local-currency growth</t>
  </si>
  <si>
    <t>Comparable growth (issuer/driver)</t>
  </si>
  <si>
    <t>3Q26E = implied by business-area build (not an independent input). Approximate: issuer treats divestments &gt;$50m revenue as portfolio changes and lists the ChargeDot 60% sale (1-Dec-25, ~$60m revenue) (S4), but H54 uses business-area M&amp;A only; ChargeDot's 3Q25 revenue is not disclosed, so its effect within Corporate (124 → 110) is not separated (if all −14 were portfolio, comparable ≈ 14.4%)</t>
  </si>
  <si>
    <t>3Q26E: business-area weighted only; excludes the undisclosed ChargeDot deconsolidation effect in Corporate (see I51)</t>
  </si>
  <si>
    <t>Organic growth (formula)</t>
  </si>
  <si>
    <t>3Q26E approximate (see I51)</t>
  </si>
  <si>
    <t>Check: segments − IS revenues</t>
  </si>
  <si>
    <t>3Q26E: identity by construction (IS revenues link to H46); historical columns tie to reported</t>
  </si>
  <si>
    <t>Guide check: 3Q26E comparable growth</t>
  </si>
  <si>
    <t>Within range</t>
  </si>
  <si>
    <t>Revenues by type (group, US GAAP)</t>
  </si>
  <si>
    <t>Sales of products</t>
  </si>
  <si>
    <t>Sales of services and other</t>
  </si>
  <si>
    <t>Products % Y/Y</t>
  </si>
  <si>
    <t>Services % Y/Y</t>
  </si>
  <si>
    <t>Organic / M&amp;A / FX split by type: not disclosed</t>
  </si>
  <si>
    <t>Services % of total revenues</t>
  </si>
  <si>
    <t>Orders and order backlog (group)</t>
  </si>
  <si>
    <t>Electrification orders</t>
  </si>
  <si>
    <t>Motion orders</t>
  </si>
  <si>
    <t>Automation orders</t>
  </si>
  <si>
    <t>Corporate and Other orders</t>
  </si>
  <si>
    <t>3Q26E assumption</t>
  </si>
  <si>
    <t>Δ Y/Y ($)</t>
  </si>
  <si>
    <t>Intersegment eliminations (orders)</t>
  </si>
  <si>
    <t>3Q26E assumption (1H26 avg ~-374; 3Q25 -260)</t>
  </si>
  <si>
    <t>Total orders</t>
  </si>
  <si>
    <t>Year-ago orders</t>
  </si>
  <si>
    <t>Comparable order growth</t>
  </si>
  <si>
    <t>Book-to-bill (x)</t>
  </si>
  <si>
    <t>Δ Q/Q (x)</t>
  </si>
  <si>
    <t>Δ Y/Y (x)</t>
  </si>
  <si>
    <t>Electrification order backlog</t>
  </si>
  <si>
    <t>Motion order backlog</t>
  </si>
  <si>
    <t>Automation order backlog</t>
  </si>
  <si>
    <t>Corp. &amp; Other / elims (backlog)</t>
  </si>
  <si>
    <t>3Q25A restated split not disclosed; 3Q26E held at 2Q26A</t>
  </si>
  <si>
    <t>Total order backlog</t>
  </si>
  <si>
    <t>Geography: more than one region disclosed — see Geo tab</t>
  </si>
  <si>
    <t>Segment - Electrification: orders, backlog, revenue build and operational profitability</t>
  </si>
  <si>
    <t>Order intake and order backlog ladder</t>
  </si>
  <si>
    <t>Opening order backlog</t>
  </si>
  <si>
    <t>(+) Orders received</t>
  </si>
  <si>
    <t>3Q26E = 3Q25A orders x (1+comparable order growth) x (1+M&amp;A) x (1+FX)</t>
  </si>
  <si>
    <t>Comparable order growth (driver)</t>
  </si>
  <si>
    <t>3Q26E assumption: Electrification data-center momentum (Q2 +58%, Q1 +44%); peers (Schneider Q3 demand triple-digit in data centers)</t>
  </si>
  <si>
    <t>(−) Revenues recognized</t>
  </si>
  <si>
    <t>(+/−) FX, scope &amp; other adjustments</t>
  </si>
  <si>
    <t>Historical = closing − opening − orders + revenue (derived); 3Q26E assumed nil</t>
  </si>
  <si>
    <t>Closing order backlog</t>
  </si>
  <si>
    <t>Year-ago closing backlog</t>
  </si>
  <si>
    <t>Average order backlog</t>
  </si>
  <si>
    <t>Book-to-bill (orders / revenues)</t>
  </si>
  <si>
    <t>Backlog conversion (rev./opening; FY25A = annual)</t>
  </si>
  <si>
    <t>FY25A = annual ratio (FY revenue ÷ Dec-24 opening backlog); not comparable with quarterly ratios, so FY Δ cells are blank</t>
  </si>
  <si>
    <t>Revenue build</t>
  </si>
  <si>
    <t>Total revenues (incl. interseg.)</t>
  </si>
  <si>
    <t>3Q26E = 3Q25A x (1+comparable) x (1+M&amp;A) x (1+FX); cross-check vs backlog conversion</t>
  </si>
  <si>
    <t>% of group revenues</t>
  </si>
  <si>
    <t>3Q26E driver. Group guide: low- to mid-teens comparable growth (16-Jul-26)</t>
  </si>
  <si>
    <t>Third-party revenues by region</t>
  </si>
  <si>
    <t>Europe</t>
  </si>
  <si>
    <t>3Q26E: split at 2Q26A mix</t>
  </si>
  <si>
    <t>% of third-party revenues</t>
  </si>
  <si>
    <t>The Americas</t>
  </si>
  <si>
    <t>of which United States</t>
  </si>
  <si>
    <t>Americas excluding United States</t>
  </si>
  <si>
    <t>Year-ago (derived)</t>
  </si>
  <si>
    <t>Asia, Middle East and Africa</t>
  </si>
  <si>
    <t>3Q26E: third-party total less Europe and Americas</t>
  </si>
  <si>
    <t>of which China</t>
  </si>
  <si>
    <t>AMEA excluding China</t>
  </si>
  <si>
    <t>Third-party revenues</t>
  </si>
  <si>
    <t>Historical = sum of regions; 3Q26E = total revenues less intersegment</t>
  </si>
  <si>
    <t>Year-ago (derived from regions)</t>
  </si>
  <si>
    <t>Third-party revenues by type</t>
  </si>
  <si>
    <t>Products</t>
  </si>
  <si>
    <t>Services and other</t>
  </si>
  <si>
    <t>Third-party revenues (by type)</t>
  </si>
  <si>
    <t>Intersegment revenues</t>
  </si>
  <si>
    <t>3Q26E at 2Q26A share of total revenues</t>
  </si>
  <si>
    <t>Check: by type − by region</t>
  </si>
  <si>
    <t>3Q26E: identity by construction (residual region); historical columns tie to reported</t>
  </si>
  <si>
    <t>Check: 3rd-party + interseg. − total</t>
  </si>
  <si>
    <t>3Q26E: identity by construction (third-party = total − interseg.); historical columns tie to reported</t>
  </si>
  <si>
    <t>Operational profitability ladder</t>
  </si>
  <si>
    <t>Operational cost of sales</t>
  </si>
  <si>
    <t>Operational gross profit</t>
  </si>
  <si>
    <t>Operational gross margin</t>
  </si>
  <si>
    <t>3Q26E assumption: copper price/cost pressure vs volume leverage</t>
  </si>
  <si>
    <t>Year-ago operational cost of sales</t>
  </si>
  <si>
    <t>Operational SG&amp;A</t>
  </si>
  <si>
    <t>Year-ago operational SG&amp;A expenses</t>
  </si>
  <si>
    <t>Operational R&amp;D</t>
  </si>
  <si>
    <t>Year-ago operational non-order R&amp;D expenses</t>
  </si>
  <si>
    <t>Other segment items</t>
  </si>
  <si>
    <t>Op. EBITA (reported)</t>
  </si>
  <si>
    <t>Check: ladder − reported EBITA</t>
  </si>
  <si>
    <t>Year-ago Op. EBITA</t>
  </si>
  <si>
    <t>Op. EBITA % of total revenues</t>
  </si>
  <si>
    <t>FX/commodity timing in revenues</t>
  </si>
  <si>
    <t>3Q26E assumed nil (unpredictable)</t>
  </si>
  <si>
    <t>Operational revenues</t>
  </si>
  <si>
    <t>Organic / M&amp;A / FX: issuer decomposes total revenues only (see Revenue build)</t>
  </si>
  <si>
    <t>Op. EBITA margin (issuer basis)</t>
  </si>
  <si>
    <t>Year-ago operational revenues</t>
  </si>
  <si>
    <t>Non-operational items (EBITA − IFO)</t>
  </si>
  <si>
    <t>3Q26E assumption (mainly acquisition amortization and restructuring)</t>
  </si>
  <si>
    <t>Income from operations</t>
  </si>
  <si>
    <t>IFO margin</t>
  </si>
  <si>
    <t>Segment - Motion: orders, backlog, revenue build and operational profitability</t>
  </si>
  <si>
    <t>3Q26E assumption anchored on 1H26 trend and backlog</t>
  </si>
  <si>
    <t>Segment - Automation: orders, backlog, revenue build and operational profitability</t>
  </si>
  <si>
    <t>Income Statement (US GAAP, continuing operations) with GAAP-to-normalized bridge</t>
  </si>
  <si>
    <t>Income statement</t>
  </si>
  <si>
    <t>Year-ago sales of products</t>
  </si>
  <si>
    <t>Organic / M&amp;A / FX split: not disclosed by type</t>
  </si>
  <si>
    <t>Products % of total revenues</t>
  </si>
  <si>
    <t>3Q26E at ~2Q26A share (84.3%)</t>
  </si>
  <si>
    <t>Year-ago sales of services and other</t>
  </si>
  <si>
    <t>Year-ago total revenues</t>
  </si>
  <si>
    <t>Cost of sales of products</t>
  </si>
  <si>
    <t>Cost of services and other</t>
  </si>
  <si>
    <t>Total cost of sales</t>
  </si>
  <si>
    <t>Gross profit</t>
  </si>
  <si>
    <t>Gross margin</t>
  </si>
  <si>
    <t>3Q26E assumption 40.5% (3Q25A 41.2%; 2Q26A 40.0% incl. ~50bp derivative drag). Presentation only: GAAP gross profit / SG&amp;A / R&amp;D lines do not drive IFO or EPS (see I46)</t>
  </si>
  <si>
    <t>Year-ago gross profit</t>
  </si>
  <si>
    <t>Δ gross margin Y/Y (bps)</t>
  </si>
  <si>
    <t>Δ gross margin Q/Q (bps)</t>
  </si>
  <si>
    <t>SG&amp;A expenses</t>
  </si>
  <si>
    <t>% of revenues</t>
  </si>
  <si>
    <t>3Q26E assumption (2Q26A 18.2%, declining trend)</t>
  </si>
  <si>
    <t>Year-ago SG&amp;A</t>
  </si>
  <si>
    <t>Non-order related R&amp;D</t>
  </si>
  <si>
    <t>3Q26E assumption (2Q26A 3.9%)</t>
  </si>
  <si>
    <t>Year-ago R&amp;D</t>
  </si>
  <si>
    <t>Other income (expense), net</t>
  </si>
  <si>
    <t>3Q26E = balancing (residual) item: IFO is set by Operational EBITA less guided non-operational items, so H32/H37/H42 only reallocate between gross profit, SG&amp;A, R&amp;D and this line. Residual is an assumption, not an independent check</t>
  </si>
  <si>
    <t>Operating margin (IFO)</t>
  </si>
  <si>
    <t>Year-ago IFO</t>
  </si>
  <si>
    <t>Interest and dividend income</t>
  </si>
  <si>
    <t>3Q26E assumption; FY26 finance net guided ~150</t>
  </si>
  <si>
    <t>Interest and other finance expense</t>
  </si>
  <si>
    <t>3Q26E assumption. No Rotork scope or pre-close financing modeled: completion expected 1H 2027, cash-funded by redeploying expected Robotics proceeds (S3 'Planned acquisition' note; S4). Any pre-close financing by 30-Sep-26 not evidenced (unresolved)</t>
  </si>
  <si>
    <t>Finance net</t>
  </si>
  <si>
    <t>Non-operational pension (cost) credit</t>
  </si>
  <si>
    <t>3Q26E assumption ~2Q26A</t>
  </si>
  <si>
    <t>Income before taxes (continuing)</t>
  </si>
  <si>
    <t>Income tax expense</t>
  </si>
  <si>
    <t>Effective tax rate</t>
  </si>
  <si>
    <t>3Q26E assumption: between 1H26A 25.6% and FY26 guide ~25%</t>
  </si>
  <si>
    <t>Year-ago income tax expense</t>
  </si>
  <si>
    <t>Year-ago income before taxes</t>
  </si>
  <si>
    <t>Income from continuing ops</t>
  </si>
  <si>
    <t>Discontinued ops (Robotics), net</t>
  </si>
  <si>
    <t>3Q26E assumption; Robotics sale to SoftBank had not closed by 30-Sep-26 (ABB pre-Q3 consensus note), so no book gain</t>
  </si>
  <si>
    <t>Net income</t>
  </si>
  <si>
    <t>Noncontrolling interests</t>
  </si>
  <si>
    <t>3Q26E assumption (continuing-ops NCI 2Q26A 26, 3Q25A 35)</t>
  </si>
  <si>
    <t>Net income attributable to ABB</t>
  </si>
  <si>
    <t>Net margin</t>
  </si>
  <si>
    <t>Year-ago net income (ABB)</t>
  </si>
  <si>
    <t>of which: continuing ops</t>
  </si>
  <si>
    <t>3Q26E assumes all NCI relates to continuing operations</t>
  </si>
  <si>
    <t>of which: discontinued ops</t>
  </si>
  <si>
    <t>Per share (US$)</t>
  </si>
  <si>
    <t>Weighted basic shares (m)</t>
  </si>
  <si>
    <t>Weighted diluted shares (m)</t>
  </si>
  <si>
    <t>Basic EPS (GAAP)</t>
  </si>
  <si>
    <t>Diluted EPS (GAAP)</t>
  </si>
  <si>
    <t>Diluted EPS (reported)</t>
  </si>
  <si>
    <t>Check: NI / dil. shares − reported</t>
  </si>
  <si>
    <t>3Q26E: identity check diluted EPS − net income / diluted shares</t>
  </si>
  <si>
    <t>Year-ago diluted EPS</t>
  </si>
  <si>
    <t>Diluted EPS, continuing ops</t>
  </si>
  <si>
    <t>Operational EBITA and reconciliation to income from operations</t>
  </si>
  <si>
    <t>Corp. &amp; Other: E-mobility</t>
  </si>
  <si>
    <t>3Q26E assumption (1Q26 -47, 2Q26 -18)</t>
  </si>
  <si>
    <t>Corp. &amp; Other: stranded costs</t>
  </si>
  <si>
    <t>Guided ~(25) for 3Q26 (16-Jul-26)</t>
  </si>
  <si>
    <t>Corp. costs, elims &amp; other</t>
  </si>
  <si>
    <t>3Q26E: guided Corp &amp; Other ex E-mobility ~(125) less stranded ~(25)</t>
  </si>
  <si>
    <t>Corporate and Other total</t>
  </si>
  <si>
    <t>Check: build − reported EBITA</t>
  </si>
  <si>
    <t>3Q26E assumed nil</t>
  </si>
  <si>
    <t>Organic / M&amp;A / FX: issuer decomposes total revenues only (Revenue summary)</t>
  </si>
  <si>
    <t>Op. EBITA margin (op. revenues)</t>
  </si>
  <si>
    <t>Non-operational items (expense added back = positive):</t>
  </si>
  <si>
    <t>Acquisition-related amortization</t>
  </si>
  <si>
    <t>Guided ~(50) for 3Q26</t>
  </si>
  <si>
    <t>Restructuring &amp; related</t>
  </si>
  <si>
    <t>Guided restructuring + business transformation ~(50); split 30/20</t>
  </si>
  <si>
    <t>Divested-business obligations</t>
  </si>
  <si>
    <t>Assumed nil</t>
  </si>
  <si>
    <t>Gains/losses on business sales</t>
  </si>
  <si>
    <t>M&amp;A, separation &amp; integration</t>
  </si>
  <si>
    <t>Guided separation &amp; integration ~(25) for 3Q26</t>
  </si>
  <si>
    <t>Business transformation costs</t>
  </si>
  <si>
    <t>Part of guided ~(50) restructuring + BT</t>
  </si>
  <si>
    <t>Other non-operational items</t>
  </si>
  <si>
    <t>Not guided; small allowance (1H26 avg ~100/qtr incl. one-offs)</t>
  </si>
  <si>
    <t>FX/commodity timing in IFO</t>
  </si>
  <si>
    <t>Not forecastable; assumed nil</t>
  </si>
  <si>
    <t>Total non-operational items</t>
  </si>
  <si>
    <t>IFO (Op. EBITA − non-op. items)</t>
  </si>
  <si>
    <t>Check: IFO − bridge IFO</t>
  </si>
  <si>
    <t>3Q26E: identity by construction (H46 is a plug); historical columns tie to reported</t>
  </si>
  <si>
    <t>GAAP to normalized EPS bridge (consensus basis: CapIQ normalized diluted EPS, USD)</t>
  </si>
  <si>
    <t>(−) Discontinued ops (ABB share)</t>
  </si>
  <si>
    <t>(+) Acquisition-related amortization</t>
  </si>
  <si>
    <t>(+) Restructuring &amp; related</t>
  </si>
  <si>
    <t>(+) Divested-business obligations</t>
  </si>
  <si>
    <t>(+) Gains/losses on business sales</t>
  </si>
  <si>
    <t>(+) M&amp;A, separation &amp; integration</t>
  </si>
  <si>
    <t>(+) Business transformation costs</t>
  </si>
  <si>
    <t>(+) Other non-operational items</t>
  </si>
  <si>
    <t>(+) FX/commodity timing in IFO</t>
  </si>
  <si>
    <t>Tax rate on adjustments</t>
  </si>
  <si>
    <t>Separate assumption (Inputs!C128 = 25%) from the 3Q26E P&amp;L ETR (H65 = 25.3%); NCI share of adjustments not removed. Retained: bridge calibrates to CapIQ normalized actuals 4Q25-2Q26 within $0.005; 25.3% would move EPS by about −$0.0002</t>
  </si>
  <si>
    <t>(−) Tax effect on adjustments</t>
  </si>
  <si>
    <t>Normalized net income</t>
  </si>
  <si>
    <t>Normalized diluted EPS</t>
  </si>
  <si>
    <t>CapIQ normalized EPS actual</t>
  </si>
  <si>
    <t>3Q25A CapIQ actual is on the originally reported basis (incl. Robotics); model column is restated continuing ops</t>
  </si>
  <si>
    <t>Model − CapIQ actual ($/sh)</t>
  </si>
  <si>
    <t>CapIQ normalized EPS consensus</t>
  </si>
  <si>
    <t>Surprise vs consensus ($/sh)</t>
  </si>
  <si>
    <t>Normalized EPS % Y/Y</t>
  </si>
  <si>
    <t>EBITDA and other metrics</t>
  </si>
  <si>
    <t>Depreciation and amortization</t>
  </si>
  <si>
    <t>EBITDA (IFO + D&amp;A, issuer def.)</t>
  </si>
  <si>
    <t>EBITDA margin</t>
  </si>
  <si>
    <t>Year-ago D&amp;A</t>
  </si>
  <si>
    <t>EBITDA (reported)</t>
  </si>
  <si>
    <t>Check: EBITDA − reported</t>
  </si>
  <si>
    <t>Balance Sheet (US GAAP) with balance check and net debt</t>
  </si>
  <si>
    <t>Assets</t>
  </si>
  <si>
    <t>3Q25A (Sep-25) column = as originally reported (Robotics consolidated line-by-line); IS/CF 3Q25A are restated continuing ops — not like-for-like (see B67)</t>
  </si>
  <si>
    <t>Cash and equivalents</t>
  </si>
  <si>
    <t>Marketable securities</t>
  </si>
  <si>
    <t>Receivables, net</t>
  </si>
  <si>
    <t>Contract assets</t>
  </si>
  <si>
    <t>3Q26E mapping simplification (unresolved): the whole cash-flow change in contract assets and liabilities (CF H22) is applied to contract assets; contract liabilities (H33) held flat. No source for a split</t>
  </si>
  <si>
    <t>Inventories, net</t>
  </si>
  <si>
    <t>Prepaid expenses</t>
  </si>
  <si>
    <t>Other current assets</t>
  </si>
  <si>
    <t>Current assets held for sale</t>
  </si>
  <si>
    <t>Total current assets</t>
  </si>
  <si>
    <t>Property, plant and equipment, net</t>
  </si>
  <si>
    <t>3Q26E mapping simplification (unresolved): all capex (CF H36), including purchases of intangibles, is added to PP&amp;E; intangibles (H24) move only with amortization</t>
  </si>
  <si>
    <t>Operating lease ROU assets</t>
  </si>
  <si>
    <t>Equity-accounted investments</t>
  </si>
  <si>
    <t>Prepaid pension</t>
  </si>
  <si>
    <t>Intangible assets, net</t>
  </si>
  <si>
    <t>Goodwill</t>
  </si>
  <si>
    <t>Deferred taxes</t>
  </si>
  <si>
    <t>Other non-current assets</t>
  </si>
  <si>
    <t>Non-current assets held for sale</t>
  </si>
  <si>
    <t>Total assets</t>
  </si>
  <si>
    <t>Liabilities</t>
  </si>
  <si>
    <t>Accounts payable, trade</t>
  </si>
  <si>
    <t>Contract liabilities</t>
  </si>
  <si>
    <t>Held at 2Q26A; see I14 (contract assets/liabilities change not split)</t>
  </si>
  <si>
    <t>Short-term debt &amp; current LTD</t>
  </si>
  <si>
    <t>Current operating leases</t>
  </si>
  <si>
    <t>Provisions</t>
  </si>
  <si>
    <t>Other current liabilities</t>
  </si>
  <si>
    <t>3Q26E mapping simplification (unresolved): accrued liabilities and income-tax changes (CF H25, H27) are booked to other current liabilities. Totals tie (H58 = 0)</t>
  </si>
  <si>
    <t>Current liabs held for sale</t>
  </si>
  <si>
    <t>Total current liabilities</t>
  </si>
  <si>
    <t>Long-term debt</t>
  </si>
  <si>
    <t>Non-current operating leases</t>
  </si>
  <si>
    <t>Pension &amp; employee benefits</t>
  </si>
  <si>
    <t>Other non-current liabilities</t>
  </si>
  <si>
    <t>Non-current liabs held for sale</t>
  </si>
  <si>
    <t>Total liabilities</t>
  </si>
  <si>
    <t>Stockholders' equity</t>
  </si>
  <si>
    <t>Common stock (CHF 0.12 par)</t>
  </si>
  <si>
    <t>Additional paid-in capital</t>
  </si>
  <si>
    <t>Retained earnings</t>
  </si>
  <si>
    <t>Accumulated other comprehensive loss</t>
  </si>
  <si>
    <t>Treasury stock, at cost</t>
  </si>
  <si>
    <t>Total ABB stockholders' equity</t>
  </si>
  <si>
    <t>Total stockholders' equity</t>
  </si>
  <si>
    <t>Total liabilities and equity</t>
  </si>
  <si>
    <t>Check: assets − liabs − equity</t>
  </si>
  <si>
    <t>Total assets (issuer reported)</t>
  </si>
  <si>
    <t>Check: computed − reported assets</t>
  </si>
  <si>
    <t>Net debt (issuer definition)</t>
  </si>
  <si>
    <t>Total debt</t>
  </si>
  <si>
    <t>Cash and marketable securities</t>
  </si>
  <si>
    <t>Net debt (cash)</t>
  </si>
  <si>
    <t>Net debt / equity (x)</t>
  </si>
  <si>
    <t>3Q25A ratio on as-reported basis (see I10)</t>
  </si>
  <si>
    <t>3Q25A balance sheet as originally reported (Robotics consolidated line-by-line; not restated)</t>
  </si>
  <si>
    <t>Cash Flow Statement (US GAAP) with cash tie-out to Balance Sheet</t>
  </si>
  <si>
    <t>Operating activities</t>
  </si>
  <si>
    <t>(Income) loss from disc. ops</t>
  </si>
  <si>
    <t>Fair-value changes, investments</t>
  </si>
  <si>
    <t>3Q26E assumed nil (no specific evidence)</t>
  </si>
  <si>
    <t>Loss (gain) derivatives &amp; FX</t>
  </si>
  <si>
    <t>Gain on sale of PP&amp;E</t>
  </si>
  <si>
    <t>Loss (gain) on sale of businesses</t>
  </si>
  <si>
    <t>Other non-cash items</t>
  </si>
  <si>
    <t>Trade receivables, net</t>
  </si>
  <si>
    <t>3Q26E = 3Q25A seasonal pattern scaled by revenue growth</t>
  </si>
  <si>
    <t>Contract assets and liabilities</t>
  </si>
  <si>
    <t>Accrued liabilities</t>
  </si>
  <si>
    <t>Provisions, net</t>
  </si>
  <si>
    <t>Income taxes payable/receivable</t>
  </si>
  <si>
    <t>Other assets and liabilities, net</t>
  </si>
  <si>
    <t>CFO – continuing operations</t>
  </si>
  <si>
    <t>CFO – discontinued operations</t>
  </si>
  <si>
    <t>3Q26E = discontinued-ops income (cash-neutral working capital assumed)</t>
  </si>
  <si>
    <t>Cash flow from operating activities</t>
  </si>
  <si>
    <t>Investing activities</t>
  </si>
  <si>
    <t>Purchases of investments</t>
  </si>
  <si>
    <t>Capex (PP&amp;E and intangibles)</t>
  </si>
  <si>
    <t>3Q26E: FY26 capex guided ~(1,000); 1H26 (417)</t>
  </si>
  <si>
    <t>Acquisitions (net of cash)</t>
  </si>
  <si>
    <t>Proceeds from sales of investments</t>
  </si>
  <si>
    <t>Proceeds from sales of PP&amp;E</t>
  </si>
  <si>
    <t>Proceeds from sales of businesses</t>
  </si>
  <si>
    <t>Settlement of FX derivatives</t>
  </si>
  <si>
    <t>Other investing activities</t>
  </si>
  <si>
    <t>CFI – continuing operations</t>
  </si>
  <si>
    <t>CFI – discontinued operations</t>
  </si>
  <si>
    <t>3Q26E: Robotics capex run-rate (1Q26 34, 2Q26 61)</t>
  </si>
  <si>
    <t>Cash flow from investing activities</t>
  </si>
  <si>
    <t>Financing activities</t>
  </si>
  <si>
    <t>Net change in short-term debt</t>
  </si>
  <si>
    <t>3Q26E assumed nil (dividend paid in 1H; no maturities assumed)</t>
  </si>
  <si>
    <t>Increase in debt</t>
  </si>
  <si>
    <t>Repayment of debt</t>
  </si>
  <si>
    <t>Delivery of shares</t>
  </si>
  <si>
    <t>3Q26E assumed nil: the 0.3m shares delivered (Share Count H25) are modeled as share-count only; proceeds / treasury cost not modeled</t>
  </si>
  <si>
    <t>Purchase of treasury stock</t>
  </si>
  <si>
    <t>Dividends paid</t>
  </si>
  <si>
    <t>Dividends paid to NCI</t>
  </si>
  <si>
    <t>Other financing activities</t>
  </si>
  <si>
    <t>CFF – continuing operations</t>
  </si>
  <si>
    <t>CFF – discontinued operations</t>
  </si>
  <si>
    <t>Cash flow from financing activities</t>
  </si>
  <si>
    <t>Change in cash and tie-out</t>
  </si>
  <si>
    <t>FX effect on cash</t>
  </si>
  <si>
    <t>Cash in assets held for sale (adj.)</t>
  </si>
  <si>
    <t>Net change in cash</t>
  </si>
  <si>
    <t>Cash, beginning of period</t>
  </si>
  <si>
    <t>Cash, end of period</t>
  </si>
  <si>
    <t>Check: ending cash − BS cash</t>
  </si>
  <si>
    <t>3Q26E: identity by construction (BS cash links to H69); historical columns tie to reported</t>
  </si>
  <si>
    <t>Check: Δ cash − Δ BS cash</t>
  </si>
  <si>
    <t>Memo: D&amp;A split and free cash flow (issuer definition)</t>
  </si>
  <si>
    <t>Depreciation</t>
  </si>
  <si>
    <t>3Q26E assumption (2Q26A 155)</t>
  </si>
  <si>
    <t>Amortization</t>
  </si>
  <si>
    <t>3Q26E assumption (2Q26A 65)</t>
  </si>
  <si>
    <t>Check: dep. + amort. − D&amp;A</t>
  </si>
  <si>
    <t>FCF – continuing operations</t>
  </si>
  <si>
    <t>Free cash flow (issuer reported)</t>
  </si>
  <si>
    <t>Free cash flow – discontinued operations (derived)</t>
  </si>
  <si>
    <t>Historical = issuer total FCF less continuing FCF (derived); 3Q26E = disc. CFO + disc. investing (capex proxy)</t>
  </si>
  <si>
    <t>Free cash flow (issuer definition)</t>
  </si>
  <si>
    <t>FCF conversion (to net income)</t>
  </si>
  <si>
    <t>Capex % of revenues (continuing)</t>
  </si>
  <si>
    <t>Geo: group revenues and orders by region</t>
  </si>
  <si>
    <t>Revenues by region</t>
  </si>
  <si>
    <t>3Q26E = 3Q25A x (1+comparable) x (1+M&amp;A) x (1+FX)</t>
  </si>
  <si>
    <t>3Q26E driver</t>
  </si>
  <si>
    <t>3Q26E = 3Q25A x (1+comparable) x (1+M&amp;A) x (1+FX); standalone estimate, unreconciled to Σ business areas (see memo rows 118-130)</t>
  </si>
  <si>
    <t>3Q26E at 2Q26A share of Americas; standalone estimate, unreconciled to Σ business areas (see memo rows 118-130)</t>
  </si>
  <si>
    <t>3Q26E implied (balancing / share-based)</t>
  </si>
  <si>
    <t>Organic / M&amp;A / FX split: not disclosed for this residual</t>
  </si>
  <si>
    <t>3Q26E = group total less Europe and Americas (balancing region)</t>
  </si>
  <si>
    <t>3Q26E at 2Q26A share of AMEA</t>
  </si>
  <si>
    <t>Total revenues by region</t>
  </si>
  <si>
    <t>Check: regions − total revenues</t>
  </si>
  <si>
    <t>3Q26E: identity by construction (AMEA is the residual); historical columns tie to reported</t>
  </si>
  <si>
    <t>Orders by region</t>
  </si>
  <si>
    <t>Regional orders not forecast (3Q26E group orders on Revenue summary)</t>
  </si>
  <si>
    <t>Total orders by region</t>
  </si>
  <si>
    <t>Check: regions − total orders</t>
  </si>
  <si>
    <t>Memo: Geo regions vs Σ business-area third-party revenues (3Q26E unreconciled)</t>
  </si>
  <si>
    <t>3Q26E Geo Europe/Americas are standalone estimates (own comparable, M&amp;A and FX drivers in rows 17-39; US and China at 2Q26A shares; AMEA balancing). They are NOT reconciled to the business-area regional splits (segment tabs rows 55-95, 2Q26A mix). Disclosed limitation only: not a model check, no EPS effect</t>
  </si>
  <si>
    <t>Σ business areas (third-party): Europe</t>
  </si>
  <si>
    <t>Residual: Geo Europe − Σ business areas</t>
  </si>
  <si>
    <t>Historical = implied Corporate &amp; Other third-party revenue in region; 3Q26E = model allocation residual (unreconciled)</t>
  </si>
  <si>
    <t>Σ business areas (third-party): The Americas</t>
  </si>
  <si>
    <t>Residual: Geo Americas − Σ business areas</t>
  </si>
  <si>
    <t>3Q26E NEGATIVE: model allocation residual from unreconciled standalone Geo drivers, not actual negative Corporate sales</t>
  </si>
  <si>
    <t>Σ business areas (third-party): of which United States</t>
  </si>
  <si>
    <t>Residual: Geo United States − Σ business areas</t>
  </si>
  <si>
    <t>Σ business areas (third-party): Asia, Middle East and Africa</t>
  </si>
  <si>
    <t>Residual: Geo AMEA − Σ business areas</t>
  </si>
  <si>
    <t>Σ business areas (third-party): of which China</t>
  </si>
  <si>
    <t>Residual: Geo China − Σ business areas</t>
  </si>
  <si>
    <t>Σ business areas (third-party): total</t>
  </si>
  <si>
    <t>Residual: group revenues − Σ business areas</t>
  </si>
  <si>
    <t>Corporate &amp; Other third-party revenues net of eliminations; equals the sum of the regional residuals above (Europe + Americas + AMEA)</t>
  </si>
  <si>
    <t>Share Count: issued, treasury, outstanding, weighted shares and buybacks (millions of shares)</t>
  </si>
  <si>
    <t>Shares (millions)</t>
  </si>
  <si>
    <t>Shares issued</t>
  </si>
  <si>
    <t>3Q26E: no cancellation assumed in the quarter</t>
  </si>
  <si>
    <t>Treasury shares</t>
  </si>
  <si>
    <t>Shares outstanding (calc.)</t>
  </si>
  <si>
    <t>Shares outstanding (issuer)</t>
  </si>
  <si>
    <t>Difference (rounding)</t>
  </si>
  <si>
    <t>3Q26E: structural only (H14 = H31, so H15 carries the 2Q26A issuer rounding G13 − G14); not source-validated — see rows 43-44</t>
  </si>
  <si>
    <t>Buybacks (2026 program launched 9-Feb-26, up to $2.0bn)</t>
  </si>
  <si>
    <t>Shares repurchased (m)</t>
  </si>
  <si>
    <t>Cumulative 2026 buyback (m)</t>
  </si>
  <si>
    <t>3Q26 cumulative 9,865,326 shares to 30-Sep-26 (EQS release 30-Sep-26)</t>
  </si>
  <si>
    <t>Buyback amount, press release</t>
  </si>
  <si>
    <t>Average price ($ per share)</t>
  </si>
  <si>
    <t>2Q26: ~$147m for 1,528,217 shares (press release). 3Q26E judgmental: ~CHF 82 avg price ÷ 0.80 CHF per USD (≈1.25 USD per CHF, assumed quarter-average rate) = $102.5. Differs from the Sep-26 average 1.221 USD per CHF used only for the market-cap size bucket (Inputs!C113); at 1.221 spend ≈ $573m vs $587m (cash / net debt only, no EPS effect)</t>
  </si>
  <si>
    <t>Δ Q/Q ($ per share)</t>
  </si>
  <si>
    <t>Δ Y/Y ($ per share)</t>
  </si>
  <si>
    <t>Year-ago repurchase price not disclosed by quarter</t>
  </si>
  <si>
    <t>Buyback spend ($m)</t>
  </si>
  <si>
    <t>Historical = cash purchase of treasury stock (Cash Flow); 3Q26E = shares x price</t>
  </si>
  <si>
    <t>Shares delivered (m)</t>
  </si>
  <si>
    <t>3Q26E assumption (0.3m shares delivered from treasury). Share-count only: treasury stock at cost and any cash proceeds are not modeled (Cash Flow H55 = 0; BS treasury moves only with buybacks). EPS effect ≈ −$0.00007</t>
  </si>
  <si>
    <t>Δ Q/Q (m)</t>
  </si>
  <si>
    <t>Quarterly share deliveries not disclosed</t>
  </si>
  <si>
    <t>Δ Y/Y (m)</t>
  </si>
  <si>
    <t>Share count behind the forecast EPS</t>
  </si>
  <si>
    <t>Opening shares outstanding</t>
  </si>
  <si>
    <t>Closing shares outstanding</t>
  </si>
  <si>
    <t>Weighted basic shares</t>
  </si>
  <si>
    <t>3Q26E = average of opening and closing (buyback roughly linear through the quarter)</t>
  </si>
  <si>
    <t>Dilutive effect</t>
  </si>
  <si>
    <t>3Q26E assumption (3-4m historically)</t>
  </si>
  <si>
    <t>Weighted diluted shares</t>
  </si>
  <si>
    <t>Share roll-forward integrity guards (feed Cover overall check)</t>
  </si>
  <si>
    <t>Check: prior-quarter cumulative buyback populated (0 = OK, 1 = blank / non-numeric)</t>
  </si>
  <si>
    <t>Guards against a blank prior cumulative (e.g. G19), which would book all year-to-date repurchases in the current quarter</t>
  </si>
  <si>
    <t>Check: sourced cumulative − Σ quarterly repurchases since 9-Feb-26 (m)</t>
  </si>
  <si>
    <t>Integrity guard: non-zero if a prior cumulative (F19/G19) is blank or overwritten inconsistently with sourced quarterly F18/G18 (S6, S4) and EQS cumulative H19 (S14); not an independent source test (no sourced 30-Jun cumulative)</t>
  </si>
  <si>
    <t>Guidance: issuer guidance by date, period and metric, with outcome</t>
  </si>
  <si>
    <t>Rows 6-8 are a model timeline reference only; table columns below are defined by row 10 headers, not periods.</t>
  </si>
  <si>
    <t>Metric</t>
  </si>
  <si>
    <t>Date given</t>
  </si>
  <si>
    <t>Low</t>
  </si>
  <si>
    <t>High</t>
  </si>
  <si>
    <t>Midpoint</t>
  </si>
  <si>
    <t>Actual</t>
  </si>
  <si>
    <t>Beat / miss</t>
  </si>
  <si>
    <t>Model 3Q26E</t>
  </si>
  <si>
    <t>Comparable revenue growth</t>
  </si>
  <si>
    <t>1Q26</t>
  </si>
  <si>
    <t>Beat (above range)</t>
  </si>
  <si>
    <t>Q4 2025 press release: "comparable revenue growth in the 7% - 10% range"</t>
  </si>
  <si>
    <t>FY26</t>
  </si>
  <si>
    <t>pending</t>
  </si>
  <si>
    <t>Pending</t>
  </si>
  <si>
    <t>Superseded 22-Apr-26 and 16-Jul-26</t>
  </si>
  <si>
    <t>2Q26</t>
  </si>
  <si>
    <t>"high single-digit to low double-digit" interpreted as 8%-11%</t>
  </si>
  <si>
    <t>Operational EBITA margin (improve Y/Y; floor = 2Q25A)</t>
  </si>
  <si>
    <t>Above floor</t>
  </si>
  <si>
    <t>Qualitative: "should improve year-on-year"; floor = 2Q25A 19.3%</t>
  </si>
  <si>
    <t>Superseded 16-Jul-26</t>
  </si>
  <si>
    <t>3Q26</t>
  </si>
  <si>
    <t>"low- to mid-teens" interpreted as 11%-15%</t>
  </si>
  <si>
    <t>Operational EBITA margin (sequential improvement; floor = 2Q26A)</t>
  </si>
  <si>
    <t>Qualitative; floor = 2Q26A margin</t>
  </si>
  <si>
    <t>"low double-digit to low-teens" interpreted as 10%-13%</t>
  </si>
  <si>
    <t>Corporate &amp; Other Op. EBITA excl. E-mobility ($m)</t>
  </si>
  <si>
    <t>Additional 2026 guidance table</t>
  </si>
  <si>
    <t>of which stranded costs ($m)</t>
  </si>
  <si>
    <t>Acquisition-related amortization ($m)</t>
  </si>
  <si>
    <t>Separation and integration costs ($m)</t>
  </si>
  <si>
    <t>Restructuring and business transformation ($m)</t>
  </si>
  <si>
    <t>Includes $377m real-estate gain in 1Q26</t>
  </si>
  <si>
    <t>Stranded costs ($m)</t>
  </si>
  <si>
    <t>Raised from ~(60)</t>
  </si>
  <si>
    <t>Finance net ($m)</t>
  </si>
  <si>
    <t>Capital expenditure ($m)</t>
  </si>
  <si>
    <t>Implied by guidance (used on Cover)</t>
  </si>
  <si>
    <t>3Q26 revenues implied by comparable-growth guidance ($m)</t>
  </si>
  <si>
    <t>3Q25A restated revenues x (1+guided comparable growth) x (1+model M&amp;A) x (1+model FX)</t>
  </si>
  <si>
    <t>3Q26 Operational EBITA at guided floor margin ($m)</t>
  </si>
  <si>
    <t>Guidance midpoint revenue x 2Q26A margin (floor); net income and EPS are not guided by ABB</t>
  </si>
  <si>
    <t>Record: ABB landed above the top of its comparable-growth range in 1Q26 and 2Q26</t>
  </si>
  <si>
    <t>Sources: documents, publication dates and what each feeds</t>
  </si>
  <si>
    <t>Rows 6-8 are a model timeline reference only; the source table below has no period columns.</t>
  </si>
  <si>
    <t>ID — document</t>
  </si>
  <si>
    <t>Published</t>
  </si>
  <si>
    <t>Publisher</t>
  </si>
  <si>
    <t>URL or file</t>
  </si>
  <si>
    <t>Feeds</t>
  </si>
  <si>
    <t>S1 — ABBN_consensus.json (frozen consensus snapshot)</t>
  </si>
  <si>
    <t>S&amp;P Capital IQ</t>
  </si>
  <si>
    <t>workspace/ABBN_consensus.json</t>
  </si>
  <si>
    <t>Inputs (summary row); Cover consensus; prior calibration</t>
  </si>
  <si>
    <t>S2 — ABBN_history.csv (six-quarter actual vs consensus)</t>
  </si>
  <si>
    <t>workspace/ABBN_history.csv</t>
  </si>
  <si>
    <t>Inputs history; prior calibration; IS normalized reference rows</t>
  </si>
  <si>
    <t>S3 — Q2 2026 Financial Information</t>
  </si>
  <si>
    <t>https://library.e.abb.com/public/a15cd116ef994addbaa55c542d490d18/ABB%20Q2%202026%20Financial%20Information.pdf</t>
  </si>
  <si>
    <t>2Q26A all tabs; 1H25 restated comparatives (3Q25A derivation)</t>
  </si>
  <si>
    <t>S4 — Q2 2026 press release (outlook, additional 2026 guidance, buyback, additional figures)</t>
  </si>
  <si>
    <t>https://resources.news.e.abb.com/attachments/published/137496/en-US/9123465FF532/ABB_Q2_2026_Press_release_English.pdf</t>
  </si>
  <si>
    <t>Guidance; Share Count; EBITDA reported; shares outstanding</t>
  </si>
  <si>
    <t>S5 — Q1 2026 Financial Information</t>
  </si>
  <si>
    <t>https://library.e.abb.com/public/92757491d9cc40af8425ef03a7f45f81/ABB-Q1-2026-financial-information.pdf</t>
  </si>
  <si>
    <t>1Q26A all tabs; Mar-26 balance sheet</t>
  </si>
  <si>
    <t>S6 — Q1 2026 press release (outlook, buyback)</t>
  </si>
  <si>
    <t>https://library.e.abb.com/public/dd7e26e13f7a4a4783979a725ef8ff7e/ABB-Q1-2026-press-release-English.pdf</t>
  </si>
  <si>
    <t>Guidance (2Q26, FY26); Share Count (1Q26 buyback)</t>
  </si>
  <si>
    <t>S7 — Q4 2025 Financial Information</t>
  </si>
  <si>
    <t>https://library.e.abb.com/public/efa424a5e55545ef99275bfafc6ff638/ABB-Q4-2025-financial-information.pdf</t>
  </si>
  <si>
    <t>4Q25A and FY25A all tabs; 4Q24/FY24 comparatives</t>
  </si>
  <si>
    <t>S8 — Q4 2025 press release (outlook)</t>
  </si>
  <si>
    <t>https://library.e.abb.com/public/17c5f84dedb946478c22ba1e00f5673e/ABB-Q4-2025-press-release-English.pdf</t>
  </si>
  <si>
    <t>Guidance (1Q26, FY26)</t>
  </si>
  <si>
    <t>S9 — Q3 2025 Financial Information (as originally reported)</t>
  </si>
  <si>
    <t>https://library.e.abb.com/public/ad1f406890f44fdd9fbb5c946134a7b5/ABB-Q3-2025-financial-information.pdf</t>
  </si>
  <si>
    <t>Sep-25 balance sheet; 3Q25 shares; Electrification/Motion 3Q25 backlog and 3Q24 comparatives</t>
  </si>
  <si>
    <t>S10 — ABB pre Q3 2026 consensus (25 brokers)</t>
  </si>
  <si>
    <t>ABB Ltd (Investor Relations)</t>
  </si>
  <si>
    <t>https://library.e.abb.com/public/1d5e846baf0143feb7831df1b0e7cd51/9AKK108473A4206_en_A_ABB%20Pre%20Q3%202026%20Consensus.pdf</t>
  </si>
  <si>
    <t>Cover (ABB-compiled consensus); 3Q25 restated revenues / Op. EBITA / net income / shares tie-out recorded at Inputs rows 275-280; Robotics not closed by 30-Sep</t>
  </si>
  <si>
    <t>S11 — ABB pre Q2 2026 consensus</t>
  </si>
  <si>
    <t>https://library.e.abb.com/public/686a40ff693a480597d4a13df938a5a3/9AKK108472A9549_en_A_ABB%20Pre-Q2%202026%20Consensus.pdf</t>
  </si>
  <si>
    <t>Track record (2Q26 Op. EBITA 1,925 vs consensus 1,883)</t>
  </si>
  <si>
    <t>S12 — ABB pre Q1 2026 consensus</t>
  </si>
  <si>
    <t>https://library.e.abb.com/public/f6cc9aa633a84af09ec51a1323fc04f6/9AKK108472A5472_en_A_ABB%20Pre-Q1-2026%20Consensus.pdf</t>
  </si>
  <si>
    <t>Track record (1Q26 Op. EBITA 2,049 vs consensus 1,955)</t>
  </si>
  <si>
    <t>S13 — Q3 2026 results webcast invitation / financial calendar</t>
  </si>
  <si>
    <t>undated (retrieved 2026-10-19)</t>
  </si>
  <si>
    <t>https://global.abb/group/en/investors/results-and-reports/quarterly-results-webcast</t>
  </si>
  <si>
    <t>Cover: release time 07:00 CET only. Report-date provenance = frozen CapIQ expected_report_date 2026-10-20 (S1, Inputs!C39)</t>
  </si>
  <si>
    <t>S14 — ABB share buybacks Sep 24-30, 2026 (cumulative 9,865,326 shares)</t>
  </si>
  <si>
    <t>EQS News / ABB Ltd</t>
  </si>
  <si>
    <t>https://www.eqs-news.com/news/category/abb-ltd-abb-share-buybacks-september-24-2026-september-30-2026/e9567aa2-5ed5-460d-ad47-1bedcec381e7_en</t>
  </si>
  <si>
    <t>Share Count (3Q26 repurchases)</t>
  </si>
  <si>
    <t>S15 — Q3 2026 revenues (+16.9% organic; Energy Management +18.8%)</t>
  </si>
  <si>
    <t>Schneider Electric</t>
  </si>
  <si>
    <t>https://www.se.com/ww/en/assets/pdf/release-Q3-revenues-2026</t>
  </si>
  <si>
    <t>Electrification comparable growth assumption (peer read-across)</t>
  </si>
  <si>
    <t>S16 — EUR/USD monthly averages Jul-Sep 2026 (1.1424 / 1.1593 / 1.1506)</t>
  </si>
  <si>
    <t>CurrencyNews / ECB reference rates</t>
  </si>
  <si>
    <t>https://www.currencynews.co.uk/rates-history/euro-to-dollar_eurusd</t>
  </si>
  <si>
    <t>FX assumptions (Revenue summary, segments, Geo)</t>
  </si>
  <si>
    <t>S17 — USD/CNY monthly averages Jul-Sep 2026 (6.7757 / 6.7361 / 6.7084)</t>
  </si>
  <si>
    <t>FRED / Federal Reserve G.5</t>
  </si>
  <si>
    <t>https://fred.stlouisfed.org/data/EXCHUS</t>
  </si>
  <si>
    <t>FX assumptions (AMEA, China)</t>
  </si>
  <si>
    <t>S18 — LME copper Q3 2026 average US$14,104/t (Q2 13,315; Q3 2025 9,814)</t>
  </si>
  <si>
    <t>FocusEconomics</t>
  </si>
  <si>
    <t>https://www.focus-economics.com/commodities/base-metals/copper/</t>
  </si>
  <si>
    <t>Electrification gross-margin assumption (price/cost)</t>
  </si>
  <si>
    <t>S19 — Berenberg Q3 preview: revenue $9.80bn, orders $11.38bn</t>
  </si>
  <si>
    <t>MT Newswires (via Webull) / Berenberg</t>
  </si>
  <si>
    <t>https://www.webull.com/news/15638643431310336</t>
  </si>
  <si>
    <t>Cross-check of revenue and orders</t>
  </si>
  <si>
    <t>S20 — ABB: Vorfreude ist die schoenste Freude (consensus +13.6% revenue, 20.7% margin, orders +27%)</t>
  </si>
  <si>
    <t>finanzen.ch</t>
  </si>
  <si>
    <t>https://www.finanzen.ch/nachrichten/derivate/abb-vorfreude-ist-die-schoenste-freude-1036607833</t>
  </si>
  <si>
    <t>Consensus cross-check</t>
  </si>
  <si>
    <t>S21 — ABB expected Op. EBITA $2,003m (19 estimates)</t>
  </si>
  <si>
    <t>Borsvarlden / FactSet</t>
  </si>
  <si>
    <t>https://www.borsvarlden.com/artiklar/abb-vantas-redovisa-2-003-miljoner-dollar-i-operativt-ebita-factset</t>
  </si>
  <si>
    <t>Consensus cross-check (newer consensus recorded separately)</t>
  </si>
  <si>
    <t>S22 — ABB Q2 operating profit beats forecasts ($1.93bn vs $1.88bn)</t>
  </si>
  <si>
    <t>Investing.com / Reuters</t>
  </si>
  <si>
    <t>https://au.investing.com/news/earnings/abb-q2-operating-profit-beats-forecasts-to-buy-rotork-for-55-bln-4535786</t>
  </si>
  <si>
    <t>Track record (beat probability). Rotork (headline) not modeled: completion expected 1H 2027 (S3), funded from Robotics proceeds (S4)</t>
  </si>
  <si>
    <t>S23 — ABB N share price history (SIX, CHF)</t>
  </si>
  <si>
    <t>Boursier.com</t>
  </si>
  <si>
    <t>https://www.boursier.com/actions/cours/abb-n-CH0012221716,CH.html</t>
  </si>
  <si>
    <t>Market cap cross-check (prior calibration)</t>
  </si>
  <si>
    <t>S24 — CHF/USD September 2026 average 1.2210 (cross-rate row on a EUR/USD average-rates page; page undated; unverified)</t>
  </si>
  <si>
    <t>Moneyswapp (ECB data)</t>
  </si>
  <si>
    <t>https://moneyswapp.com/average-rates/eurusd/</t>
  </si>
  <si>
    <t>Market cap USD conversion (prior calibration)</t>
  </si>
  <si>
    <t>Tab coverage: no standard tab omitted — ABB reports three business areas and three regions (S3, Operating segment data note); no Dates, Consensus or Checks tab by design.</t>
  </si>
  <si>
    <t>Web sources were retrieved 2026-10-19 via web_fetch/web search; every dated publication precedes the 2026-10-18 21:34 UTC cutoff. S13 and S24 pages are undated (S13 used only for release time; report date from S1). No 3Q26 actual results were seen.</t>
  </si>
  <si>
    <t>Inputs: CapIQ raw data, prior calibration and restated 1H25 comparatives</t>
  </si>
  <si>
    <t>A. CapIQ consensus snapshot (ABBN_consensus.json) — top-level fields</t>
  </si>
  <si>
    <t>source</t>
  </si>
  <si>
    <t>ticker</t>
  </si>
  <si>
    <t>ABBN</t>
  </si>
  <si>
    <t>company</t>
  </si>
  <si>
    <t>fiscal_period</t>
  </si>
  <si>
    <t>FQ3 2026 - Sep 2026</t>
  </si>
  <si>
    <t>period_end_date</t>
  </si>
  <si>
    <t>2026-09-30</t>
  </si>
  <si>
    <t>as_of_date</t>
  </si>
  <si>
    <t>2026-10-18</t>
  </si>
  <si>
    <t>analyst_count</t>
  </si>
  <si>
    <t>consensus_eps</t>
  </si>
  <si>
    <t>eps_basis</t>
  </si>
  <si>
    <t>Normalized diluted EPS per ordinary/common share, USD; verify issuer adjustments and share identity</t>
  </si>
  <si>
    <t>consensus_revenue_m</t>
  </si>
  <si>
    <t>currency</t>
  </si>
  <si>
    <t>USD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</si>
  <si>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</si>
  <si>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</si>
  <si>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</si>
  <si>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</si>
  <si>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</si>
  <si>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USD (ABB reports in USD; EPS per share in USD, revenue and income in USD millions. The share price is CHF on SWX)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</si>
  <si>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</si>
  <si>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</si>
  <si>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</si>
  <si>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</si>
  <si>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</si>
  <si>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</si>
  <si>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B. CapIQ summary row (raw; blank source values preserved as blank)</t>
  </si>
  <si>
    <t>company_name</t>
  </si>
  <si>
    <t>exchange_ticker</t>
  </si>
  <si>
    <t>SWX:ABBN</t>
  </si>
  <si>
    <t>capiq_company_id</t>
  </si>
  <si>
    <t>18527</t>
  </si>
  <si>
    <t>currency_basis</t>
  </si>
  <si>
    <t>fiscal_year_end</t>
  </si>
  <si>
    <t>Dec-31</t>
  </si>
  <si>
    <t>fiscal_quarter</t>
  </si>
  <si>
    <t>quarter_end_date</t>
  </si>
  <si>
    <t>expected_report_date</t>
  </si>
  <si>
    <t>2026-10-20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</si>
  <si>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</si>
  <si>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</si>
  <si>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</si>
  <si>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</si>
  <si>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</si>
  <si>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</si>
  <si>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</si>
  <si>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</si>
  <si>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</si>
  <si>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</si>
  <si>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</si>
  <si>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</si>
  <si>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</si>
  <si>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</si>
  <si>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</si>
  <si>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</si>
  <si>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</si>
  <si>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</si>
  <si>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</si>
  <si>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</si>
  <si>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</si>
  <si>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</si>
  <si>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</si>
  <si>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</si>
  <si>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</si>
  <si>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</si>
  <si>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</si>
  <si>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</si>
  <si>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</si>
  <si>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</si>
  <si>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</si>
  <si>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</si>
  <si>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</si>
  <si>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</si>
  <si>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</si>
  <si>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</si>
  <si>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</si>
  <si>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</si>
  <si>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</si>
  <si>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</si>
  <si>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</si>
  <si>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</si>
  <si>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</si>
  <si>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</si>
  <si>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</si>
  <si>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</si>
  <si>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</si>
  <si>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</si>
  <si>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</si>
  <si>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</si>
  <si>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</si>
  <si>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</si>
  <si>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</si>
  <si>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</si>
  <si>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Hold</t>
  </si>
  <si>
    <t>recommendation_score</t>
  </si>
  <si>
    <t>last_close_price</t>
  </si>
  <si>
    <t>wk52_high_low</t>
  </si>
  <si>
    <t>89.14/53.78</t>
  </si>
  <si>
    <t>estimates_captured_at</t>
  </si>
  <si>
    <t>notes</t>
  </si>
  <si>
    <t>USD reporting, not CHF. CapIQ anchors the EPS estimate block to the OM:ABB (Stockholm) line in USD, and only 2 of 4 contributors file normalized EPS against that line, so the forward EPS consensus is very thin even though 26 analysts carry target prices. Guidance values shown on the EPS rows (10263.79 / 10627.11) are the revenue guidance range leaking into the EPS line and were excluded. Price 75.68 is SWX:ABBN in CHF; recommendation differs by listing (SWX Hold 2.85, OM Outperform 1.60, OTC ADR Hold 3.40).</t>
  </si>
  <si>
    <t>C. CapIQ history (ABBN_history.csv; all six rows)</t>
  </si>
  <si>
    <t>report_date</t>
  </si>
  <si>
    <t>eps_
normalized_
consensus</t>
  </si>
  <si>
    <t>eps_
normalized_
actual</t>
  </si>
  <si>
    <t>eps_gaap_
consensus</t>
  </si>
  <si>
    <t>eps_gaap_
actual</t>
  </si>
  <si>
    <t>revenue_m_
consensus</t>
  </si>
  <si>
    <t>revenue_m_
actual</t>
  </si>
  <si>
    <t>beat_
normalized</t>
  </si>
  <si>
    <t>surprise_
norm_$</t>
  </si>
  <si>
    <t>surprise_
gaap_$</t>
  </si>
  <si>
    <t>Headers B101:I101 are the raw ABBN_history.csv field names (J101:L101 are model-derived); line breaks after underscores are display-only</t>
  </si>
  <si>
    <t>2025-03-31</t>
  </si>
  <si>
    <t>2025-06-30</t>
  </si>
  <si>
    <t>2025-09-30</t>
  </si>
  <si>
    <t>2025-12-31</t>
  </si>
  <si>
    <t>2026-03-31</t>
  </si>
  <si>
    <t>2026-06-30</t>
  </si>
  <si>
    <t>D. Size-aware starting probability (playbook v2)</t>
  </si>
  <si>
    <t>Last close price SWX:ABBN (CHF, 2026-10-18)</t>
  </si>
  <si>
    <t>Shares outstanding (m, end-2Q26)</t>
  </si>
  <si>
    <t>Market capitalisation (CHF bn)</t>
  </si>
  <si>
    <t>USD per CHF (September 2026 average, S24)</t>
  </si>
  <si>
    <t>Source limitation: 1.2210 is the CHF/USD Sep-2026 cross-rate shown on the Moneyswapp EUR/USD average-rates page (S24) in the original pre-report search result; page undated, not a dedicated CHF source; value retained as an unverified assumption. Size bucket is robust to any plausible rate</t>
  </si>
  <si>
    <t>Market capitalisation (US$ bn)</t>
  </si>
  <si>
    <t>Size bucket</t>
  </si>
  <si>
    <t>Large (&gt; $10bn)</t>
  </si>
  <si>
    <t>S&amp;P 500 member</t>
  </si>
  <si>
    <t>No (Swiss-listed; not an S&amp;P 500 constituent)</t>
  </si>
  <si>
    <t>Unsourced classification: no cached index-membership source. Prior C117 = 0.78 under either status because the size bucket (C115) is Large</t>
  </si>
  <si>
    <t>Cohort prior (large or S&amp;P 500)</t>
  </si>
  <si>
    <t>Fixed experimental playbook constant (forecasting-playbook.md §7: 0.60 small / 0.70 mid / 0.78 large or S&amp;P 500); rounded hypothesis, not an empirical estimate</t>
  </si>
  <si>
    <t>b = strict normalized-EPS beats in six CapIQ pairs</t>
  </si>
  <si>
    <t>n = valid actual/consensus pairs</t>
  </si>
  <si>
    <t>Pseudo-count (fixed regularisation weight)</t>
  </si>
  <si>
    <t>Fixed regularisation weight specified by the playbook (8 pseudo-observations); not fitted and not an eight-observation dataset</t>
  </si>
  <si>
    <t>Starting P(beat) = (8 x prior + b) / (8 + n)</t>
  </si>
  <si>
    <t>Average historical normalized surprise ($/share)</t>
  </si>
  <si>
    <t>Final P(beat consensus EPS) after quarter-specific evidence</t>
  </si>
  <si>
    <t>Model normalized EPS 0.8264 sits ~$0.0064 above the 0.82 frozen consensus, i.e. just above the 0.825 rounding threshold; history (6/6 beats, Op. EBITA beats 1Q/2Q26) skews upside; Corp cost guide, copper and FX skew downside. 0.65 is a judgmental overlay</t>
  </si>
  <si>
    <t>Evidence adjustment (final − starting)</t>
  </si>
  <si>
    <t>E. Model constants and ABB-compiled consensus (S10, 13-Oct-26)</t>
  </si>
  <si>
    <t>Tax rate applied to normalization adjustments</t>
  </si>
  <si>
    <t>~FY26 guided ETR; calibrates to CapIQ normalized actuals 4Q25-2Q26 within $0.01</t>
  </si>
  <si>
    <t>ABB-compiled consensus: revenues ($m)</t>
  </si>
  <si>
    <t>ABB-compiled consensus: Operational EBITA ($m)</t>
  </si>
  <si>
    <t>ABB-compiled consensus: Operational EBITA margin</t>
  </si>
  <si>
    <t>ABB-compiled consensus: net income ($m)</t>
  </si>
  <si>
    <t>ABB-compiled consensus: shares outstanding (m)</t>
  </si>
  <si>
    <t>ABB-compiled consensus: basic EPS ($)</t>
  </si>
  <si>
    <t>FactSet consensus (15-Oct-26, newer; not the scoring baseline): Op. EBITA ($m)</t>
  </si>
  <si>
    <t>F. Restated 1H25 comparatives (S3) used to derive 3Q25A = FY25A − 4Q25A − 1H25</t>
  </si>
  <si>
    <t>Tab: line item</t>
  </si>
  <si>
    <t>1H25</t>
  </si>
  <si>
    <t>1H25 = six months ended 30-Jun-2025 as restated (Robotics in discontinued operations), from S3</t>
  </si>
  <si>
    <t>Revenue summary: Corporate and Other revenues</t>
  </si>
  <si>
    <t>Revenue summary: Intersegment eliminations (revenues)</t>
  </si>
  <si>
    <t>Revenue summary: Corporate and Other orders</t>
  </si>
  <si>
    <t>Revenue summary: Intersegment eliminations (orders)</t>
  </si>
  <si>
    <t>Electrification: Electrification orders received</t>
  </si>
  <si>
    <t>Electrification: Electrification total revenues</t>
  </si>
  <si>
    <t>Electrification: Electrification third-party revenues Europe</t>
  </si>
  <si>
    <t>Electrification: Electrification third-party revenues The Americas</t>
  </si>
  <si>
    <t>Electrification: Electrification third-party revenues of which United States</t>
  </si>
  <si>
    <t>Electrification: Electrification third-party revenues Asia, Middle East and Africa</t>
  </si>
  <si>
    <t>Electrification: Electrification third-party revenues of which China</t>
  </si>
  <si>
    <t>Electrification: Electrification third-party revenues Products</t>
  </si>
  <si>
    <t>Electrification: Electrification third-party revenues Services and other</t>
  </si>
  <si>
    <t>Electrification: Electrification intersegment revenues</t>
  </si>
  <si>
    <t>Electrification: Electrification operational cost of sales</t>
  </si>
  <si>
    <t>Electrification: Electrification Operational SG&amp;A expenses</t>
  </si>
  <si>
    <t>Electrification: Electrification Operational non-order R&amp;D expenses</t>
  </si>
  <si>
    <t>Electrification: Electrification other segment items</t>
  </si>
  <si>
    <t>Electrification: Electrification operational EBITA (reported)</t>
  </si>
  <si>
    <t>Electrification: Electrification FX/commodity timing in revenues</t>
  </si>
  <si>
    <t>Electrification: Electrification income from operations</t>
  </si>
  <si>
    <t>Motion: Motion orders received</t>
  </si>
  <si>
    <t>Motion: Motion total revenues</t>
  </si>
  <si>
    <t>Motion: Motion third-party revenues Europe</t>
  </si>
  <si>
    <t>Motion: Motion third-party revenues The Americas</t>
  </si>
  <si>
    <t>Motion: Motion third-party revenues of which United States</t>
  </si>
  <si>
    <t>Motion: Motion third-party revenues Asia, Middle East and Africa</t>
  </si>
  <si>
    <t>Motion: Motion third-party revenues of which China</t>
  </si>
  <si>
    <t>Motion: Motion third-party revenues Products</t>
  </si>
  <si>
    <t>Motion: Motion third-party revenues Services and other</t>
  </si>
  <si>
    <t>Motion: Motion intersegment revenues</t>
  </si>
  <si>
    <t>Motion: Motion operational cost of sales</t>
  </si>
  <si>
    <t>Motion: Motion Operational SG&amp;A expenses</t>
  </si>
  <si>
    <t>Motion: Motion Operational non-order R&amp;D expenses</t>
  </si>
  <si>
    <t>Motion: Motion other segment items</t>
  </si>
  <si>
    <t>Motion: Motion operational EBITA (reported)</t>
  </si>
  <si>
    <t>Motion: Motion FX/commodity timing in revenues</t>
  </si>
  <si>
    <t>Motion: Motion income from operations</t>
  </si>
  <si>
    <t>Automation: Automation orders received</t>
  </si>
  <si>
    <t>Automation: Automation total revenues</t>
  </si>
  <si>
    <t>Automation: Automation third-party revenues Europe</t>
  </si>
  <si>
    <t>Automation: Automation third-party revenues The Americas</t>
  </si>
  <si>
    <t>Automation: Automation third-party revenues of which United States</t>
  </si>
  <si>
    <t>Automation: Automation third-party revenues Asia, Middle East and Africa</t>
  </si>
  <si>
    <t>Automation: Automation third-party revenues of which China</t>
  </si>
  <si>
    <t>Automation: Automation third-party revenues Products</t>
  </si>
  <si>
    <t>Automation: Automation third-party revenues Services and other</t>
  </si>
  <si>
    <t>Automation: Automation intersegment revenues</t>
  </si>
  <si>
    <t>Automation: Automation operational cost of sales</t>
  </si>
  <si>
    <t>Automation: Automation Operational SG&amp;A expenses</t>
  </si>
  <si>
    <t>Automation: Automation Operational non-order R&amp;D expenses</t>
  </si>
  <si>
    <t>Automation: Automation other segment items</t>
  </si>
  <si>
    <t>Automation: Automation operational EBITA (reported)</t>
  </si>
  <si>
    <t>Automation: Automation FX/commodity timing in revenues</t>
  </si>
  <si>
    <t>Automation: Automation income from operations</t>
  </si>
  <si>
    <t>Income Statement: Sales of products</t>
  </si>
  <si>
    <t>Income Statement: Sales of services and other</t>
  </si>
  <si>
    <t>Income Statement: Cost of sales of products</t>
  </si>
  <si>
    <t>Income Statement: Cost of services and other</t>
  </si>
  <si>
    <t>Income Statement: Selling, general and administrative expenses</t>
  </si>
  <si>
    <t>Income Statement: Non-order related R&amp;D expenses</t>
  </si>
  <si>
    <t>Income Statement: Other income (expense), net</t>
  </si>
  <si>
    <t>Income Statement: Interest and dividend income</t>
  </si>
  <si>
    <t>Income Statement: Interest and other finance expense</t>
  </si>
  <si>
    <t>Income Statement: Non-operational pension credit</t>
  </si>
  <si>
    <t>Income Statement: Income tax expense</t>
  </si>
  <si>
    <t>Income Statement: Income from discontinued operations</t>
  </si>
  <si>
    <t>Income Statement: Net income attributable to noncontrolling interests</t>
  </si>
  <si>
    <t>Income Statement: Income from continuing operations attributable to ABB</t>
  </si>
  <si>
    <t>Income Statement: Corporate and Other: E-mobility</t>
  </si>
  <si>
    <t>Income Statement: Corporate and Other: stranded corporate costs</t>
  </si>
  <si>
    <t>Income Statement: Corporate costs, intersegment elimination and other</t>
  </si>
  <si>
    <t>Income Statement: Operational EBITA (reported)</t>
  </si>
  <si>
    <t>Income Statement: FX/commodity timing differences in total revenues</t>
  </si>
  <si>
    <t>Income Statement: Acquisition-related amortization</t>
  </si>
  <si>
    <t>Income Statement: Restructuring, related and implementation costs</t>
  </si>
  <si>
    <t>Income Statement: Changes in obligations related to divested businesses</t>
  </si>
  <si>
    <t>Income Statement: Gains and losses from sale of businesses</t>
  </si>
  <si>
    <t>Income Statement: Acquisition-/divestment-related expenses and integration costs</t>
  </si>
  <si>
    <t>Income Statement: Business transformation costs</t>
  </si>
  <si>
    <t>Income Statement: Other certain non-operational items (legal, environmental, fair value)</t>
  </si>
  <si>
    <t>Income Statement: FX/commodity timing differences in income from operations</t>
  </si>
  <si>
    <t>Cash Flow Statement: Net income</t>
  </si>
  <si>
    <t>Cash Flow Statement: (Income) loss from discontinued operations, net of tax</t>
  </si>
  <si>
    <t>Cash Flow Statement: Depreciation and amortization</t>
  </si>
  <si>
    <t>Cash Flow Statement: Changes in fair values of investments</t>
  </si>
  <si>
    <t>Cash Flow Statement: Pension and other employee benefits</t>
  </si>
  <si>
    <t>Cash Flow Statement: Deferred taxes</t>
  </si>
  <si>
    <t>Cash Flow Statement: Net loss (gain) from derivatives and foreign exchange</t>
  </si>
  <si>
    <t>Cash Flow Statement: Net gain from sale of property, plant and equipment</t>
  </si>
  <si>
    <t>Cash Flow Statement: Net loss (gain) from sale of businesses</t>
  </si>
  <si>
    <t>Cash Flow Statement: Other non-cash items</t>
  </si>
  <si>
    <t>Cash Flow Statement: Trade receivables, net</t>
  </si>
  <si>
    <t>Cash Flow Statement: Contract assets and liabilities</t>
  </si>
  <si>
    <t>Cash Flow Statement: Inventories, net</t>
  </si>
  <si>
    <t>Cash Flow Statement: Accounts payable, trade</t>
  </si>
  <si>
    <t>Cash Flow Statement: Accrued liabilities</t>
  </si>
  <si>
    <t>Cash Flow Statement: Provisions, net</t>
  </si>
  <si>
    <t>Cash Flow Statement: Income taxes payable and receivable</t>
  </si>
  <si>
    <t>Cash Flow Statement: Other assets and liabilities, net</t>
  </si>
  <si>
    <t>Cash Flow Statement: Operating cash flow – discontinued operations</t>
  </si>
  <si>
    <t>Cash Flow Statement: Purchases of investments</t>
  </si>
  <si>
    <t>Cash Flow Statement: Purchases of PP&amp;E and intangible assets</t>
  </si>
  <si>
    <t>Cash Flow Statement: Acquisition of businesses (net of cash acquired)</t>
  </si>
  <si>
    <t>Cash Flow Statement: Proceeds from sales of investments</t>
  </si>
  <si>
    <t>Cash Flow Statement: Proceeds from sales of PP&amp;E</t>
  </si>
  <si>
    <t>Cash Flow Statement: Proceeds from sales of businesses</t>
  </si>
  <si>
    <t>Cash Flow Statement: Net cash from settlement of FX derivatives</t>
  </si>
  <si>
    <t>Cash Flow Statement: Other investing activities</t>
  </si>
  <si>
    <t>Cash Flow Statement: Investing cash flow – discontinued operations</t>
  </si>
  <si>
    <t>Cash Flow Statement: Net changes in debt with maturities of 90 days or less</t>
  </si>
  <si>
    <t>Cash Flow Statement: Increase in debt</t>
  </si>
  <si>
    <t>Cash Flow Statement: Repayment of debt</t>
  </si>
  <si>
    <t>Cash Flow Statement: Delivery of shares</t>
  </si>
  <si>
    <t>Cash Flow Statement: Purchase of treasury stock</t>
  </si>
  <si>
    <t>Cash Flow Statement: Dividends paid</t>
  </si>
  <si>
    <t>Cash Flow Statement: Dividends paid to noncontrolling shareholders</t>
  </si>
  <si>
    <t>Cash Flow Statement: Other financing activities</t>
  </si>
  <si>
    <t>Cash Flow Statement: Financing cash flow – discontinued operations</t>
  </si>
  <si>
    <t>Cash Flow Statement: Effects of exchange rate changes on cash</t>
  </si>
  <si>
    <t>Cash Flow Statement: Adjustment for cash in assets held for sale</t>
  </si>
  <si>
    <t>Cash Flow Statement: Depreciation</t>
  </si>
  <si>
    <t>Cash Flow Statement: Amortization</t>
  </si>
  <si>
    <t>Geo: Revenues Europe</t>
  </si>
  <si>
    <t>Geo: Revenues The Americas</t>
  </si>
  <si>
    <t>Geo: Revenues of which United States</t>
  </si>
  <si>
    <t>Geo: Revenues Asia, Middle East and Africa</t>
  </si>
  <si>
    <t>Geo: Revenues of which China</t>
  </si>
  <si>
    <t>Geo: Orders Europe</t>
  </si>
  <si>
    <t>Geo: Orders The Americas</t>
  </si>
  <si>
    <t>Geo: Orders of which United States</t>
  </si>
  <si>
    <t>Geo: Orders Asia, Middle East and Africa</t>
  </si>
  <si>
    <t>Geo: Orders of which China</t>
  </si>
  <si>
    <t>G. Source tie-outs from cached issuer files (comparison only; not model inputs and not part of the Cover check)</t>
  </si>
  <si>
    <t>Item</t>
  </si>
  <si>
    <t>Source</t>
  </si>
  <si>
    <t>Model</t>
  </si>
  <si>
    <t>Model − source</t>
  </si>
  <si>
    <t>S10 3Q25 actual (restated, continuing ops): revenues ($m)</t>
  </si>
  <si>
    <t>Model 3Q25A = FY25A − 4Q25A − 1H25 restated (S7, S3)</t>
  </si>
  <si>
    <t>S10 3Q25 actual: Operational EBITA ($m)</t>
  </si>
  <si>
    <t>S10 3Q25 actual: Operational EBITA margin</t>
  </si>
  <si>
    <t>S10 margin rounded to 0.1pt; model margin on operational revenues</t>
  </si>
  <si>
    <t>S10 3Q25 actual: net income ($m)</t>
  </si>
  <si>
    <t>Compared with net income attributable to ABB (incl. discontinued ops)</t>
  </si>
  <si>
    <t>S10 3Q25 actual: shares outstanding (m)</t>
  </si>
  <si>
    <t>Compared with weighted basic shares</t>
  </si>
  <si>
    <t>S10 3Q25 actual: basic EPS ($)</t>
  </si>
  <si>
    <t>S10 rounded to $0.01; difference is rounding only</t>
  </si>
  <si>
    <t>S3 1H26 shares repurchased, all programs (m, 'approximately')</t>
  </si>
  <si>
    <t>S3 equity note: ~5m shares bought in the six months to 30-Jun-26 under the 2025 (completed Jan-26) and 2026 programs combined. Rounded and cross-program, so NOT a sourced 30-Jun cumulative for the 2026 program: G19 (= F18 + G18) and H18 keep this limitation</t>
  </si>
  <si>
    <t>S5 1Q26 shares repurchased, all programs (m, 'approximately')</t>
  </si>
  <si>
    <t>S5 equity note: ~3m shares in the three months to 31-Mar-26 across programs; consistent with F18 (2026 program, S6) but not a precise tie-out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</si>
</sst>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2915" formatCode="#,##0.0_);(#,##0.0);–_)"/>
    <numFmt numFmtId="12922" formatCode="0.0&quot;x&quot;_);(0.0&quot;x&quot;);–_)"/>
    <numFmt numFmtId="12924" formatCode="dd-mmm-yy"/>
    <numFmt numFmtId="12926" formatCode="$0.00_);($0.00);–_)"/>
    <numFmt numFmtId="12930" formatCode="#,##0.00_);(#,##0.00);–_)"/>
    <numFmt numFmtId="12933" formatCode="0.0%_);(0.0%);–_)"/>
    <numFmt numFmtId="12947" formatCode="#,##0_);(#,##0);–_)"/>
    <numFmt numFmtId="12965" formatCode="0_);(0)"/>
    <numFmt numFmtId="12968" formatCode="#,##0.000_);(#,##0.000);–_)"/>
    <numFmt numFmtId="12980" formatCode="0.0%&quot; ann.&quot;_);(0.0%&quot; ann.&quot;);–_)"/>
    <numFmt numFmtId="12981" formatCode="$0.0000_);($0.0000);–_)"/>
    <numFmt numFmtId="12982" formatCode="0.00%_);(0.00%);–_)"/>
  </numFmts>
  <fonts count="15">
    <font>
      <b val="0"/>
      <i val="0"/>
      <sz val="11"/>
      <color auto="1"/>
      <name val="Calibri"/>
    </font>
    <font>
      <b val="0"/>
      <i val="0"/>
      <sz val="10"/>
      <color rgb="FF0000FF"/>
      <name val="Arial"/>
    </font>
    <font>
      <b/>
      <i val="0"/>
      <sz val="10"/>
      <color rgb="FF000000"/>
      <name val="Arial"/>
    </font>
    <font>
      <b val="0"/>
      <i val="0"/>
      <sz val="10"/>
      <color rgb="FF000000"/>
      <name val="Arial"/>
    </font>
    <font>
      <b val="0"/>
      <i val="0"/>
      <sz val="10"/>
      <color rgb="FF006100"/>
      <name val="Arial"/>
    </font>
    <font>
      <b val="0"/>
      <i/>
      <sz val="10"/>
      <color rgb="FF000000"/>
      <name val="Arial"/>
    </font>
    <font>
      <b/>
      <i val="0"/>
      <sz val="12"/>
      <color rgb="FF000000"/>
      <name val="Arial"/>
    </font>
    <font>
      <b/>
      <i val="0"/>
      <sz val="10"/>
      <color rgb="FF006100"/>
      <name val="Arial"/>
    </font>
    <font>
      <b val="0"/>
      <i/>
      <sz val="10"/>
      <color rgb="FF595959"/>
      <name val="Arial"/>
    </font>
    <font>
      <b/>
      <i val="0"/>
      <sz val="10"/>
      <color rgb="FF0000FF"/>
      <name val="Arial"/>
    </font>
    <font>
      <b val="0"/>
      <i/>
      <sz val="10"/>
      <color rgb="FF0000FF"/>
      <name val="Arial"/>
    </font>
    <font>
      <b val="0"/>
      <i/>
      <sz val="10"/>
      <color rgb="FF006100"/>
      <name val="Arial"/>
    </font>
    <font>
      <b/>
      <i/>
      <sz val="10"/>
      <color rgb="FF000000"/>
      <name val="Arial"/>
    </font>
    <font>
      <b/>
      <i/>
      <sz val="10"/>
      <color rgb="FF006100"/>
      <name val="Arial"/>
    </font>
    <font>
      <b/>
      <i val="0"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EF3FA"/>
      </patternFill>
    </fill>
    <fill>
      <patternFill patternType="solid">
        <fgColor rgb="FFE7E6E6"/>
      </patternFill>
    </fill>
    <fill>
      <patternFill patternType="solid">
        <fgColor rgb="FFDCE6F1"/>
      </patternFill>
    </fill>
  </fills>
  <borders count="8">
    <border>
      <left/>
      <right/>
      <top/>
      <bottom/>
    </border>
    <border>
      <left/>
      <right/>
      <top/>
      <bottom/>
      <diagonal/>
    </border>
    <border>
      <top style="thin">
        <color rgb="FF000000"/>
      </top>
    </border>
    <border>
      <top style="thin">
        <color rgb="FF808080"/>
      </top>
    </border>
    <border>
      <bottom style="thin">
        <color rgb="FF808080"/>
      </bottom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1"/>
  </cellStyleXfs>
  <cellXfs count="113">
    <xf numFmtId="0" fontId="0" fillId="0" borderId="1" xfId="0"/>
    <xf numFmtId="0" fontId="3" fillId="0" borderId="1" xfId="0"/>
    <xf numFmtId="0" fontId="14" fillId="0" borderId="1" xfId="0"/>
    <xf numFmtId="0" fontId="6" fillId="0" borderId="1" xfId="0"/>
    <xf numFmtId="0" fontId="2" fillId="0" borderId="1" xfId="0"/>
    <xf numFmtId="0" fontId="5" fillId="0" borderId="1" xfId="0"/>
    <xf numFmtId="0" fontId="2" fillId="3" borderId="5" xfId="0">
      <alignment horizontal="left" vertical="bottom"/>
    </xf>
    <xf numFmtId="0" fontId="2" fillId="3" borderId="5" xfId="0">
      <alignment horizontal="right" vertical="bottom"/>
    </xf>
    <xf numFmtId="0" fontId="2" fillId="4" borderId="5" xfId="0">
      <alignment horizontal="right" vertical="bottom"/>
    </xf>
    <xf numFmtId="0" fontId="2" fillId="0" borderId="1" xfId="0">
      <alignment horizontal="left" vertical="bottom"/>
    </xf>
    <xf numFmtId="0" fontId="3" fillId="3" borderId="1" xfId="0">
      <alignment horizontal="left" vertical="bottom"/>
    </xf>
    <xf numFmtId="12924" fontId="3" fillId="3" borderId="1" xfId="0">
      <alignment horizontal="right" vertical="bottom"/>
    </xf>
    <xf numFmtId="12924" fontId="3" fillId="4" borderId="1" xfId="0">
      <alignment horizontal="right" vertical="bottom"/>
    </xf>
    <xf numFmtId="0" fontId="3" fillId="3" borderId="6" xfId="0">
      <alignment horizontal="left" vertical="bottom"/>
    </xf>
    <xf numFmtId="1" fontId="3" fillId="3" borderId="6" xfId="0">
      <alignment horizontal="right" vertical="bottom"/>
    </xf>
    <xf numFmtId="1" fontId="3" fillId="4" borderId="6" xfId="0">
      <alignment horizontal="right" vertical="bottom"/>
    </xf>
    <xf numFmtId="0" fontId="3" fillId="0" borderId="1" xfId="0">
      <alignment horizontal="left" vertical="bottom"/>
    </xf>
    <xf numFmtId="0" fontId="2" fillId="0" borderId="6" xfId="0">
      <alignment horizontal="right" vertical="bottom"/>
    </xf>
    <xf numFmtId="12915" fontId="4" fillId="0" borderId="1" xfId="0">
      <alignment horizontal="right" vertical="bottom"/>
    </xf>
    <xf numFmtId="12915" fontId="3" fillId="0" borderId="1" xfId="0">
      <alignment horizontal="right" vertical="bottom"/>
    </xf>
    <xf numFmtId="12933" fontId="5" fillId="0" borderId="1" xfId="0">
      <alignment horizontal="right" vertical="bottom"/>
    </xf>
    <xf numFmtId="0" fontId="3" fillId="0" borderId="1" xfId="0">
      <alignment horizontal="right" vertical="bottom"/>
    </xf>
    <xf numFmtId="0" fontId="8" fillId="0" borderId="1" xfId="0"/>
    <xf numFmtId="0" fontId="3" fillId="0" borderId="1" xfId="0">
      <alignment vertical="bottom" wrapText="1"/>
    </xf>
    <xf numFmtId="12926" fontId="7" fillId="0" borderId="1" xfId="0">
      <alignment horizontal="right" vertical="bottom"/>
    </xf>
    <xf numFmtId="12926" fontId="2" fillId="0" borderId="1" xfId="0">
      <alignment horizontal="right" vertical="bottom"/>
    </xf>
    <xf numFmtId="12933" fontId="12" fillId="0" borderId="1" xfId="0">
      <alignment horizontal="right" vertical="bottom"/>
    </xf>
    <xf numFmtId="0" fontId="2" fillId="0" borderId="1" xfId="0">
      <alignment horizontal="right" vertical="bottom"/>
    </xf>
    <xf numFmtId="12926" fontId="4" fillId="0" borderId="1" xfId="0">
      <alignment horizontal="right" vertical="bottom"/>
    </xf>
    <xf numFmtId="12926" fontId="3" fillId="0" borderId="1" xfId="0">
      <alignment horizontal="right" vertical="bottom"/>
    </xf>
    <xf numFmtId="12933" fontId="13" fillId="0" borderId="1" xfId="0">
      <alignment horizontal="right" vertical="bottom"/>
    </xf>
    <xf numFmtId="0" fontId="7" fillId="0" borderId="1" xfId="0">
      <alignment horizontal="right" vertical="bottom"/>
    </xf>
    <xf numFmtId="0" fontId="3" fillId="2" borderId="1" xfId="0"/>
    <xf numFmtId="12915" fontId="7" fillId="0" borderId="1" xfId="0">
      <alignment horizontal="right" vertical="bottom"/>
    </xf>
    <xf numFmtId="12915" fontId="7" fillId="2" borderId="1" xfId="0">
      <alignment horizontal="right" vertical="bottom"/>
    </xf>
    <xf numFmtId="0" fontId="5" fillId="0" borderId="1" xfId="0">
      <alignment horizontal="left" vertical="bottom" indent="1"/>
    </xf>
    <xf numFmtId="12933" fontId="11" fillId="0" borderId="1" xfId="0">
      <alignment horizontal="right" vertical="bottom"/>
    </xf>
    <xf numFmtId="12933" fontId="11" fillId="2" borderId="1" xfId="0">
      <alignment horizontal="right" vertical="bottom"/>
    </xf>
    <xf numFmtId="12933" fontId="5" fillId="2" borderId="1" xfId="0">
      <alignment horizontal="right" vertical="bottom"/>
    </xf>
    <xf numFmtId="12915" fontId="9" fillId="0" borderId="1" xfId="0">
      <alignment horizontal="right" vertical="bottom"/>
    </xf>
    <xf numFmtId="12915" fontId="9" fillId="2" borderId="1" xfId="0">
      <alignment horizontal="right" vertical="bottom"/>
    </xf>
    <xf numFmtId="0" fontId="3" fillId="0" borderId="1" xfId="0">
      <alignment horizontal="left" vertical="bottom" indent="1"/>
    </xf>
    <xf numFmtId="12915" fontId="1" fillId="0" borderId="1" xfId="0">
      <alignment horizontal="right" vertical="bottom"/>
    </xf>
    <xf numFmtId="12915" fontId="3" fillId="2" borderId="1" xfId="0">
      <alignment horizontal="right" vertical="bottom"/>
    </xf>
    <xf numFmtId="0" fontId="5" fillId="0" borderId="1" xfId="0">
      <alignment horizontal="left" vertical="bottom" wrapText="1" indent="1"/>
    </xf>
    <xf numFmtId="12933" fontId="10" fillId="2" borderId="1" xfId="0">
      <alignment horizontal="right" vertical="bottom"/>
    </xf>
    <xf numFmtId="0" fontId="5" fillId="0" borderId="1" xfId="0">
      <alignment horizontal="left" vertical="bottom" indent="2"/>
    </xf>
    <xf numFmtId="12947" fontId="5" fillId="0" borderId="1" xfId="0">
      <alignment horizontal="right" vertical="bottom"/>
    </xf>
    <xf numFmtId="12947" fontId="5" fillId="2" borderId="1" xfId="0">
      <alignment horizontal="right" vertical="bottom"/>
    </xf>
    <xf numFmtId="12915" fontId="2" fillId="0" borderId="7" xfId="0">
      <alignment horizontal="right" vertical="bottom"/>
    </xf>
    <xf numFmtId="12915" fontId="2" fillId="2" borderId="7" xfId="0">
      <alignment horizontal="right" vertical="bottom"/>
    </xf>
    <xf numFmtId="12933" fontId="10" fillId="0" borderId="1" xfId="0">
      <alignment horizontal="right" vertical="bottom"/>
    </xf>
    <xf numFmtId="12915" fontId="11" fillId="0" borderId="1" xfId="0">
      <alignment horizontal="right" vertical="bottom"/>
    </xf>
    <xf numFmtId="12915" fontId="11" fillId="2" borderId="1" xfId="0">
      <alignment horizontal="right" vertical="bottom"/>
    </xf>
    <xf numFmtId="0" fontId="4" fillId="2" borderId="1" xfId="0">
      <alignment horizontal="right" vertical="bottom"/>
    </xf>
    <xf numFmtId="12915" fontId="4" fillId="2" borderId="1" xfId="0">
      <alignment horizontal="right" vertical="bottom"/>
    </xf>
    <xf numFmtId="12915" fontId="1" fillId="2" borderId="1" xfId="0">
      <alignment horizontal="right" vertical="bottom"/>
    </xf>
    <xf numFmtId="12922" fontId="3" fillId="0" borderId="1" xfId="0">
      <alignment horizontal="right" vertical="bottom"/>
    </xf>
    <xf numFmtId="12922" fontId="3" fillId="2" borderId="1" xfId="0">
      <alignment horizontal="right" vertical="bottom"/>
    </xf>
    <xf numFmtId="12915" fontId="9" fillId="0" borderId="7" xfId="0">
      <alignment horizontal="right" vertical="bottom"/>
    </xf>
    <xf numFmtId="12980" fontId="12" fillId="0" borderId="1" xfId="0">
      <alignment horizontal="right" vertical="bottom"/>
    </xf>
    <xf numFmtId="12915" fontId="2" fillId="2" borderId="1" xfId="0">
      <alignment horizontal="right" vertical="bottom"/>
    </xf>
    <xf numFmtId="0" fontId="3" fillId="0" borderId="1" xfId="0">
      <alignment horizontal="left" vertical="bottom" indent="2"/>
    </xf>
    <xf numFmtId="12915" fontId="5" fillId="0" borderId="1" xfId="0">
      <alignment horizontal="right" vertical="bottom"/>
    </xf>
    <xf numFmtId="12915" fontId="5" fillId="2" borderId="1" xfId="0">
      <alignment horizontal="right" vertical="bottom"/>
    </xf>
    <xf numFmtId="0" fontId="5" fillId="0" borderId="1" xfId="0">
      <alignment vertical="bottom" wrapText="1"/>
    </xf>
    <xf numFmtId="0" fontId="3" fillId="0" borderId="1" xfId="0">
      <alignment horizontal="left" vertical="bottom" wrapText="1" indent="1"/>
    </xf>
    <xf numFmtId="0" fontId="12" fillId="0" borderId="1" xfId="0"/>
    <xf numFmtId="12933" fontId="12" fillId="2" borderId="1" xfId="0">
      <alignment horizontal="right" vertical="bottom"/>
    </xf>
    <xf numFmtId="12915" fontId="7" fillId="0" borderId="7" xfId="0">
      <alignment horizontal="right" vertical="bottom"/>
    </xf>
    <xf numFmtId="0" fontId="2" fillId="0" borderId="1" xfId="0">
      <alignment horizontal="left" vertical="bottom" indent="1"/>
    </xf>
    <xf numFmtId="12926" fontId="3" fillId="2" borderId="1" xfId="0">
      <alignment horizontal="right" vertical="bottom"/>
    </xf>
    <xf numFmtId="12926" fontId="2" fillId="2" borderId="1" xfId="0">
      <alignment horizontal="right" vertical="bottom"/>
    </xf>
    <xf numFmtId="12926" fontId="1" fillId="0" borderId="1" xfId="0">
      <alignment horizontal="right" vertical="bottom"/>
    </xf>
    <xf numFmtId="12926" fontId="5" fillId="0" borderId="1" xfId="0">
      <alignment horizontal="right" vertical="bottom"/>
    </xf>
    <xf numFmtId="12926" fontId="5" fillId="2" borderId="1" xfId="0">
      <alignment horizontal="right" vertical="bottom"/>
    </xf>
    <xf numFmtId="12926" fontId="4" fillId="2" borderId="1" xfId="0">
      <alignment horizontal="right" vertical="bottom"/>
    </xf>
    <xf numFmtId="12915" fontId="2" fillId="0" borderId="1" xfId="0">
      <alignment horizontal="right" vertical="bottom"/>
    </xf>
    <xf numFmtId="0" fontId="2" fillId="0" borderId="1" xfId="0">
      <alignment vertical="bottom" wrapText="1"/>
    </xf>
    <xf numFmtId="0" fontId="5" fillId="0" borderId="1" xfId="0">
      <alignment horizontal="left" vertical="bottom" wrapText="1" indent="2"/>
    </xf>
    <xf numFmtId="12915" fontId="4" fillId="0" borderId="1" xfId="0"/>
    <xf numFmtId="12915" fontId="4" fillId="2" borderId="1" xfId="0"/>
    <xf numFmtId="12915" fontId="3" fillId="0" borderId="1" xfId="0"/>
    <xf numFmtId="12915" fontId="3" fillId="2" borderId="1" xfId="0"/>
    <xf numFmtId="12930" fontId="3" fillId="0" borderId="1" xfId="0">
      <alignment horizontal="right" vertical="bottom"/>
    </xf>
    <xf numFmtId="12930" fontId="1" fillId="0" borderId="1" xfId="0">
      <alignment horizontal="right" vertical="bottom"/>
    </xf>
    <xf numFmtId="12930" fontId="3" fillId="2" borderId="1" xfId="0">
      <alignment horizontal="right" vertical="bottom"/>
    </xf>
    <xf numFmtId="12930" fontId="1" fillId="2" borderId="1" xfId="0">
      <alignment horizontal="right" vertical="bottom"/>
    </xf>
    <xf numFmtId="12926" fontId="1" fillId="2" borderId="1" xfId="0">
      <alignment horizontal="right" vertical="bottom"/>
    </xf>
    <xf numFmtId="0" fontId="5" fillId="0" borderId="1" xfId="0">
      <alignment vertical="top" wrapText="1"/>
    </xf>
    <xf numFmtId="12968" fontId="5" fillId="0" borderId="1" xfId="0">
      <alignment horizontal="right" vertical="bottom"/>
    </xf>
    <xf numFmtId="12968" fontId="5" fillId="2" borderId="1" xfId="0">
      <alignment horizontal="right" vertical="bottom"/>
    </xf>
    <xf numFmtId="12924" fontId="3" fillId="0" borderId="1" xfId="0">
      <alignment horizontal="right" vertical="bottom"/>
    </xf>
    <xf numFmtId="12933" fontId="3" fillId="0" borderId="1" xfId="0">
      <alignment horizontal="right" vertical="bottom"/>
    </xf>
    <xf numFmtId="0" fontId="2" fillId="0" borderId="6" xfId="0">
      <alignment horizontal="left" vertical="bottom"/>
    </xf>
    <xf numFmtId="0" fontId="3" fillId="0" borderId="1" xfId="0">
      <alignment vertical="top" wrapText="1"/>
    </xf>
    <xf numFmtId="12924" fontId="3" fillId="0" borderId="1" xfId="0">
      <alignment horizontal="right" vertical="top"/>
    </xf>
    <xf numFmtId="0" fontId="3" fillId="0" borderId="1" xfId="0">
      <alignment horizontal="left" vertical="top" wrapText="1"/>
    </xf>
    <xf numFmtId="0" fontId="3" fillId="0" borderId="1" xfId="0">
      <alignment vertical="top"/>
    </xf>
    <xf numFmtId="0" fontId="3" fillId="0" borderId="1" xfId="0">
      <alignment horizontal="right" vertical="top" wrapText="1"/>
    </xf>
    <xf numFmtId="12965" fontId="1" fillId="0" borderId="1" xfId="0">
      <alignment horizontal="right" vertical="bottom"/>
    </xf>
    <xf numFmtId="39" fontId="1" fillId="0" borderId="1" xfId="0">
      <alignment horizontal="right" vertical="bottom"/>
    </xf>
    <xf numFmtId="0" fontId="2" fillId="0" borderId="6" xfId="0">
      <alignment horizontal="right" vertical="top" wrapText="1"/>
    </xf>
    <xf numFmtId="12965" fontId="3" fillId="0" borderId="1" xfId="0">
      <alignment horizontal="right" vertical="bottom"/>
    </xf>
    <xf numFmtId="39" fontId="3" fillId="0" borderId="1" xfId="0">
      <alignment horizontal="right" vertical="bottom"/>
    </xf>
    <xf numFmtId="12915" fontId="1" fillId="0" borderId="1" xfId="0"/>
    <xf numFmtId="12968" fontId="3" fillId="0" borderId="1" xfId="0"/>
    <xf numFmtId="12933" fontId="1" fillId="0" borderId="1" xfId="0"/>
    <xf numFmtId="12933" fontId="4" fillId="0" borderId="1" xfId="0"/>
    <xf numFmtId="12982" fontId="3" fillId="0" borderId="1" xfId="0"/>
    <xf numFmtId="12926" fontId="1" fillId="0" borderId="1" xfId="0"/>
    <xf numFmtId="12926" fontId="4" fillId="0" borderId="1" xfId="0"/>
    <xf numFmtId="12981" fontId="3" fillId="0" borderId="1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styles" Target="styles.xml"/><Relationship Id="rId15" Type="http://schemas.openxmlformats.org/officeDocument/2006/relationships/theme" Target="theme/theme1.xml"/><Relationship Id="rId1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0</xdr:col>
      <xdr:colOff>609600</xdr:colOff>
      <xdr:row>3</xdr:row>
      <xdr:rowOff>38100</xdr:rowOff>
    </xdr:to>
    <xdr:pic>
      <xdr:nvPicPr>
        <xdr:cNvPr id="2" name="Shortcut 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38100"/>
          <a:ext cx="571500" cy="592667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comments" Target="../comments13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45EC998-1B76-C452-8BF8-8DE7943025A8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9.140625" customHeight="1"/>
  <cols>
    <col min="1" max="1" width="10.00390625" customWidth="1"/>
    <col min="2" max="2" width="32.00390625" customWidth="1"/>
    <col min="3" max="8" width="12.00390625" customWidth="1"/>
    <col min="9" max="9" width="50.00390625" customWidth="1"/>
  </cols>
  <sheetData>
    <row r="1" ht="18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ht="13.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3.5" customHeight="1">
      <c r="A3" s="1"/>
      <c r="B3" s="4" t="s">
        <v>2</v>
      </c>
      <c r="C3" s="1"/>
      <c r="D3" s="1"/>
      <c r="E3" s="1"/>
      <c r="F3" s="1"/>
      <c r="G3" s="1"/>
      <c r="H3" s="1"/>
      <c r="I3" s="1"/>
    </row>
    <row r="4" ht="13.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1" t="s">
        <v>14</v>
      </c>
      <c r="C10" s="16" t="s">
        <v>15</v>
      </c>
      <c r="D10" s="1"/>
      <c r="E10" s="1"/>
      <c r="F10" s="1"/>
      <c r="G10" s="1"/>
      <c r="H10" s="1"/>
      <c r="I10" s="1"/>
    </row>
    <row r="11" ht="15" customHeight="1">
      <c r="A11" s="1"/>
      <c r="B11" s="1" t="s">
        <v>16</v>
      </c>
      <c r="C11" s="16" t="s">
        <v>17</v>
      </c>
      <c r="D11" s="1"/>
      <c r="E11" s="1"/>
      <c r="F11" s="1"/>
      <c r="G11" s="1"/>
      <c r="H11" s="1"/>
      <c r="I11" s="1"/>
    </row>
    <row r="12" ht="15" customHeight="1">
      <c r="A12" s="1"/>
      <c r="B12" s="1" t="s">
        <v>18</v>
      </c>
      <c r="C12" s="16" t="s">
        <v>19</v>
      </c>
      <c r="D12" s="1"/>
      <c r="E12" s="1"/>
      <c r="F12" s="1"/>
      <c r="G12" s="1"/>
      <c r="H12" s="1"/>
      <c r="I12" s="1"/>
    </row>
    <row r="13" ht="15" customHeight="1">
      <c r="A13" s="1"/>
      <c r="B13" s="1" t="s">
        <v>20</v>
      </c>
      <c r="C13" s="16" t="s">
        <v>21</v>
      </c>
      <c r="D13" s="1"/>
      <c r="E13" s="1"/>
      <c r="F13" s="1"/>
      <c r="G13" s="1"/>
      <c r="H13" s="1"/>
      <c r="I13" s="1"/>
    </row>
    <row r="14" ht="15" customHeight="1">
      <c r="A14" s="1"/>
      <c r="B14" s="1" t="s">
        <v>22</v>
      </c>
      <c r="C14" s="16" t="s">
        <v>23</v>
      </c>
      <c r="D14" s="1"/>
      <c r="E14" s="1"/>
      <c r="F14" s="1"/>
      <c r="G14" s="1"/>
      <c r="H14" s="1"/>
      <c r="I14" s="1"/>
    </row>
    <row r="15" ht="15" customHeight="1">
      <c r="A15" s="1"/>
      <c r="B15" s="1" t="s">
        <v>24</v>
      </c>
      <c r="C15" s="16" t="s">
        <v>25</v>
      </c>
      <c r="D15" s="1"/>
      <c r="E15" s="1"/>
      <c r="F15" s="1"/>
      <c r="G15" s="1"/>
      <c r="H15" s="1"/>
      <c r="I15" s="1"/>
    </row>
    <row r="16" ht="15" customHeight="1">
      <c r="A16" s="1"/>
      <c r="B16" s="1" t="s">
        <v>26</v>
      </c>
      <c r="C16" s="16" t="s">
        <v>27</v>
      </c>
      <c r="D16" s="1"/>
      <c r="E16" s="1"/>
      <c r="F16" s="1"/>
      <c r="G16" s="1"/>
      <c r="H16" s="1"/>
      <c r="I16" s="1"/>
    </row>
    <row r="17" ht="15" customHeight="1">
      <c r="A17" s="1"/>
      <c r="B17" s="1" t="s">
        <v>28</v>
      </c>
      <c r="C17" s="16" t="s">
        <v>29</v>
      </c>
      <c r="D17" s="1"/>
      <c r="E17" s="1"/>
      <c r="F17" s="1"/>
      <c r="G17" s="1"/>
      <c r="H17" s="1"/>
      <c r="I17" s="1"/>
    </row>
    <row r="18" ht="15" customHeight="1">
      <c r="A18" s="1"/>
      <c r="B18" s="1"/>
      <c r="C18" s="1"/>
      <c r="D18" s="1"/>
      <c r="E18" s="1"/>
      <c r="F18" s="1"/>
      <c r="G18" s="1"/>
      <c r="H18" s="1"/>
      <c r="I18" s="1"/>
    </row>
    <row r="19" ht="15" customHeight="1">
      <c r="A19" s="1"/>
      <c r="B19" s="4" t="s">
        <v>30</v>
      </c>
      <c r="C19" s="17" t="s">
        <v>31</v>
      </c>
      <c r="D19" s="17" t="s">
        <v>32</v>
      </c>
      <c r="E19" s="17" t="s">
        <v>33</v>
      </c>
      <c r="F19" s="17" t="s">
        <v>34</v>
      </c>
      <c r="G19" s="17" t="s">
        <v>35</v>
      </c>
      <c r="H19" s="17" t="s">
        <v>36</v>
      </c>
      <c r="I19" s="1"/>
    </row>
    <row r="20" ht="15" customHeight="1">
      <c r="A20" s="1"/>
      <c r="B20" s="1" t="s">
        <v>37</v>
      </c>
      <c r="C20" s="18">
        <f>'Revenue summary'!H46</f>
        <v>9679.108611835598</v>
      </c>
      <c r="D20" s="18">
        <f>Inputs!C62</f>
        <v>9755.28</v>
      </c>
      <c r="E20" s="19">
        <f t="shared" si="2" ref="E20:E25">IF(ISNUMBER(D20),C20-D20,"n.a.")</f>
        <v>-76.17138816440274</v>
      </c>
      <c r="F20" s="20">
        <f t="shared" si="3" ref="F20:F25">IF(ISNUMBER(D20),C20/D20-1,"n.a.")</f>
        <v>-0.00780822161582273</v>
      </c>
      <c r="G20" s="18">
        <f>Inputs!C129</f>
        <v>9742</v>
      </c>
      <c r="H20" s="18">
        <f>Guidance!G34</f>
        <v>9573.7513755</v>
      </c>
      <c r="I20" s="1"/>
    </row>
    <row r="21" ht="15" customHeight="1">
      <c r="A21" s="1"/>
      <c r="B21" s="1" t="s">
        <v>38</v>
      </c>
      <c r="C21" s="18">
        <f>'Income Statement'!H112</f>
        <v>1984.1071354442993</v>
      </c>
      <c r="D21" s="21" t="s">
        <v>39</v>
      </c>
      <c r="E21" s="19" t="str">
        <f t="shared" si="2"/>
        <v>n.a.</v>
      </c>
      <c r="F21" s="20" t="str">
        <f t="shared" si="3"/>
        <v>n.a.</v>
      </c>
      <c r="G21" s="18">
        <f>Inputs!C130</f>
        <v>2000</v>
      </c>
      <c r="H21" s="18">
        <f>Guidance!E35</f>
        <v>1935.8688443106619</v>
      </c>
      <c r="I21" s="22" t="s">
        <v>40</v>
      </c>
    </row>
    <row r="22" ht="15" customHeight="1">
      <c r="A22" s="1"/>
      <c r="B22" s="1" t="s">
        <v>41</v>
      </c>
      <c r="C22" s="18">
        <f>'Income Statement'!H169</f>
        <v>1500.1420301768917</v>
      </c>
      <c r="D22" s="18">
        <f>Inputs!C75</f>
        <v>1421.65</v>
      </c>
      <c r="E22" s="19">
        <f t="shared" si="2"/>
        <v>78.4920301768916</v>
      </c>
      <c r="F22" s="20">
        <f t="shared" si="3"/>
        <v>0.05521192289022725</v>
      </c>
      <c r="G22" s="21" t="s">
        <v>39</v>
      </c>
      <c r="H22" s="21" t="s">
        <v>42</v>
      </c>
      <c r="I22" s="22" t="s">
        <v>43</v>
      </c>
    </row>
    <row r="23" ht="40.5" customHeight="1">
      <c r="A23" s="1"/>
      <c r="B23" s="23" t="s">
        <v>44</v>
      </c>
      <c r="C23" s="18">
        <f>'Income Statement'!H78</f>
        <v>1411.3920301768917</v>
      </c>
      <c r="D23" s="18">
        <f>Inputs!C76</f>
        <v>2388.35</v>
      </c>
      <c r="E23" s="19">
        <f t="shared" si="2"/>
        <v>-976.9579698231082</v>
      </c>
      <c r="F23" s="20">
        <f t="shared" si="3"/>
        <v>-0.4090514245496297</v>
      </c>
      <c r="G23" s="18">
        <f>Inputs!C132</f>
        <v>1424</v>
      </c>
      <c r="H23" s="21" t="s">
        <v>42</v>
      </c>
      <c r="I23" s="22" t="s">
        <v>45</v>
      </c>
    </row>
    <row r="24" ht="15" customHeight="1">
      <c r="A24" s="1"/>
      <c r="B24" s="4" t="s">
        <v>46</v>
      </c>
      <c r="C24" s="24">
        <f>'Income Statement'!H170</f>
        <v>0.8263939745293005</v>
      </c>
      <c r="D24" s="24">
        <f>Inputs!C44</f>
        <v>0.82</v>
      </c>
      <c r="E24" s="25">
        <f t="shared" si="2"/>
        <v>0.006393974529300572</v>
      </c>
      <c r="F24" s="26">
        <f t="shared" si="3"/>
        <v>0.007797529913781132</v>
      </c>
      <c r="G24" s="27" t="s">
        <v>39</v>
      </c>
      <c r="H24" s="27" t="s">
        <v>42</v>
      </c>
      <c r="I24" s="22" t="s">
        <v>47</v>
      </c>
    </row>
    <row r="25" ht="15" customHeight="1">
      <c r="A25" s="1"/>
      <c r="B25" s="1" t="s">
        <v>48</v>
      </c>
      <c r="C25" s="28">
        <f>'Income Statement'!H91</f>
        <v>0.7775036269727914</v>
      </c>
      <c r="D25" s="28">
        <f>Inputs!C53</f>
        <v>0.77</v>
      </c>
      <c r="E25" s="29">
        <f t="shared" si="2"/>
        <v>0.0075036269727913885</v>
      </c>
      <c r="F25" s="20">
        <f t="shared" si="3"/>
        <v>0.009744970094534233</v>
      </c>
      <c r="G25" s="28">
        <f>Inputs!C134</f>
        <v>0.79</v>
      </c>
      <c r="H25" s="21" t="s">
        <v>42</v>
      </c>
      <c r="I25" s="22" t="s">
        <v>49</v>
      </c>
    </row>
    <row r="26" ht="15" customHeight="1">
      <c r="A26" s="1"/>
      <c r="B26" s="4" t="s">
        <v>50</v>
      </c>
      <c r="C26" s="30">
        <f>Inputs!C123</f>
        <v>0.65</v>
      </c>
      <c r="D26" s="1"/>
      <c r="E26" s="1"/>
      <c r="F26" s="1"/>
      <c r="G26" s="1"/>
      <c r="H26" s="1"/>
      <c r="I26" s="1"/>
    </row>
    <row r="27" ht="15" customHeight="1">
      <c r="A27" s="1"/>
      <c r="B27" s="4" t="s">
        <v>51</v>
      </c>
      <c r="C27" s="31" t="str">
        <f>Inputs!C125</f>
        <v>medium</v>
      </c>
      <c r="D27" s="1"/>
      <c r="E27" s="1"/>
      <c r="F27" s="1"/>
      <c r="G27" s="1"/>
      <c r="H27" s="1"/>
      <c r="I27" s="1"/>
    </row>
    <row r="28" ht="15" customHeight="1">
      <c r="A28" s="1"/>
      <c r="B28" s="1"/>
      <c r="C28" s="1"/>
      <c r="D28" s="1"/>
      <c r="E28" s="1"/>
      <c r="F28" s="1"/>
      <c r="G28" s="1"/>
      <c r="H28" s="1"/>
      <c r="I28" s="1"/>
    </row>
    <row r="29" ht="57.75" customHeight="1">
      <c r="A29" s="1"/>
      <c r="B29" s="23" t="s">
        <v>53</v>
      </c>
      <c r="C29" s="18">
        <f>ABS(C20-'Revenue summary'!H46)+ABS(C21-'Income Statement'!H112)+ABS(C22-'Income Statement'!H169)+ABS(C23-'Income Statement'!H78)+ABS(C24-'Income Statement'!H170)+ABS(C25-'Income Statement'!H91)</f>
        <v>0</v>
      </c>
      <c r="D29" s="1"/>
      <c r="E29" s="1"/>
      <c r="F29" s="1"/>
      <c r="G29" s="1"/>
      <c r="H29" s="1"/>
      <c r="I29" s="22" t="s">
        <v>54</v>
      </c>
    </row>
    <row r="30" ht="15" customHeight="1">
      <c r="A30" s="1"/>
      <c r="B30" s="4" t="s">
        <v>55</v>
      </c>
      <c r="C30" s="31" t="str">
        <f>IF(AND(ABS(C29)&lt;0.000001,(ABS('Revenue summary'!C61)+ABS('Revenue summary'!D61)+ABS('Revenue summary'!E61)+ABS('Revenue summary'!F61)+ABS('Revenue summary'!G61)+ABS('Revenue summary'!H61))&lt;0.5,(ABS('Segment - Electrification'!C122)+ABS('Segment - Electrification'!D122)+ABS('Segment - Electrification'!E122)+ABS('Segment - Electrification'!F122)+ABS('Segment - Electrification'!G122)+ABS('Segment - Electrification'!H122))&lt;0.5,(ABS('Segment - Electrification'!C121)+ABS('Segment - Electrification'!D121)+ABS('Segment - Electrification'!E121)+ABS('Segment - Electrification'!F121)+ABS('Segment - Electrification'!G121)+ABS('Segment - Electrification'!H121))&lt;0.5,(ABS('Segment - Electrification'!C147)+ABS('Segment - Electrification'!D147)+ABS('Segment - Electrification'!E147)+ABS('Segment - Electrification'!F147)+ABS('Segment - Electrification'!G147))&lt;0.5,(ABS('Segment - Motion'!C122)+ABS('Segment - Motion'!D122)+ABS('Segment - Motion'!E122)+ABS('Segment - Motion'!F122)+ABS('Segment - Motion'!G122)+ABS('Segment - Motion'!H122))&lt;0.5,(ABS('Segment - Motion'!C121)+ABS('Segment - Motion'!D121)+ABS('Segment - Motion'!E121)+ABS('Segment - Motion'!F121)+ABS('Segment - Motion'!G121)+ABS('Segment - Motion'!H121))&lt;0.5,(ABS('Segment - Motion'!C147)+ABS('Segment - Motion'!D147)+ABS('Segment - Motion'!E147)+ABS('Segment - Motion'!F147)+ABS('Segment - Motion'!G147))&lt;0.5,(ABS('Segment - Automation'!C122)+ABS('Segment - Automation'!D122)+ABS('Segment - Automation'!E122)+ABS('Segment - Automation'!F122)+ABS('Segment - Automation'!G122)+ABS('Segment - Automation'!H122))&lt;0.5,(ABS('Segment - Automation'!C121)+ABS('Segment - Automation'!D121)+ABS('Segment - Automation'!E121)+ABS('Segment - Automation'!F121)+ABS('Segment - Automation'!G121)+ABS('Segment - Automation'!H121))&lt;0.5,(ABS('Segment - Automation'!C147)+ABS('Segment - Automation'!D147)+ABS('Segment - Automation'!E147)+ABS('Segment - Automation'!F147)+ABS('Segment - Automation'!G147))&lt;0.5,(ABS('Income Statement'!C114)+ABS('Income Statement'!D114)+ABS('Income Statement'!E114)+ABS('Income Statement'!F114)+ABS('Income Statement'!G114))&lt;0.5,(ABS('Income Statement'!C154)+ABS('Income Statement'!D154)+ABS('Income Statement'!E154)+ABS('Income Statement'!F154)+ABS('Income Statement'!G154)+ABS('Income Statement'!H154))&lt;0.5,(ABS('Income Statement'!C93)+ABS('Income Statement'!D93)+ABS('Income Statement'!E93)+ABS('Income Statement'!F93)+ABS('Income Statement'!G93)+ABS('Income Statement'!H93))&lt;0.5,(ABS('Income Statement'!C185)+ABS('Income Statement'!D185)+ABS('Income Statement'!E185)+ABS('Income Statement'!F185)+ABS('Income Statement'!G185))&lt;0.5,(ABS('Balance Sheet'!C58)+ABS('Balance Sheet'!D58)+ABS('Balance Sheet'!E58)+ABS('Balance Sheet'!F58)+ABS('Balance Sheet'!G58)+ABS('Balance Sheet'!H58))&lt;0.5,(ABS('Balance Sheet'!C60)+ABS('Balance Sheet'!D60)+ABS('Balance Sheet'!E60)+ABS('Balance Sheet'!F60)+ABS('Balance Sheet'!G60))&lt;0.5,(ABS('Cash Flow Statement'!C70)+ABS('Cash Flow Statement'!D70)+ABS('Cash Flow Statement'!E70)+ABS('Cash Flow Statement'!F70)+ABS('Cash Flow Statement'!G70)+ABS('Cash Flow Statement'!H70))&lt;0.5,(ABS('Cash Flow Statement'!C71)+ABS('Cash Flow Statement'!D71)+ABS('Cash Flow Statement'!E71)+ABS('Cash Flow Statement'!F71)+ABS('Cash Flow Statement'!G71)+ABS('Cash Flow Statement'!H71))&lt;0.5,(ABS('Cash Flow Statement'!C80)+ABS('Cash Flow Statement'!D80)+ABS('Cash Flow Statement'!E80)+ABS('Cash Flow Statement'!F80)+ABS('Cash Flow Statement'!G80)+ABS('Cash Flow Statement'!H80))&lt;0.5,(ABS(Geo!C102)+ABS(Geo!D102)+ABS(Geo!E102)+ABS(Geo!F102)+ABS(Geo!G102)+ABS(Geo!H102))&lt;0.5,(ABS(Geo!C116)+ABS(Geo!D116)+ABS(Geo!E116)+ABS(Geo!F116)+ABS(Geo!G116))&lt;0.5,(ABS('Share Count'!G43)+ABS('Share Count'!H43))&lt;0.5,(ABS('Share Count'!F44)+ABS('Share Count'!G44)+ABS('Share Count'!H44))&lt;0.000001,ABS('Share Count'!H15)&lt;0.5),"PASS","FAIL")</f>
        <v>PASS</v>
      </c>
      <c r="D30" s="1"/>
      <c r="E30" s="1"/>
      <c r="F30" s="1"/>
      <c r="G30" s="1"/>
      <c r="H30" s="1"/>
      <c r="I30" s="22" t="s">
        <v>57</v>
      </c>
    </row>
    <row r="31" ht="15" customHeight="1">
      <c r="A31" s="1"/>
      <c r="B31" s="1" t="s">
        <v>58</v>
      </c>
      <c r="C31" s="1"/>
      <c r="D31" s="1"/>
      <c r="E31" s="1"/>
      <c r="F31" s="1"/>
      <c r="G31" s="1"/>
      <c r="H31" s="1"/>
      <c r="I31" s="1"/>
    </row>
    <row r="32" ht="15" customHeight="1">
      <c r="A32" s="1"/>
      <c r="B32" s="1"/>
      <c r="C32" s="1"/>
      <c r="D32" s="1"/>
      <c r="E32" s="1"/>
      <c r="F32" s="1"/>
      <c r="G32" s="1"/>
      <c r="H32" s="1"/>
      <c r="I32" s="1"/>
    </row>
    <row r="33" ht="15" customHeight="1">
      <c r="A33" s="1"/>
      <c r="B33" s="1"/>
      <c r="C33" s="1"/>
      <c r="D33" s="1"/>
      <c r="E33" s="1"/>
      <c r="F33" s="1"/>
      <c r="G33" s="1"/>
      <c r="H33" s="1"/>
      <c r="I33" s="1"/>
    </row>
    <row r="34" ht="15" customHeight="1">
      <c r="A34" s="1"/>
      <c r="B34" s="1"/>
      <c r="C34" s="1"/>
      <c r="D34" s="1"/>
      <c r="E34" s="1"/>
      <c r="F34" s="1"/>
      <c r="G34" s="1"/>
      <c r="H34" s="1"/>
      <c r="I34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A6F9648-2E97-3E87-5794-C85E4BCFC2C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59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61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4" t="s">
        <v>62</v>
      </c>
      <c r="C11" s="33">
        <f>'Segment - Electrification'!C36</f>
        <v>4499</v>
      </c>
      <c r="D11" s="33">
        <f>'Segment - Electrification'!D36</f>
        <v>4702</v>
      </c>
      <c r="E11" s="33">
        <f>'Segment - Electrification'!E36</f>
        <v>17357</v>
      </c>
      <c r="F11" s="33">
        <f>'Segment - Electrification'!F36</f>
        <v>4613</v>
      </c>
      <c r="G11" s="33">
        <f>'Segment - Electrification'!G36</f>
        <v>5200</v>
      </c>
      <c r="H11" s="34">
        <f>'Segment - Electrification'!H36</f>
        <v>5450.413427799999</v>
      </c>
      <c r="I11" s="1"/>
    </row>
    <row r="12" ht="15" customHeight="1">
      <c r="A12" s="1"/>
      <c r="B12" s="35" t="s">
        <v>63</v>
      </c>
      <c r="C12" s="36">
        <f>'Segment - Electrification'!C38</f>
        <v>0.14975721952466148</v>
      </c>
      <c r="D12" s="36">
        <f>'Segment - Electrification'!D38</f>
        <v>0.16213544241225897</v>
      </c>
      <c r="E12" s="36">
        <f>'Segment - Electrification'!E38</f>
        <v>0.12357586742620397</v>
      </c>
      <c r="F12" s="36">
        <f>'Segment - Electrification'!F38</f>
        <v>0.20601307189542473</v>
      </c>
      <c r="G12" s="36">
        <f>'Segment - Electrification'!G38</f>
        <v>0.20064650196259515</v>
      </c>
      <c r="H12" s="37">
        <f>'Segment - Electrification'!H38</f>
        <v>0.21147219999999978</v>
      </c>
      <c r="I12" s="1"/>
    </row>
    <row r="13" ht="15" customHeight="1">
      <c r="A13" s="1"/>
      <c r="B13" s="35" t="s">
        <v>64</v>
      </c>
      <c r="C13" s="36">
        <f>'Segment - Electrification'!C39</f>
        <v>0.038790117755714615</v>
      </c>
      <c r="D13" s="36">
        <f>'Segment - Electrification'!D39</f>
        <v>0.045121138030673524</v>
      </c>
      <c r="E13" s="36">
        <f>IF(ISNUMBER('Segment - Electrification'!E39),'Segment - Electrification'!E39,"")</f>
      </c>
      <c r="F13" s="36">
        <f>'Segment - Electrification'!F39</f>
        <v>-0.018928115695448722</v>
      </c>
      <c r="G13" s="36">
        <f>'Segment - Electrification'!G39</f>
        <v>0.12724907869065682</v>
      </c>
      <c r="H13" s="37">
        <f>'Segment - Electrification'!H39</f>
        <v>0.04815642842307688</v>
      </c>
      <c r="I13" s="1"/>
    </row>
    <row r="14" ht="15" customHeight="1">
      <c r="A14" s="1"/>
      <c r="B14" s="35" t="s">
        <v>65</v>
      </c>
      <c r="C14" s="20">
        <f t="shared" si="2" ref="C14:H14">IF(AND(ISNUMBER(C11),ISNUMBER(C46)),IF(C46=0,"n.m.",C11/C46),"n.a.")</f>
        <v>0.5298551407372513</v>
      </c>
      <c r="D14" s="20">
        <f t="shared" si="2"/>
        <v>0.5194432169686257</v>
      </c>
      <c r="E14" s="20">
        <f t="shared" si="2"/>
        <v>0.5224864539434075</v>
      </c>
      <c r="F14" s="20">
        <f t="shared" si="2"/>
        <v>0.5281657888710786</v>
      </c>
      <c r="G14" s="20">
        <f t="shared" si="2"/>
        <v>0.5488126649076517</v>
      </c>
      <c r="H14" s="38">
        <f t="shared" si="2"/>
        <v>0.5631110928061333</v>
      </c>
      <c r="I14" s="1"/>
    </row>
    <row r="15" ht="15" customHeight="1">
      <c r="A15" s="1"/>
      <c r="B15" s="35" t="s">
        <v>66</v>
      </c>
      <c r="C15" s="36">
        <f>'Segment - Electrification'!C51</f>
        <v>0.1299999999999999</v>
      </c>
      <c r="D15" s="36">
        <f>'Segment - Electrification'!D51</f>
        <v>0.1200000000000001</v>
      </c>
      <c r="E15" s="36">
        <f>'Segment - Electrification'!E51</f>
        <v>0.1100000000000001</v>
      </c>
      <c r="F15" s="36">
        <f>'Segment - Electrification'!F51</f>
        <v>0.1499999999999999</v>
      </c>
      <c r="G15" s="36">
        <f>'Segment - Electrification'!G51</f>
        <v>0.18999999999999995</v>
      </c>
      <c r="H15" s="37">
        <f>'Segment - Electrification'!H51</f>
        <v>0.21999999999999975</v>
      </c>
      <c r="I15" s="1"/>
    </row>
    <row r="16" ht="15" customHeight="1">
      <c r="A16" s="1"/>
      <c r="B16" s="35" t="s">
        <v>67</v>
      </c>
      <c r="C16" s="36">
        <f>'Segment - Electrification'!C45</f>
        <v>0</v>
      </c>
      <c r="D16" s="36">
        <f>'Segment - Electrification'!D45</f>
        <v>0.008928571428571175</v>
      </c>
      <c r="E16" s="36">
        <f>'Segment - Electrification'!E45</f>
        <v>0</v>
      </c>
      <c r="F16" s="36">
        <f>'Segment - Electrification'!F45</f>
        <v>0</v>
      </c>
      <c r="G16" s="36">
        <f>'Segment - Electrification'!G45</f>
        <v>-0.008403361344537785</v>
      </c>
      <c r="H16" s="37">
        <f>'Segment - Electrification'!H45</f>
        <v>-0.005</v>
      </c>
      <c r="I16" s="1"/>
    </row>
    <row r="17" ht="15" customHeight="1">
      <c r="A17" s="1"/>
      <c r="B17" s="35" t="s">
        <v>68</v>
      </c>
      <c r="C17" s="36">
        <f>'Segment - Electrification'!C48</f>
        <v>0.017484265066072258</v>
      </c>
      <c r="D17" s="36">
        <f>'Segment - Electrification'!D48</f>
        <v>0.028438444612618685</v>
      </c>
      <c r="E17" s="36">
        <f>'Segment - Electrification'!E48</f>
        <v>0.012230511194778249</v>
      </c>
      <c r="F17" s="36">
        <f>'Segment - Electrification'!F48</f>
        <v>0.04870701903949981</v>
      </c>
      <c r="G17" s="36">
        <f>'Segment - Electrification'!G48</f>
        <v>0.01749703556152138</v>
      </c>
      <c r="H17" s="37">
        <f>'Segment - Electrification'!H48</f>
        <v>-0.002</v>
      </c>
      <c r="I17" s="1"/>
    </row>
    <row r="18" ht="15" customHeight="1">
      <c r="A18" s="1"/>
      <c r="B18" s="4" t="s">
        <v>69</v>
      </c>
      <c r="C18" s="33">
        <f>'Segment - Motion'!C36</f>
        <v>2082</v>
      </c>
      <c r="D18" s="33">
        <f>'Segment - Motion'!D36</f>
        <v>2260</v>
      </c>
      <c r="E18" s="33">
        <f>'Segment - Motion'!E36</f>
        <v>8247</v>
      </c>
      <c r="F18" s="33">
        <f>'Segment - Motion'!F36</f>
        <v>2142</v>
      </c>
      <c r="G18" s="33">
        <f>'Segment - Motion'!G36</f>
        <v>2217</v>
      </c>
      <c r="H18" s="34">
        <f>'Segment - Motion'!H36</f>
        <v>2224.5312215999998</v>
      </c>
      <c r="I18" s="1"/>
    </row>
    <row r="19" ht="15" customHeight="1">
      <c r="A19" s="1"/>
      <c r="B19" s="35" t="s">
        <v>63</v>
      </c>
      <c r="C19" s="36">
        <f>'Segment - Motion'!C38</f>
        <v>0.057389537836465276</v>
      </c>
      <c r="D19" s="36">
        <f>'Segment - Motion'!D38</f>
        <v>0.10893032384690882</v>
      </c>
      <c r="E19" s="36">
        <f>'Segment - Motion'!E38</f>
        <v>0.05907281366379857</v>
      </c>
      <c r="F19" s="36">
        <f>'Segment - Motion'!F38</f>
        <v>0.1641304347826087</v>
      </c>
      <c r="G19" s="36">
        <f>'Segment - Motion'!G38</f>
        <v>0.07360774818401938</v>
      </c>
      <c r="H19" s="37">
        <f>'Segment - Motion'!H38</f>
        <v>0.06845879999999993</v>
      </c>
      <c r="I19" s="1"/>
    </row>
    <row r="20" ht="15" customHeight="1">
      <c r="A20" s="1"/>
      <c r="B20" s="35" t="s">
        <v>64</v>
      </c>
      <c r="C20" s="36">
        <f>'Segment - Motion'!C39</f>
        <v>0.008232445520581111</v>
      </c>
      <c r="D20" s="36">
        <f>'Segment - Motion'!D39</f>
        <v>0.08549471661863595</v>
      </c>
      <c r="E20" s="36">
        <f>IF(ISNUMBER('Segment - Motion'!E39),'Segment - Motion'!E39,"")</f>
      </c>
      <c r="F20" s="36">
        <f>'Segment - Motion'!F39</f>
        <v>-0.052212389380530966</v>
      </c>
      <c r="G20" s="36">
        <f>'Segment - Motion'!G39</f>
        <v>0.035014005602240994</v>
      </c>
      <c r="H20" s="37">
        <f>'Segment - Motion'!H39</f>
        <v>0.003397032746955242</v>
      </c>
      <c r="I20" s="1"/>
    </row>
    <row r="21" ht="15" customHeight="1">
      <c r="A21" s="1"/>
      <c r="B21" s="35" t="s">
        <v>65</v>
      </c>
      <c r="C21" s="20">
        <f t="shared" si="3" ref="C21:H21">IF(AND(ISNUMBER(C18),ISNUMBER(C46)),IF(C46=0,"n.m.",C18/C46),"n.a.")</f>
        <v>0.24520080084795667</v>
      </c>
      <c r="D21" s="20">
        <f t="shared" si="3"/>
        <v>0.2496685815289439</v>
      </c>
      <c r="E21" s="20">
        <f t="shared" si="3"/>
        <v>0.24825406381697773</v>
      </c>
      <c r="F21" s="20">
        <f t="shared" si="3"/>
        <v>0.2452484543164644</v>
      </c>
      <c r="G21" s="20">
        <f t="shared" si="3"/>
        <v>0.23398416886543535</v>
      </c>
      <c r="H21" s="38">
        <f t="shared" si="3"/>
        <v>0.22982810822887623</v>
      </c>
      <c r="I21" s="1"/>
    </row>
    <row r="22" ht="15" customHeight="1">
      <c r="A22" s="1"/>
      <c r="B22" s="35" t="s">
        <v>66</v>
      </c>
      <c r="C22" s="36">
        <f>'Segment - Motion'!C51</f>
        <v>0.030000000000000027</v>
      </c>
      <c r="D22" s="36">
        <f>'Segment - Motion'!D51</f>
        <v>0.06000000000000005</v>
      </c>
      <c r="E22" s="36">
        <f>'Segment - Motion'!E51</f>
        <v>0.040000000000000036</v>
      </c>
      <c r="F22" s="36">
        <f>'Segment - Motion'!F51</f>
        <v>0.06999999999999984</v>
      </c>
      <c r="G22" s="36">
        <f>'Segment - Motion'!G51</f>
        <v>0.040000000000000036</v>
      </c>
      <c r="H22" s="37">
        <f>'Segment - Motion'!H51</f>
        <v>0.05999999999999983</v>
      </c>
      <c r="I22" s="1"/>
    </row>
    <row r="23" ht="15" customHeight="1">
      <c r="A23" s="1"/>
      <c r="B23" s="35" t="s">
        <v>67</v>
      </c>
      <c r="C23" s="36">
        <f>'Segment - Motion'!C45</f>
        <v>0</v>
      </c>
      <c r="D23" s="36">
        <f>'Segment - Motion'!D45</f>
        <v>0.009433962264151052</v>
      </c>
      <c r="E23" s="36">
        <f>'Segment - Motion'!E45</f>
        <v>0</v>
      </c>
      <c r="F23" s="36">
        <f>'Segment - Motion'!F45</f>
        <v>0.028037383177570208</v>
      </c>
      <c r="G23" s="36">
        <f>'Segment - Motion'!G45</f>
        <v>0.009615384615384581</v>
      </c>
      <c r="H23" s="37">
        <f>'Segment - Motion'!H45</f>
        <v>0.01</v>
      </c>
      <c r="I23" s="1"/>
    </row>
    <row r="24" ht="15" customHeight="1">
      <c r="A24" s="1"/>
      <c r="B24" s="35" t="s">
        <v>68</v>
      </c>
      <c r="C24" s="36">
        <f>'Segment - Motion'!C48</f>
        <v>0.026591784307247845</v>
      </c>
      <c r="D24" s="36">
        <f>'Segment - Motion'!D48</f>
        <v>0.03638348023075588</v>
      </c>
      <c r="E24" s="36">
        <f>'Segment - Motion'!E48</f>
        <v>0.018339243907498526</v>
      </c>
      <c r="F24" s="36">
        <f>'Segment - Motion'!F48</f>
        <v>0.05830039525691699</v>
      </c>
      <c r="G24" s="36">
        <f>'Segment - Motion'!G48</f>
        <v>0.022483569699065953</v>
      </c>
      <c r="H24" s="37">
        <f>'Segment - Motion'!H48</f>
        <v>-0.002</v>
      </c>
      <c r="I24" s="1"/>
    </row>
    <row r="25" ht="15" customHeight="1">
      <c r="A25" s="1"/>
      <c r="B25" s="4" t="s">
        <v>70</v>
      </c>
      <c r="C25" s="33">
        <f>'Segment - Automation'!C36</f>
        <v>2013</v>
      </c>
      <c r="D25" s="33">
        <f>'Segment - Automation'!D36</f>
        <v>2243</v>
      </c>
      <c r="E25" s="33">
        <f>'Segment - Automation'!E36</f>
        <v>8084</v>
      </c>
      <c r="F25" s="33">
        <f>'Segment - Automation'!F36</f>
        <v>2147</v>
      </c>
      <c r="G25" s="33">
        <f>'Segment - Automation'!G36</f>
        <v>2193</v>
      </c>
      <c r="H25" s="34">
        <f>'Segment - Automation'!H36</f>
        <v>2149.6021800000003</v>
      </c>
      <c r="I25" s="1"/>
    </row>
    <row r="26" ht="15" customHeight="1">
      <c r="A26" s="1"/>
      <c r="B26" s="35" t="s">
        <v>63</v>
      </c>
      <c r="C26" s="36" t="str">
        <f>'Segment - Automation'!C38</f>
        <v>n.a.</v>
      </c>
      <c r="D26" s="36">
        <f>'Segment - Automation'!D38</f>
        <v>0.14031520081342141</v>
      </c>
      <c r="E26" s="36">
        <f>'Segment - Automation'!E38</f>
        <v>0.05096203848153924</v>
      </c>
      <c r="F26" s="36">
        <f>'Segment - Automation'!F38</f>
        <v>0.18096809680968096</v>
      </c>
      <c r="G26" s="36">
        <f>'Segment - Automation'!G38</f>
        <v>0.09104477611940309</v>
      </c>
      <c r="H26" s="37">
        <f>'Segment - Automation'!H38</f>
        <v>0.06786000000000025</v>
      </c>
      <c r="I26" s="1"/>
    </row>
    <row r="27" ht="15" customHeight="1">
      <c r="A27" s="1"/>
      <c r="B27" s="35" t="s">
        <v>64</v>
      </c>
      <c r="C27" s="36">
        <f>'Segment - Automation'!C39</f>
        <v>0.0014925373134329067</v>
      </c>
      <c r="D27" s="36">
        <f>'Segment - Automation'!D39</f>
        <v>0.1142573273720815</v>
      </c>
      <c r="E27" s="36">
        <f>IF(ISNUMBER('Segment - Automation'!E39),'Segment - Automation'!E39,"")</f>
      </c>
      <c r="F27" s="36">
        <f>'Segment - Automation'!F39</f>
        <v>-0.0427998216674097</v>
      </c>
      <c r="G27" s="36">
        <f>'Segment - Automation'!G39</f>
        <v>0.021425244527247367</v>
      </c>
      <c r="H27" s="37">
        <f>'Segment - Automation'!H39</f>
        <v>-0.019789247606018967</v>
      </c>
      <c r="I27" s="1"/>
    </row>
    <row r="28" ht="15" customHeight="1">
      <c r="A28" s="1"/>
      <c r="B28" s="35" t="s">
        <v>65</v>
      </c>
      <c r="C28" s="20">
        <f t="shared" si="4" ref="C28:H28">IF(AND(ISNUMBER(C25),ISNUMBER(C46)),IF(C46=0,"n.m.",C25/C46),"n.a.")</f>
        <v>0.23707454952302437</v>
      </c>
      <c r="D28" s="20">
        <f t="shared" si="4"/>
        <v>0.24779054352629254</v>
      </c>
      <c r="E28" s="20">
        <f t="shared" si="4"/>
        <v>0.24334738109572546</v>
      </c>
      <c r="F28" s="20">
        <f t="shared" si="4"/>
        <v>0.2458209297000229</v>
      </c>
      <c r="G28" s="20">
        <f t="shared" si="4"/>
        <v>0.23145118733509235</v>
      </c>
      <c r="H28" s="38">
        <f t="shared" si="4"/>
        <v>0.2220867918943972</v>
      </c>
      <c r="I28" s="1"/>
    </row>
    <row r="29" ht="15" customHeight="1">
      <c r="A29" s="1"/>
      <c r="B29" s="35" t="s">
        <v>66</v>
      </c>
      <c r="C29" s="36" t="str">
        <f>'Segment - Automation'!C51</f>
        <v>n.a.</v>
      </c>
      <c r="D29" s="36">
        <f>'Segment - Automation'!D51</f>
        <v>0.09000000000000008</v>
      </c>
      <c r="E29" s="36">
        <f>'Segment - Automation'!E51</f>
        <v>0.030000000000000027</v>
      </c>
      <c r="F29" s="36">
        <f>'Segment - Automation'!F51</f>
        <v>0.10000000000000009</v>
      </c>
      <c r="G29" s="36">
        <f>'Segment - Automation'!G51</f>
        <v>0.07000000000000006</v>
      </c>
      <c r="H29" s="37">
        <f>'Segment - Automation'!H51</f>
        <v>0.07000000000000028</v>
      </c>
      <c r="I29" s="1"/>
    </row>
    <row r="30" ht="15" customHeight="1">
      <c r="A30" s="1"/>
      <c r="B30" s="35" t="s">
        <v>67</v>
      </c>
      <c r="C30" s="36" t="str">
        <f>'Segment - Automation'!C45</f>
        <v>n.a.</v>
      </c>
      <c r="D30" s="36">
        <f>'Segment - Automation'!D45</f>
        <v>0</v>
      </c>
      <c r="E30" s="36">
        <f>'Segment - Automation'!E45</f>
        <v>0</v>
      </c>
      <c r="F30" s="36">
        <f>'Segment - Automation'!F45</f>
        <v>0</v>
      </c>
      <c r="G30" s="36">
        <f>'Segment - Automation'!G45</f>
        <v>0</v>
      </c>
      <c r="H30" s="37">
        <f>'Segment - Automation'!H45</f>
        <v>0</v>
      </c>
      <c r="I30" s="1"/>
    </row>
    <row r="31" ht="15" customHeight="1">
      <c r="A31" s="1"/>
      <c r="B31" s="35" t="s">
        <v>68</v>
      </c>
      <c r="C31" s="36" t="str">
        <f>'Segment - Automation'!C48</f>
        <v>n.a.</v>
      </c>
      <c r="D31" s="36">
        <f>'Segment - Automation'!D48</f>
        <v>0.04616073469121229</v>
      </c>
      <c r="E31" s="36">
        <f>'Segment - Automation'!E48</f>
        <v>0.020351493671397325</v>
      </c>
      <c r="F31" s="36">
        <f>'Segment - Automation'!F48</f>
        <v>0.07360736073607343</v>
      </c>
      <c r="G31" s="36">
        <f>'Segment - Automation'!G48</f>
        <v>0.01966801506486271</v>
      </c>
      <c r="H31" s="37">
        <f>'Segment - Automation'!H48</f>
        <v>-0.002</v>
      </c>
      <c r="I31" s="1"/>
    </row>
    <row r="32" ht="15" customHeight="1">
      <c r="A32" s="1"/>
      <c r="B32" s="4" t="s">
        <v>71</v>
      </c>
      <c r="C32" s="33">
        <f>E32-D32-Inputs!$D$139</f>
        <v>124</v>
      </c>
      <c r="D32" s="39">
        <v>135</v>
      </c>
      <c r="E32" s="39">
        <v>462</v>
      </c>
      <c r="F32" s="39">
        <v>88</v>
      </c>
      <c r="G32" s="39">
        <v>117</v>
      </c>
      <c r="H32" s="40">
        <v>110</v>
      </c>
      <c r="I32" s="22" t="s">
        <v>72</v>
      </c>
    </row>
    <row r="33" ht="15" customHeight="1">
      <c r="A33" s="1"/>
      <c r="B33" s="41" t="s">
        <v>73</v>
      </c>
      <c r="C33" s="19" t="s">
        <v>39</v>
      </c>
      <c r="D33" s="42">
        <v>181</v>
      </c>
      <c r="E33" s="42">
        <v>558</v>
      </c>
      <c r="F33" s="42">
        <v>96</v>
      </c>
      <c r="G33" s="42">
        <v>107</v>
      </c>
      <c r="H33" s="43">
        <f t="shared" si="8" ref="H33:H83">C32</f>
        <v>124</v>
      </c>
      <c r="I33" s="1"/>
    </row>
    <row r="34" ht="15" customHeight="1">
      <c r="A34" s="1"/>
      <c r="B34" s="35" t="s">
        <v>63</v>
      </c>
      <c r="C34" s="20" t="str">
        <f t="shared" si="5" ref="C34:H84">IF(AND(ISNUMBER(C32),ISNUMBER(C33)),IF(C33=0,"n.m.",C32/C33-1),"n.a.")</f>
        <v>n.a.</v>
      </c>
      <c r="D34" s="20">
        <f t="shared" si="5"/>
        <v>-0.2541436464088398</v>
      </c>
      <c r="E34" s="20">
        <f t="shared" si="5"/>
        <v>-0.17204301075268813</v>
      </c>
      <c r="F34" s="20">
        <f t="shared" si="5"/>
        <v>-0.08333333333333337</v>
      </c>
      <c r="G34" s="20">
        <f t="shared" si="5"/>
        <v>0.09345794392523366</v>
      </c>
      <c r="H34" s="38">
        <f t="shared" si="5"/>
        <v>-0.11290322580645162</v>
      </c>
      <c r="I34" s="1"/>
    </row>
    <row r="35" ht="15" customHeight="1">
      <c r="A35" s="1"/>
      <c r="B35" s="35" t="s">
        <v>64</v>
      </c>
      <c r="C35" s="20">
        <f t="shared" si="13" ref="C35:C49">IF(AND(ISNUMBER(C32),ISNUMBER(G33)),IF(G33=0,"n.m.",C32/G33-1),"n.a.")</f>
        <v>0.1588785046728971</v>
      </c>
      <c r="D35" s="20">
        <f t="shared" si="6" ref="D35:H49">IF(AND(ISNUMBER(D32),ISNUMBER(C32)),IF(C32=0,"n.m.",D32/C32-1),"n.a.")</f>
        <v>0.08870967741935476</v>
      </c>
      <c r="E35" s="20"/>
      <c r="F35" s="20">
        <f t="shared" si="14" ref="F35:F49">IF(AND(ISNUMBER(F32),ISNUMBER(D32)),IF(D32=0,"n.m.",F32/D32-1),"n.a.")</f>
        <v>-0.3481481481481481</v>
      </c>
      <c r="G35" s="20">
        <f t="shared" si="6"/>
        <v>0.3295454545454546</v>
      </c>
      <c r="H35" s="38">
        <f t="shared" si="6"/>
        <v>-0.05982905982905984</v>
      </c>
      <c r="I35" s="1"/>
    </row>
    <row r="36" ht="15" customHeight="1">
      <c r="A36" s="1"/>
      <c r="B36" s="35" t="s">
        <v>65</v>
      </c>
      <c r="C36" s="20">
        <f t="shared" si="7" ref="C36:H36">IF(AND(ISNUMBER(C32),ISNUMBER(C46)),IF(C46=0,"n.m.",C32/C46),"n.a.")</f>
        <v>0.014603698033211637</v>
      </c>
      <c r="D36" s="20">
        <f t="shared" si="7"/>
        <v>0.014913831197525408</v>
      </c>
      <c r="E36" s="20">
        <f t="shared" si="7"/>
        <v>0.01390728476821192</v>
      </c>
      <c r="F36" s="20">
        <f t="shared" si="7"/>
        <v>0.010075566750629723</v>
      </c>
      <c r="G36" s="20">
        <f t="shared" si="7"/>
        <v>0.012348284960422163</v>
      </c>
      <c r="H36" s="38">
        <f t="shared" si="7"/>
        <v>0.011364682886758</v>
      </c>
      <c r="I36" s="1"/>
    </row>
    <row r="37" ht="15" customHeight="1">
      <c r="A37" s="1"/>
      <c r="B37" s="35" t="s">
        <v>74</v>
      </c>
      <c r="C37" s="20" t="s">
        <v>39</v>
      </c>
      <c r="D37" s="20" t="s">
        <v>39</v>
      </c>
      <c r="E37" s="20" t="s">
        <v>39</v>
      </c>
      <c r="F37" s="20" t="s">
        <v>39</v>
      </c>
      <c r="G37" s="20" t="s">
        <v>39</v>
      </c>
      <c r="H37" s="38" t="s">
        <v>39</v>
      </c>
      <c r="I37" s="1"/>
    </row>
    <row r="38" ht="15" customHeight="1">
      <c r="A38" s="1"/>
      <c r="B38" s="1" t="s">
        <v>75</v>
      </c>
      <c r="C38" s="18">
        <f>E38-D38-Inputs!$D$140</f>
        <v>-227</v>
      </c>
      <c r="D38" s="42">
        <v>-288</v>
      </c>
      <c r="E38" s="42">
        <v>-930</v>
      </c>
      <c r="F38" s="42">
        <v>-256</v>
      </c>
      <c r="G38" s="42">
        <v>-252</v>
      </c>
      <c r="H38" s="43">
        <f>-(H11+H18+H25)*H43</f>
        <v>-255.43821756439993</v>
      </c>
      <c r="I38" s="1"/>
    </row>
    <row r="39" ht="15" customHeight="1">
      <c r="A39" s="1"/>
      <c r="B39" s="41" t="s">
        <v>73</v>
      </c>
      <c r="C39" s="19" t="s">
        <v>39</v>
      </c>
      <c r="D39" s="42">
        <v>-236</v>
      </c>
      <c r="E39" s="42">
        <v>-902</v>
      </c>
      <c r="F39" s="42">
        <v>-197</v>
      </c>
      <c r="G39" s="42">
        <v>-218</v>
      </c>
      <c r="H39" s="43">
        <f t="shared" si="8"/>
        <v>-227</v>
      </c>
      <c r="I39" s="1"/>
    </row>
    <row r="40" ht="15" customHeight="1">
      <c r="A40" s="1"/>
      <c r="B40" s="35" t="s">
        <v>76</v>
      </c>
      <c r="C40" s="20" t="str">
        <f t="shared" si="5"/>
        <v>n.a.</v>
      </c>
      <c r="D40" s="20">
        <f t="shared" si="5"/>
        <v>0.22033898305084754</v>
      </c>
      <c r="E40" s="20">
        <f t="shared" si="5"/>
        <v>0.03104212860310418</v>
      </c>
      <c r="F40" s="20">
        <f t="shared" si="5"/>
        <v>0.29949238578680193</v>
      </c>
      <c r="G40" s="20">
        <f t="shared" si="5"/>
        <v>0.15596330275229353</v>
      </c>
      <c r="H40" s="38">
        <f t="shared" si="5"/>
        <v>0.12527849147312753</v>
      </c>
      <c r="I40" s="1"/>
    </row>
    <row r="41" ht="15" customHeight="1">
      <c r="A41" s="1"/>
      <c r="B41" s="41" t="s">
        <v>77</v>
      </c>
      <c r="C41" s="19">
        <f t="shared" si="26" ref="C41:C85">IF(AND(ISNUMBER(C38),ISNUMBER(G39)),(C38-G39),"n.a.")</f>
        <v>-9</v>
      </c>
      <c r="D41" s="19">
        <f t="shared" si="9" ref="D41:H85">IF(AND(ISNUMBER(D38),ISNUMBER(C38)),(D38-C38),"n.a.")</f>
        <v>-61</v>
      </c>
      <c r="E41" s="19"/>
      <c r="F41" s="19">
        <f t="shared" si="27" ref="F41:F85">IF(AND(ISNUMBER(F38),ISNUMBER(D38)),(F38-D38),"n.a.")</f>
        <v>32</v>
      </c>
      <c r="G41" s="19">
        <f t="shared" si="9"/>
        <v>4</v>
      </c>
      <c r="H41" s="43">
        <f t="shared" si="9"/>
        <v>-3.4382175643999346</v>
      </c>
      <c r="I41" s="1"/>
    </row>
    <row r="42" ht="23.25" customHeight="1">
      <c r="A42" s="1"/>
      <c r="B42" s="44" t="s">
        <v>78</v>
      </c>
      <c r="C42" s="20" t="s">
        <v>39</v>
      </c>
      <c r="D42" s="20" t="s">
        <v>39</v>
      </c>
      <c r="E42" s="20" t="s">
        <v>39</v>
      </c>
      <c r="F42" s="20" t="s">
        <v>39</v>
      </c>
      <c r="G42" s="20" t="s">
        <v>39</v>
      </c>
      <c r="H42" s="38" t="s">
        <v>39</v>
      </c>
      <c r="I42" s="1"/>
    </row>
    <row r="43" ht="15" customHeight="1">
      <c r="A43" s="1"/>
      <c r="B43" s="35" t="s">
        <v>79</v>
      </c>
      <c r="C43" s="20">
        <f t="shared" si="10" ref="C43:G43">-C38/(C11+C18+C25)</f>
        <v>0.026413777053758435</v>
      </c>
      <c r="D43" s="20">
        <f t="shared" si="10"/>
        <v>0.031287343834872354</v>
      </c>
      <c r="E43" s="20">
        <f t="shared" si="10"/>
        <v>0.027606269294704347</v>
      </c>
      <c r="F43" s="20">
        <f t="shared" si="10"/>
        <v>0.02875758256571557</v>
      </c>
      <c r="G43" s="20">
        <f t="shared" si="10"/>
        <v>0.026222684703433922</v>
      </c>
      <c r="H43" s="45">
        <v>0.026</v>
      </c>
      <c r="I43" s="22" t="s">
        <v>80</v>
      </c>
    </row>
    <row r="44" ht="15" customHeight="1">
      <c r="A44" s="1"/>
      <c r="B44" s="46" t="s">
        <v>81</v>
      </c>
      <c r="C44" s="47" t="s">
        <v>39</v>
      </c>
      <c r="D44" s="47" t="s">
        <v>39</v>
      </c>
      <c r="E44" s="47" t="s">
        <v>39</v>
      </c>
      <c r="F44" s="47" t="s">
        <v>39</v>
      </c>
      <c r="G44" s="47" t="s">
        <v>39</v>
      </c>
      <c r="H44" s="48">
        <f t="shared" si="17" ref="H44:H58">IF(AND(ISNUMBER(H43),ISNUMBER(C43)),(H43-C43)*10000,"n.a.")</f>
        <v>-4.137770537584358</v>
      </c>
      <c r="I44" s="1"/>
    </row>
    <row r="45" ht="15" customHeight="1">
      <c r="A45" s="1"/>
      <c r="B45" s="46" t="s">
        <v>82</v>
      </c>
      <c r="C45" s="47" t="s">
        <v>39</v>
      </c>
      <c r="D45" s="47">
        <f t="shared" si="11" ref="D45:H59">IF(AND(ISNUMBER(D43),ISNUMBER(C43)),(D43-C43)*10000,"n.a.")</f>
        <v>48.735667811139194</v>
      </c>
      <c r="E45" s="47"/>
      <c r="F45" s="47">
        <f t="shared" si="18" ref="F45:F59">IF(AND(ISNUMBER(F43),ISNUMBER(D43)),(F43-D43)*10000,"n.a.")</f>
        <v>-25.297612691567856</v>
      </c>
      <c r="G45" s="47">
        <f t="shared" si="11"/>
        <v>-25.348978622816468</v>
      </c>
      <c r="H45" s="48">
        <f t="shared" si="11"/>
        <v>-2.22684703433923</v>
      </c>
      <c r="I45" s="1"/>
    </row>
    <row r="46" ht="15" customHeight="1">
      <c r="A46" s="1"/>
      <c r="B46" s="4" t="s">
        <v>83</v>
      </c>
      <c r="C46" s="49">
        <f t="shared" si="12" ref="C46:H46">C11+C18+C25+C32+C38</f>
        <v>8491</v>
      </c>
      <c r="D46" s="49">
        <f t="shared" si="12"/>
        <v>9052</v>
      </c>
      <c r="E46" s="49">
        <f t="shared" si="12"/>
        <v>33220</v>
      </c>
      <c r="F46" s="49">
        <f t="shared" si="12"/>
        <v>8734</v>
      </c>
      <c r="G46" s="49">
        <f t="shared" si="12"/>
        <v>9475</v>
      </c>
      <c r="H46" s="50">
        <f t="shared" si="12"/>
        <v>9679.108611835598</v>
      </c>
      <c r="I46" s="1"/>
    </row>
    <row r="47" ht="15" customHeight="1">
      <c r="A47" s="1"/>
      <c r="B47" s="41" t="s">
        <v>73</v>
      </c>
      <c r="C47" s="19" t="s">
        <v>39</v>
      </c>
      <c r="D47" s="42">
        <v>7996</v>
      </c>
      <c r="E47" s="42">
        <v>30583</v>
      </c>
      <c r="F47" s="42">
        <v>7382</v>
      </c>
      <c r="G47" s="42">
        <v>8295</v>
      </c>
      <c r="H47" s="43">
        <f t="shared" si="8"/>
        <v>8491</v>
      </c>
      <c r="I47" s="1"/>
    </row>
    <row r="48" ht="15" customHeight="1">
      <c r="A48" s="1"/>
      <c r="B48" s="35" t="s">
        <v>63</v>
      </c>
      <c r="C48" s="20" t="str">
        <f t="shared" si="5"/>
        <v>n.a.</v>
      </c>
      <c r="D48" s="20">
        <f t="shared" si="5"/>
        <v>0.1320660330165082</v>
      </c>
      <c r="E48" s="20">
        <f t="shared" si="5"/>
        <v>0.08622437301768948</v>
      </c>
      <c r="F48" s="20">
        <f t="shared" si="5"/>
        <v>0.18314819832023832</v>
      </c>
      <c r="G48" s="20">
        <f t="shared" si="5"/>
        <v>0.14225437010247144</v>
      </c>
      <c r="H48" s="38">
        <f t="shared" si="5"/>
        <v>0.1399256403056881</v>
      </c>
      <c r="I48" s="1"/>
    </row>
    <row r="49" ht="15" customHeight="1">
      <c r="A49" s="1"/>
      <c r="B49" s="35" t="s">
        <v>64</v>
      </c>
      <c r="C49" s="20">
        <f t="shared" si="13"/>
        <v>0.02362869198312234</v>
      </c>
      <c r="D49" s="20">
        <f t="shared" si="6"/>
        <v>0.06606995642444935</v>
      </c>
      <c r="E49" s="20"/>
      <c r="F49" s="20">
        <f t="shared" si="14"/>
        <v>-0.03513035793194874</v>
      </c>
      <c r="G49" s="20">
        <f t="shared" si="6"/>
        <v>0.08484085184337076</v>
      </c>
      <c r="H49" s="38">
        <f t="shared" si="6"/>
        <v>0.02154180599847999</v>
      </c>
      <c r="I49" s="1"/>
    </row>
    <row r="50" ht="15" customHeight="1">
      <c r="A50" s="1"/>
      <c r="B50" s="35" t="s">
        <v>84</v>
      </c>
      <c r="C50" s="20" t="s">
        <v>39</v>
      </c>
      <c r="D50" s="51">
        <v>0.09</v>
      </c>
      <c r="E50" s="51">
        <v>0.07</v>
      </c>
      <c r="F50" s="51">
        <v>0.12</v>
      </c>
      <c r="G50" s="51">
        <v>0.12</v>
      </c>
      <c r="H50" s="38">
        <f>(1+H51)*(1+H54)-1</f>
        <v>0.14221006042654105</v>
      </c>
      <c r="I50" s="1"/>
    </row>
    <row r="51" ht="15" customHeight="1">
      <c r="A51" s="1"/>
      <c r="B51" s="44" t="s">
        <v>85</v>
      </c>
      <c r="C51" s="20" t="s">
        <v>39</v>
      </c>
      <c r="D51" s="51">
        <v>0.09</v>
      </c>
      <c r="E51" s="51">
        <v>0.07</v>
      </c>
      <c r="F51" s="51">
        <v>0.11</v>
      </c>
      <c r="G51" s="51">
        <v>0.12</v>
      </c>
      <c r="H51" s="38">
        <f>IF(COUNT(H47,H54,H57)=3,H46/H47/((1+H54)*(1+H57))-1,"n.a.")</f>
        <v>0.1424354260299565</v>
      </c>
      <c r="I51" s="22" t="s">
        <v>86</v>
      </c>
    </row>
    <row r="52" ht="15" customHeight="1">
      <c r="A52" s="1"/>
      <c r="B52" s="46" t="s">
        <v>82</v>
      </c>
      <c r="C52" s="47" t="s">
        <v>39</v>
      </c>
      <c r="D52" s="47" t="str">
        <f t="shared" si="15" ref="D52:H52">IF(AND(ISNUMBER(D51),ISNUMBER(C51)),(D51-C51)*10000,"n.a.")</f>
        <v>n.a.</v>
      </c>
      <c r="E52" s="47"/>
      <c r="F52" s="47">
        <f>IF(AND(ISNUMBER(F51),ISNUMBER(D51)),(F51-D51)*10000,"n.a.")</f>
        <v>200.00000000000003</v>
      </c>
      <c r="G52" s="47">
        <f t="shared" si="15"/>
        <v>99.99999999999994</v>
      </c>
      <c r="H52" s="48">
        <f t="shared" si="15"/>
        <v>224.35426029956517</v>
      </c>
      <c r="I52" s="1"/>
    </row>
    <row r="53" ht="15" customHeight="1">
      <c r="A53" s="1"/>
      <c r="B53" s="46" t="s">
        <v>81</v>
      </c>
      <c r="C53" s="47" t="s">
        <v>39</v>
      </c>
      <c r="D53" s="47" t="s">
        <v>39</v>
      </c>
      <c r="E53" s="47" t="s">
        <v>39</v>
      </c>
      <c r="F53" s="47" t="s">
        <v>39</v>
      </c>
      <c r="G53" s="47" t="s">
        <v>39</v>
      </c>
      <c r="H53" s="48" t="str">
        <f>IF(AND(ISNUMBER(H51),ISNUMBER(C51)),(H51-C51)*10000,"n.a.")</f>
        <v>n.a.</v>
      </c>
      <c r="I53" s="1"/>
    </row>
    <row r="54" ht="15" customHeight="1">
      <c r="A54" s="1"/>
      <c r="B54" s="35" t="s">
        <v>67</v>
      </c>
      <c r="C54" s="20" t="str">
        <f t="shared" si="16" ref="C54:G54">IF(AND(ISNUMBER(C50),ISNUMBER(C51)),(1+C50)/(1+C51)-1,"n.a.")</f>
        <v>n.a.</v>
      </c>
      <c r="D54" s="20">
        <f t="shared" si="16"/>
        <v>0</v>
      </c>
      <c r="E54" s="20">
        <f t="shared" si="16"/>
        <v>0</v>
      </c>
      <c r="F54" s="20">
        <f t="shared" si="16"/>
        <v>0.009009009009008917</v>
      </c>
      <c r="G54" s="20">
        <f t="shared" si="16"/>
        <v>0</v>
      </c>
      <c r="H54" s="37">
        <f>('Segment - Electrification'!H37*'Segment - Electrification'!H45+'Segment - Motion'!H37*'Segment - Motion'!H45+'Segment - Automation'!H37*'Segment - Automation'!H45)/H47</f>
        <v>-0.00019726769520668952</v>
      </c>
      <c r="I54" s="22" t="s">
        <v>87</v>
      </c>
    </row>
    <row r="55" ht="15" customHeight="1">
      <c r="A55" s="1"/>
      <c r="B55" s="46" t="s">
        <v>81</v>
      </c>
      <c r="C55" s="47" t="s">
        <v>39</v>
      </c>
      <c r="D55" s="47" t="s">
        <v>39</v>
      </c>
      <c r="E55" s="47" t="s">
        <v>39</v>
      </c>
      <c r="F55" s="47" t="s">
        <v>39</v>
      </c>
      <c r="G55" s="47" t="s">
        <v>39</v>
      </c>
      <c r="H55" s="48" t="str">
        <f t="shared" si="17"/>
        <v>n.a.</v>
      </c>
      <c r="I55" s="1"/>
    </row>
    <row r="56" ht="15" customHeight="1">
      <c r="A56" s="1"/>
      <c r="B56" s="46" t="s">
        <v>82</v>
      </c>
      <c r="C56" s="47" t="s">
        <v>39</v>
      </c>
      <c r="D56" s="47" t="str">
        <f t="shared" si="11"/>
        <v>n.a.</v>
      </c>
      <c r="E56" s="47"/>
      <c r="F56" s="47">
        <f t="shared" si="18"/>
        <v>90.09009009008918</v>
      </c>
      <c r="G56" s="47">
        <f t="shared" si="11"/>
        <v>-90.09009009008918</v>
      </c>
      <c r="H56" s="48">
        <f t="shared" si="11"/>
        <v>-1.9726769520668952</v>
      </c>
      <c r="I56" s="1"/>
    </row>
    <row r="57" ht="15" customHeight="1">
      <c r="A57" s="1"/>
      <c r="B57" s="35" t="s">
        <v>68</v>
      </c>
      <c r="C57" s="20" t="str">
        <f t="shared" si="19" ref="C57:G57">IF(AND(ISNUMBER(C48),ISNUMBER(C50)),(1+C48)/(1+C50)-1,"n.a.")</f>
        <v>n.a.</v>
      </c>
      <c r="D57" s="20">
        <f t="shared" si="19"/>
        <v>0.038592690840833166</v>
      </c>
      <c r="E57" s="20">
        <f t="shared" si="19"/>
        <v>0.015162965437092835</v>
      </c>
      <c r="F57" s="20">
        <f t="shared" si="19"/>
        <v>0.056382319928784064</v>
      </c>
      <c r="G57" s="20">
        <f t="shared" si="19"/>
        <v>0.019869973305777888</v>
      </c>
      <c r="H57" s="45">
        <v>-0.002</v>
      </c>
      <c r="I57" s="1"/>
    </row>
    <row r="58" ht="15" customHeight="1">
      <c r="A58" s="1"/>
      <c r="B58" s="46" t="s">
        <v>81</v>
      </c>
      <c r="C58" s="47" t="s">
        <v>39</v>
      </c>
      <c r="D58" s="47" t="s">
        <v>39</v>
      </c>
      <c r="E58" s="47" t="s">
        <v>39</v>
      </c>
      <c r="F58" s="47" t="s">
        <v>39</v>
      </c>
      <c r="G58" s="47" t="s">
        <v>39</v>
      </c>
      <c r="H58" s="48" t="str">
        <f t="shared" si="17"/>
        <v>n.a.</v>
      </c>
      <c r="I58" s="1"/>
    </row>
    <row r="59" ht="15" customHeight="1">
      <c r="A59" s="1"/>
      <c r="B59" s="46" t="s">
        <v>82</v>
      </c>
      <c r="C59" s="47" t="s">
        <v>39</v>
      </c>
      <c r="D59" s="47" t="str">
        <f t="shared" si="11"/>
        <v>n.a.</v>
      </c>
      <c r="E59" s="47"/>
      <c r="F59" s="47">
        <f t="shared" si="18"/>
        <v>177.89629087950897</v>
      </c>
      <c r="G59" s="47">
        <f t="shared" si="11"/>
        <v>-365.12346623006175</v>
      </c>
      <c r="H59" s="48">
        <f t="shared" si="11"/>
        <v>-218.6997330577789</v>
      </c>
      <c r="I59" s="1"/>
    </row>
    <row r="60" ht="15" customHeight="1">
      <c r="A60" s="1"/>
      <c r="B60" s="35" t="s">
        <v>88</v>
      </c>
      <c r="C60" s="20" t="str">
        <f t="shared" si="20" ref="C60:H60">IF(COUNT(C48,C54,C57)=3,(1+C48)/((1+C54)*(1+C57))-1,"n.a.")</f>
        <v>n.a.</v>
      </c>
      <c r="D60" s="20">
        <f t="shared" si="20"/>
        <v>0.09000000000000008</v>
      </c>
      <c r="E60" s="20">
        <f t="shared" si="20"/>
        <v>0.07000000000000006</v>
      </c>
      <c r="F60" s="20">
        <f t="shared" si="20"/>
        <v>0.11000000000000032</v>
      </c>
      <c r="G60" s="20">
        <f t="shared" si="20"/>
        <v>0.1200000000000001</v>
      </c>
      <c r="H60" s="38">
        <f t="shared" si="20"/>
        <v>0.1424354260299565</v>
      </c>
      <c r="I60" s="22" t="s">
        <v>89</v>
      </c>
    </row>
    <row r="61" ht="15" customHeight="1">
      <c r="A61" s="1"/>
      <c r="B61" s="5" t="s">
        <v>90</v>
      </c>
      <c r="C61" s="52">
        <f>C46-'Income Statement'!C24</f>
        <v>0</v>
      </c>
      <c r="D61" s="52">
        <f>D46-'Income Statement'!D24</f>
        <v>0</v>
      </c>
      <c r="E61" s="52">
        <f>E46-'Income Statement'!E24</f>
        <v>0</v>
      </c>
      <c r="F61" s="52">
        <f>F46-'Income Statement'!F24</f>
        <v>0</v>
      </c>
      <c r="G61" s="52">
        <f>G46-'Income Statement'!G24</f>
        <v>0</v>
      </c>
      <c r="H61" s="53">
        <f>H46-'Income Statement'!H24</f>
        <v>0</v>
      </c>
      <c r="I61" s="22" t="s">
        <v>91</v>
      </c>
    </row>
    <row r="62" ht="15" customHeight="1">
      <c r="A62" s="1"/>
      <c r="B62" s="1" t="s">
        <v>92</v>
      </c>
      <c r="C62" s="1"/>
      <c r="D62" s="1"/>
      <c r="E62" s="1"/>
      <c r="F62" s="1"/>
      <c r="G62" s="1"/>
      <c r="H62" s="54" t="str">
        <f>IF(AND(H51&gt;=Guidance!E16,H51&lt;=Guidance!F16),"Within range","Outside range")</f>
        <v>Within range</v>
      </c>
      <c r="I62" s="1"/>
    </row>
    <row r="63" ht="15" customHeight="1">
      <c r="A63" s="1"/>
      <c r="B63" s="1"/>
      <c r="C63" s="1"/>
      <c r="D63" s="1"/>
      <c r="E63" s="1"/>
      <c r="F63" s="1"/>
      <c r="G63" s="1"/>
      <c r="H63" s="32"/>
      <c r="I63" s="1"/>
    </row>
    <row r="64" ht="15" customHeight="1">
      <c r="A64" s="1"/>
      <c r="B64" s="4" t="s">
        <v>94</v>
      </c>
      <c r="C64" s="1"/>
      <c r="D64" s="1"/>
      <c r="E64" s="1"/>
      <c r="F64" s="1"/>
      <c r="G64" s="1"/>
      <c r="H64" s="32"/>
      <c r="I64" s="1"/>
    </row>
    <row r="65" ht="15" customHeight="1">
      <c r="A65" s="1"/>
      <c r="B65" s="1" t="s">
        <v>95</v>
      </c>
      <c r="C65" s="18">
        <f>'Income Statement'!C11</f>
        <v>7120</v>
      </c>
      <c r="D65" s="18">
        <f>'Income Statement'!D11</f>
        <v>7484</v>
      </c>
      <c r="E65" s="18">
        <f>'Income Statement'!E11</f>
        <v>27669</v>
      </c>
      <c r="F65" s="18">
        <f>'Income Statement'!F11</f>
        <v>7339</v>
      </c>
      <c r="G65" s="18">
        <f>'Income Statement'!G11</f>
        <v>7984</v>
      </c>
      <c r="H65" s="55">
        <f>'Income Statement'!H11</f>
        <v>8159.488559777409</v>
      </c>
      <c r="I65" s="1"/>
    </row>
    <row r="66" ht="15" customHeight="1">
      <c r="A66" s="1"/>
      <c r="B66" s="1" t="s">
        <v>96</v>
      </c>
      <c r="C66" s="18">
        <f>'Income Statement'!C19</f>
        <v>1371</v>
      </c>
      <c r="D66" s="18">
        <f>'Income Statement'!D19</f>
        <v>1568</v>
      </c>
      <c r="E66" s="18">
        <f>'Income Statement'!E19</f>
        <v>5551</v>
      </c>
      <c r="F66" s="18">
        <f>'Income Statement'!F19</f>
        <v>1395</v>
      </c>
      <c r="G66" s="18">
        <f>'Income Statement'!G19</f>
        <v>1491</v>
      </c>
      <c r="H66" s="55">
        <f>'Income Statement'!H19</f>
        <v>1519.6200520581888</v>
      </c>
      <c r="I66" s="1"/>
    </row>
    <row r="67" ht="15" customHeight="1">
      <c r="A67" s="1"/>
      <c r="B67" s="35" t="s">
        <v>97</v>
      </c>
      <c r="C67" s="36" t="str">
        <f>'Income Statement'!C13</f>
        <v>n.a.</v>
      </c>
      <c r="D67" s="36">
        <f>'Income Statement'!D13</f>
        <v>0.12812782634911057</v>
      </c>
      <c r="E67" s="36">
        <f>'Income Statement'!E13</f>
        <v>0.0837413340644706</v>
      </c>
      <c r="F67" s="36">
        <f>'Income Statement'!F13</f>
        <v>0.1921702404158545</v>
      </c>
      <c r="G67" s="36">
        <f>'Income Statement'!G13</f>
        <v>0.15559415255463893</v>
      </c>
      <c r="H67" s="37">
        <f>'Income Statement'!H13</f>
        <v>0.1459955842384002</v>
      </c>
      <c r="I67" s="1"/>
    </row>
    <row r="68" ht="15" customHeight="1">
      <c r="A68" s="1"/>
      <c r="B68" s="35" t="s">
        <v>98</v>
      </c>
      <c r="C68" s="36" t="str">
        <f>'Income Statement'!C21</f>
        <v>n.a.</v>
      </c>
      <c r="D68" s="36">
        <f>'Income Statement'!D21</f>
        <v>0.15124816446402356</v>
      </c>
      <c r="E68" s="36">
        <f>'Income Statement'!E21</f>
        <v>0.09877276326207451</v>
      </c>
      <c r="F68" s="36">
        <f>'Income Statement'!F21</f>
        <v>0.13784665579119082</v>
      </c>
      <c r="G68" s="36">
        <f>'Income Statement'!G21</f>
        <v>0.07575757575757569</v>
      </c>
      <c r="H68" s="37">
        <f>'Income Statement'!H21</f>
        <v>0.10840266379153074</v>
      </c>
      <c r="I68" s="1"/>
    </row>
    <row r="69" ht="15" customHeight="1">
      <c r="A69" s="1"/>
      <c r="B69" s="44" t="s">
        <v>99</v>
      </c>
      <c r="C69" s="20" t="s">
        <v>39</v>
      </c>
      <c r="D69" s="20" t="s">
        <v>39</v>
      </c>
      <c r="E69" s="20" t="s">
        <v>39</v>
      </c>
      <c r="F69" s="20" t="s">
        <v>39</v>
      </c>
      <c r="G69" s="20" t="s">
        <v>39</v>
      </c>
      <c r="H69" s="38" t="s">
        <v>39</v>
      </c>
      <c r="I69" s="1"/>
    </row>
    <row r="70" ht="15" customHeight="1">
      <c r="A70" s="1"/>
      <c r="B70" s="35" t="s">
        <v>100</v>
      </c>
      <c r="C70" s="20">
        <f t="shared" si="21" ref="C70:H70">IF(AND(ISNUMBER(C66),ISNUMBER(C46)),IF(C46=0,"n.m.",C66/C46),"n.a.")</f>
        <v>0.16146508067365445</v>
      </c>
      <c r="D70" s="20">
        <f t="shared" si="21"/>
        <v>0.17322138753866548</v>
      </c>
      <c r="E70" s="20">
        <f t="shared" si="21"/>
        <v>0.16709813365442505</v>
      </c>
      <c r="F70" s="20">
        <f t="shared" si="21"/>
        <v>0.15972063201282344</v>
      </c>
      <c r="G70" s="20">
        <f t="shared" si="21"/>
        <v>0.15736147757255936</v>
      </c>
      <c r="H70" s="38">
        <f t="shared" si="21"/>
        <v>0.157</v>
      </c>
      <c r="I70" s="1"/>
    </row>
    <row r="71" ht="15" customHeight="1">
      <c r="A71" s="1"/>
      <c r="B71" s="1"/>
      <c r="C71" s="1"/>
      <c r="D71" s="1"/>
      <c r="E71" s="1"/>
      <c r="F71" s="1"/>
      <c r="G71" s="1"/>
      <c r="H71" s="32"/>
      <c r="I71" s="1"/>
    </row>
    <row r="72" ht="15" customHeight="1">
      <c r="A72" s="1"/>
      <c r="B72" s="4" t="s">
        <v>101</v>
      </c>
      <c r="C72" s="1"/>
      <c r="D72" s="1"/>
      <c r="E72" s="1"/>
      <c r="F72" s="1"/>
      <c r="G72" s="1"/>
      <c r="H72" s="32"/>
      <c r="I72" s="1"/>
    </row>
    <row r="73" ht="15" customHeight="1">
      <c r="A73" s="1"/>
      <c r="B73" s="1" t="s">
        <v>102</v>
      </c>
      <c r="C73" s="18">
        <f>'Segment - Electrification'!C12</f>
        <v>4522</v>
      </c>
      <c r="D73" s="18">
        <f>'Segment - Electrification'!D12</f>
        <v>5323</v>
      </c>
      <c r="E73" s="18">
        <f>'Segment - Electrification'!E12</f>
        <v>18757</v>
      </c>
      <c r="F73" s="18">
        <f>'Segment - Electrification'!F12</f>
        <v>6647</v>
      </c>
      <c r="G73" s="18">
        <f>'Segment - Electrification'!G12</f>
        <v>7231</v>
      </c>
      <c r="H73" s="55">
        <f>'Segment - Electrification'!H12</f>
        <v>6511.067269</v>
      </c>
      <c r="I73" s="1"/>
    </row>
    <row r="74" ht="15" customHeight="1">
      <c r="A74" s="1"/>
      <c r="B74" s="1" t="s">
        <v>103</v>
      </c>
      <c r="C74" s="18">
        <f>'Segment - Motion'!C12</f>
        <v>2162</v>
      </c>
      <c r="D74" s="18">
        <f>'Segment - Motion'!D12</f>
        <v>2189</v>
      </c>
      <c r="E74" s="18">
        <f>'Segment - Motion'!E12</f>
        <v>8619</v>
      </c>
      <c r="F74" s="18">
        <f>'Segment - Motion'!F12</f>
        <v>2548</v>
      </c>
      <c r="G74" s="18">
        <f>'Segment - Motion'!G12</f>
        <v>2592</v>
      </c>
      <c r="H74" s="55">
        <f>'Segment - Motion'!H12</f>
        <v>2440.7630912</v>
      </c>
      <c r="I74" s="1"/>
    </row>
    <row r="75" ht="15" customHeight="1">
      <c r="A75" s="1"/>
      <c r="B75" s="1" t="s">
        <v>104</v>
      </c>
      <c r="C75" s="18">
        <f>'Segment - Automation'!C12</f>
        <v>2100</v>
      </c>
      <c r="D75" s="18">
        <f>'Segment - Automation'!D12</f>
        <v>2817</v>
      </c>
      <c r="E75" s="18">
        <f>'Segment - Automation'!E12</f>
        <v>9928</v>
      </c>
      <c r="F75" s="18">
        <f>'Segment - Automation'!F12</f>
        <v>2464</v>
      </c>
      <c r="G75" s="18">
        <f>'Segment - Automation'!G12</f>
        <v>2454</v>
      </c>
      <c r="H75" s="55">
        <f>'Segment - Automation'!H12</f>
        <v>2305.38</v>
      </c>
      <c r="I75" s="1"/>
    </row>
    <row r="76" ht="15" customHeight="1">
      <c r="A76" s="1"/>
      <c r="B76" s="1" t="s">
        <v>105</v>
      </c>
      <c r="C76" s="18">
        <f>E76-D76-Inputs!$D$141</f>
        <v>82</v>
      </c>
      <c r="D76" s="42">
        <v>202</v>
      </c>
      <c r="E76" s="42">
        <v>522</v>
      </c>
      <c r="F76" s="42">
        <v>72</v>
      </c>
      <c r="G76" s="42">
        <v>79</v>
      </c>
      <c r="H76" s="56">
        <v>80</v>
      </c>
      <c r="I76" s="22" t="s">
        <v>106</v>
      </c>
    </row>
    <row r="77" ht="15" customHeight="1">
      <c r="A77" s="1"/>
      <c r="B77" s="41" t="s">
        <v>107</v>
      </c>
      <c r="C77" s="19" t="s">
        <v>39</v>
      </c>
      <c r="D77" s="19" t="s">
        <v>39</v>
      </c>
      <c r="E77" s="19" t="s">
        <v>39</v>
      </c>
      <c r="F77" s="19" t="s">
        <v>39</v>
      </c>
      <c r="G77" s="19" t="s">
        <v>39</v>
      </c>
      <c r="H77" s="43">
        <f t="shared" si="23" ref="H77:H80">IF(AND(ISNUMBER(H76),ISNUMBER(C76)),(H76-C76),"n.a.")</f>
        <v>-2</v>
      </c>
      <c r="I77" s="1"/>
    </row>
    <row r="78" ht="15" customHeight="1">
      <c r="A78" s="1"/>
      <c r="B78" s="41" t="s">
        <v>77</v>
      </c>
      <c r="C78" s="19" t="s">
        <v>39</v>
      </c>
      <c r="D78" s="19">
        <f t="shared" si="22" ref="D78:H81">IF(AND(ISNUMBER(D76),ISNUMBER(C76)),(D76-C76),"n.a.")</f>
        <v>120</v>
      </c>
      <c r="E78" s="19"/>
      <c r="F78" s="19">
        <f t="shared" si="24" ref="F78:F81">IF(AND(ISNUMBER(F76),ISNUMBER(D76)),(F76-D76),"n.a.")</f>
        <v>-130</v>
      </c>
      <c r="G78" s="19">
        <f t="shared" si="22"/>
        <v>7</v>
      </c>
      <c r="H78" s="43">
        <f t="shared" si="22"/>
        <v>1</v>
      </c>
      <c r="I78" s="1"/>
    </row>
    <row r="79" ht="15" customHeight="1">
      <c r="A79" s="1"/>
      <c r="B79" s="1" t="s">
        <v>108</v>
      </c>
      <c r="C79" s="18">
        <f>E79-D79-Inputs!$D$142</f>
        <v>-260</v>
      </c>
      <c r="D79" s="42">
        <v>-215</v>
      </c>
      <c r="E79" s="42">
        <v>-1061</v>
      </c>
      <c r="F79" s="42">
        <v>-433</v>
      </c>
      <c r="G79" s="42">
        <v>-314</v>
      </c>
      <c r="H79" s="56">
        <v>-300</v>
      </c>
      <c r="I79" s="22" t="s">
        <v>109</v>
      </c>
    </row>
    <row r="80" ht="15" customHeight="1">
      <c r="A80" s="1"/>
      <c r="B80" s="41" t="s">
        <v>107</v>
      </c>
      <c r="C80" s="19" t="s">
        <v>39</v>
      </c>
      <c r="D80" s="19" t="s">
        <v>39</v>
      </c>
      <c r="E80" s="19" t="s">
        <v>39</v>
      </c>
      <c r="F80" s="19" t="s">
        <v>39</v>
      </c>
      <c r="G80" s="19" t="s">
        <v>39</v>
      </c>
      <c r="H80" s="43">
        <f t="shared" si="23"/>
        <v>-40</v>
      </c>
      <c r="I80" s="1"/>
    </row>
    <row r="81" ht="15" customHeight="1">
      <c r="A81" s="1"/>
      <c r="B81" s="41" t="s">
        <v>77</v>
      </c>
      <c r="C81" s="19" t="s">
        <v>39</v>
      </c>
      <c r="D81" s="19">
        <f t="shared" si="22"/>
        <v>45</v>
      </c>
      <c r="E81" s="19"/>
      <c r="F81" s="19">
        <f t="shared" si="24"/>
        <v>-218</v>
      </c>
      <c r="G81" s="19">
        <f t="shared" si="22"/>
        <v>119</v>
      </c>
      <c r="H81" s="43">
        <f t="shared" si="22"/>
        <v>14</v>
      </c>
      <c r="I81" s="1"/>
    </row>
    <row r="82" ht="15" customHeight="1">
      <c r="A82" s="1"/>
      <c r="B82" s="4" t="s">
        <v>110</v>
      </c>
      <c r="C82" s="49">
        <f t="shared" si="25" ref="C82:H82">C73+C74+C75+C76+C79</f>
        <v>8606</v>
      </c>
      <c r="D82" s="49">
        <f t="shared" si="25"/>
        <v>10316</v>
      </c>
      <c r="E82" s="49">
        <f t="shared" si="25"/>
        <v>36765</v>
      </c>
      <c r="F82" s="49">
        <f t="shared" si="25"/>
        <v>11298</v>
      </c>
      <c r="G82" s="49">
        <f t="shared" si="25"/>
        <v>12042</v>
      </c>
      <c r="H82" s="50">
        <f t="shared" si="25"/>
        <v>11037.210360199999</v>
      </c>
      <c r="I82" s="1"/>
    </row>
    <row r="83" ht="15" customHeight="1">
      <c r="A83" s="1"/>
      <c r="B83" s="41" t="s">
        <v>111</v>
      </c>
      <c r="C83" s="19" t="s">
        <v>39</v>
      </c>
      <c r="D83" s="42">
        <v>7593</v>
      </c>
      <c r="E83" s="42">
        <v>31482</v>
      </c>
      <c r="F83" s="42">
        <v>8589</v>
      </c>
      <c r="G83" s="42">
        <v>9254</v>
      </c>
      <c r="H83" s="43">
        <f t="shared" si="8"/>
        <v>8606</v>
      </c>
      <c r="I83" s="1"/>
    </row>
    <row r="84" ht="15" customHeight="1">
      <c r="A84" s="1"/>
      <c r="B84" s="35" t="s">
        <v>63</v>
      </c>
      <c r="C84" s="20" t="str">
        <f t="shared" si="5"/>
        <v>n.a.</v>
      </c>
      <c r="D84" s="20">
        <f t="shared" si="5"/>
        <v>0.35861978137758466</v>
      </c>
      <c r="E84" s="20">
        <f t="shared" si="5"/>
        <v>0.1678101772441396</v>
      </c>
      <c r="F84" s="20">
        <f t="shared" si="5"/>
        <v>0.31540342298288504</v>
      </c>
      <c r="G84" s="20">
        <f t="shared" si="5"/>
        <v>0.3012751242705858</v>
      </c>
      <c r="H84" s="38">
        <f t="shared" si="5"/>
        <v>0.2825017848245408</v>
      </c>
      <c r="I84" s="1"/>
    </row>
    <row r="85" ht="15" customHeight="1">
      <c r="A85" s="1"/>
      <c r="B85" s="41" t="s">
        <v>77</v>
      </c>
      <c r="C85" s="19">
        <f t="shared" si="26"/>
        <v>-648</v>
      </c>
      <c r="D85" s="19">
        <f t="shared" si="9"/>
        <v>1710</v>
      </c>
      <c r="E85" s="19"/>
      <c r="F85" s="19">
        <f t="shared" si="27"/>
        <v>982</v>
      </c>
      <c r="G85" s="19">
        <f t="shared" si="9"/>
        <v>744</v>
      </c>
      <c r="H85" s="43">
        <f t="shared" si="9"/>
        <v>-1004.7896398000012</v>
      </c>
      <c r="I85" s="1"/>
    </row>
    <row r="86" ht="15" customHeight="1">
      <c r="A86" s="1"/>
      <c r="B86" s="35" t="s">
        <v>112</v>
      </c>
      <c r="C86" s="20" t="s">
        <v>39</v>
      </c>
      <c r="D86" s="51">
        <v>0.32</v>
      </c>
      <c r="E86" s="51">
        <v>0.15</v>
      </c>
      <c r="F86" s="51">
        <v>0.24</v>
      </c>
      <c r="G86" s="51">
        <v>0.28</v>
      </c>
      <c r="H86" s="38" t="s">
        <v>39</v>
      </c>
      <c r="I86" s="1"/>
    </row>
    <row r="87" ht="15" customHeight="1">
      <c r="A87" s="1"/>
      <c r="B87" s="1" t="s">
        <v>113</v>
      </c>
      <c r="C87" s="57">
        <f t="shared" si="28" ref="C87:H87">IF(AND(ISNUMBER(C82),ISNUMBER(C46)),IF(C46=0,"n.m.",C82/C46),"n.a.")</f>
        <v>1.0135437522082205</v>
      </c>
      <c r="D87" s="57">
        <f t="shared" si="28"/>
        <v>1.139637649138312</v>
      </c>
      <c r="E87" s="57">
        <f t="shared" si="28"/>
        <v>1.1067128236002408</v>
      </c>
      <c r="F87" s="57">
        <f t="shared" si="28"/>
        <v>1.2935653766888024</v>
      </c>
      <c r="G87" s="57">
        <f t="shared" si="28"/>
        <v>1.2709234828496043</v>
      </c>
      <c r="H87" s="58">
        <f t="shared" si="28"/>
        <v>1.140312688164664</v>
      </c>
      <c r="I87" s="1"/>
    </row>
    <row r="88" ht="15" customHeight="1">
      <c r="A88" s="1"/>
      <c r="B88" s="41" t="s">
        <v>114</v>
      </c>
      <c r="C88" s="57" t="s">
        <v>39</v>
      </c>
      <c r="D88" s="57">
        <f t="shared" si="29" ref="D88:H96">IF(AND(ISNUMBER(D87),ISNUMBER(C87)),(D87-C87),"n.a.")</f>
        <v>0.12609389693009154</v>
      </c>
      <c r="E88" s="57"/>
      <c r="F88" s="57">
        <f t="shared" si="32" ref="F88:F96">IF(AND(ISNUMBER(F87),ISNUMBER(D87)),(F87-D87),"n.a.")</f>
        <v>0.15392772755049045</v>
      </c>
      <c r="G88" s="57">
        <f t="shared" si="29"/>
        <v>-0.022641893839198124</v>
      </c>
      <c r="H88" s="58">
        <f t="shared" si="29"/>
        <v>-0.1306107946849404</v>
      </c>
      <c r="I88" s="1"/>
    </row>
    <row r="89" ht="15" customHeight="1">
      <c r="A89" s="1"/>
      <c r="B89" s="41" t="s">
        <v>115</v>
      </c>
      <c r="C89" s="57" t="str">
        <f t="shared" si="30" ref="C89:H89">IF(COUNT(C87,C83,C47)=3,C87-C83/C47,"n.a.")</f>
        <v>n.a.</v>
      </c>
      <c r="D89" s="57">
        <f t="shared" si="30"/>
        <v>0.19003784923836198</v>
      </c>
      <c r="E89" s="57">
        <f t="shared" si="30"/>
        <v>0.07731740784639074</v>
      </c>
      <c r="F89" s="57">
        <f t="shared" si="30"/>
        <v>0.1300595517091221</v>
      </c>
      <c r="G89" s="57">
        <f t="shared" si="30"/>
        <v>0.15531166850361267</v>
      </c>
      <c r="H89" s="58">
        <f t="shared" si="30"/>
        <v>0.12676893595644345</v>
      </c>
      <c r="I89" s="1"/>
    </row>
    <row r="90" ht="15" customHeight="1">
      <c r="A90" s="1"/>
      <c r="B90" s="1" t="s">
        <v>116</v>
      </c>
      <c r="C90" s="18">
        <f>'Segment - Electrification'!C23</f>
        <v>8750</v>
      </c>
      <c r="D90" s="18">
        <f>'Segment - Electrification'!D23</f>
        <v>9438</v>
      </c>
      <c r="E90" s="18">
        <f>'Segment - Electrification'!E23</f>
        <v>9438</v>
      </c>
      <c r="F90" s="18">
        <f>'Segment - Electrification'!F23</f>
        <v>11460</v>
      </c>
      <c r="G90" s="18">
        <f>'Segment - Electrification'!G23</f>
        <v>13676</v>
      </c>
      <c r="H90" s="55">
        <f>'Segment - Electrification'!H23</f>
        <v>14736.6538412</v>
      </c>
      <c r="I90" s="1"/>
    </row>
    <row r="91" ht="15" customHeight="1">
      <c r="A91" s="1"/>
      <c r="B91" s="1" t="s">
        <v>117</v>
      </c>
      <c r="C91" s="18">
        <f>'Segment - Motion'!C23</f>
        <v>6176</v>
      </c>
      <c r="D91" s="18">
        <f>'Segment - Motion'!D23</f>
        <v>6285</v>
      </c>
      <c r="E91" s="18">
        <f>'Segment - Motion'!E23</f>
        <v>6285</v>
      </c>
      <c r="F91" s="18">
        <f>'Segment - Motion'!F23</f>
        <v>6597</v>
      </c>
      <c r="G91" s="18">
        <f>'Segment - Motion'!G23</f>
        <v>6953</v>
      </c>
      <c r="H91" s="55">
        <f>'Segment - Motion'!H23</f>
        <v>7169.2318696</v>
      </c>
      <c r="I91" s="1"/>
    </row>
    <row r="92" ht="15" customHeight="1">
      <c r="A92" s="1"/>
      <c r="B92" s="1" t="s">
        <v>118</v>
      </c>
      <c r="C92" s="18" t="str">
        <f>'Segment - Automation'!C23</f>
        <v>n.a.</v>
      </c>
      <c r="D92" s="18">
        <f>'Segment - Automation'!D23</f>
        <v>10133</v>
      </c>
      <c r="E92" s="18">
        <f>'Segment - Automation'!E23</f>
        <v>10133</v>
      </c>
      <c r="F92" s="18">
        <f>'Segment - Automation'!F23</f>
        <v>10350</v>
      </c>
      <c r="G92" s="18">
        <f>'Segment - Automation'!G23</f>
        <v>10544</v>
      </c>
      <c r="H92" s="55">
        <f>'Segment - Automation'!H23</f>
        <v>10699.777820000001</v>
      </c>
      <c r="I92" s="1"/>
    </row>
    <row r="93" ht="15" customHeight="1">
      <c r="A93" s="1"/>
      <c r="B93" s="1" t="s">
        <v>119</v>
      </c>
      <c r="C93" s="19" t="s">
        <v>39</v>
      </c>
      <c r="D93" s="42">
        <v>-574</v>
      </c>
      <c r="E93" s="19">
        <f t="shared" si="31" ref="E93:H93">D93</f>
        <v>-574</v>
      </c>
      <c r="F93" s="42">
        <v>-892</v>
      </c>
      <c r="G93" s="42">
        <v>-1166</v>
      </c>
      <c r="H93" s="43">
        <f t="shared" si="31"/>
        <v>-1166</v>
      </c>
      <c r="I93" s="22" t="s">
        <v>120</v>
      </c>
    </row>
    <row r="94" ht="15" customHeight="1">
      <c r="A94" s="1"/>
      <c r="B94" s="41" t="s">
        <v>77</v>
      </c>
      <c r="C94" s="19" t="s">
        <v>39</v>
      </c>
      <c r="D94" s="19" t="str">
        <f t="shared" si="29"/>
        <v>n.a.</v>
      </c>
      <c r="E94" s="19"/>
      <c r="F94" s="19">
        <f t="shared" si="32"/>
        <v>-318</v>
      </c>
      <c r="G94" s="19">
        <f t="shared" si="29"/>
        <v>-274</v>
      </c>
      <c r="H94" s="43">
        <f t="shared" si="29"/>
        <v>0</v>
      </c>
      <c r="I94" s="1"/>
    </row>
    <row r="95" ht="15" customHeight="1">
      <c r="A95" s="1"/>
      <c r="B95" s="4" t="s">
        <v>121</v>
      </c>
      <c r="C95" s="49" t="str">
        <f t="shared" si="33" ref="C95:H95">IF(COUNT(C90,C91,C92,C93)=4,C90+C91+C92+C93,"n.a.")</f>
        <v>n.a.</v>
      </c>
      <c r="D95" s="49">
        <f t="shared" si="33"/>
        <v>25282</v>
      </c>
      <c r="E95" s="49">
        <f t="shared" si="33"/>
        <v>25282</v>
      </c>
      <c r="F95" s="49">
        <f t="shared" si="33"/>
        <v>27515</v>
      </c>
      <c r="G95" s="49">
        <f t="shared" si="33"/>
        <v>30007</v>
      </c>
      <c r="H95" s="50">
        <f t="shared" si="33"/>
        <v>31439.663530800004</v>
      </c>
      <c r="I95" s="1"/>
    </row>
    <row r="96" ht="15" customHeight="1">
      <c r="A96" s="1"/>
      <c r="B96" s="41" t="s">
        <v>77</v>
      </c>
      <c r="C96" s="19" t="s">
        <v>39</v>
      </c>
      <c r="D96" s="19" t="str">
        <f t="shared" si="29"/>
        <v>n.a.</v>
      </c>
      <c r="E96" s="19"/>
      <c r="F96" s="19">
        <f t="shared" si="32"/>
        <v>2233</v>
      </c>
      <c r="G96" s="19">
        <f t="shared" si="29"/>
        <v>2492</v>
      </c>
      <c r="H96" s="43">
        <f t="shared" si="29"/>
        <v>1432.663530800004</v>
      </c>
      <c r="I96" s="1"/>
    </row>
    <row r="97" ht="15" customHeight="1">
      <c r="A97" s="1"/>
      <c r="B97" s="1" t="s">
        <v>122</v>
      </c>
      <c r="C97" s="1"/>
      <c r="D97" s="1"/>
      <c r="E97" s="1"/>
      <c r="F97" s="1"/>
      <c r="G97" s="1"/>
      <c r="H97" s="32"/>
      <c r="I97" s="1"/>
    </row>
    <row r="98" ht="15" customHeight="1">
      <c r="A98" s="1"/>
      <c r="B98" s="1"/>
      <c r="C98" s="1"/>
      <c r="D98" s="1"/>
      <c r="E98" s="1"/>
      <c r="F98" s="1"/>
      <c r="G98" s="1"/>
      <c r="H98" s="32"/>
      <c r="I98" s="1"/>
    </row>
    <row r="99" ht="15" customHeight="1">
      <c r="A99" s="1"/>
      <c r="B99" s="1"/>
      <c r="C99" s="1"/>
      <c r="D99" s="1"/>
      <c r="E99" s="1"/>
      <c r="F99" s="1"/>
      <c r="G99" s="1"/>
      <c r="H99" s="1"/>
      <c r="I99" s="1"/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82D218B-EF41-3A45-8D78-2B66681559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123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124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125</v>
      </c>
      <c r="C11" s="19">
        <f>G24</f>
        <v>8685</v>
      </c>
      <c r="D11" s="19">
        <f t="shared" si="2" ref="D11:H11">C23</f>
        <v>8750</v>
      </c>
      <c r="E11" s="19">
        <f>D24</f>
        <v>7506</v>
      </c>
      <c r="F11" s="19">
        <f>D23</f>
        <v>9438</v>
      </c>
      <c r="G11" s="19">
        <f t="shared" si="2"/>
        <v>11460</v>
      </c>
      <c r="H11" s="43">
        <f t="shared" si="2"/>
        <v>13676</v>
      </c>
      <c r="I11" s="1"/>
    </row>
    <row r="12" ht="15" customHeight="1">
      <c r="A12" s="1"/>
      <c r="B12" s="1" t="s">
        <v>126</v>
      </c>
      <c r="C12" s="18">
        <f>E12-D12-Inputs!$D$143</f>
        <v>4522</v>
      </c>
      <c r="D12" s="42">
        <v>5323</v>
      </c>
      <c r="E12" s="42">
        <v>18757</v>
      </c>
      <c r="F12" s="42">
        <v>6647</v>
      </c>
      <c r="G12" s="42">
        <v>7231</v>
      </c>
      <c r="H12" s="43">
        <f>C12*(1+H16)*(1+H45)*(1+H48)</f>
        <v>6511.067269</v>
      </c>
      <c r="I12" s="22" t="s">
        <v>127</v>
      </c>
    </row>
    <row r="13" ht="15" customHeight="1">
      <c r="A13" s="1"/>
      <c r="B13" s="41" t="s">
        <v>111</v>
      </c>
      <c r="C13" s="42">
        <v>4049</v>
      </c>
      <c r="D13" s="42">
        <v>3908</v>
      </c>
      <c r="E13" s="42">
        <v>16422</v>
      </c>
      <c r="F13" s="42">
        <v>4394</v>
      </c>
      <c r="G13" s="42">
        <v>4518</v>
      </c>
      <c r="H13" s="43">
        <f t="shared" si="10" ref="H13:H109">C12</f>
        <v>4522</v>
      </c>
      <c r="I13" s="1"/>
    </row>
    <row r="14" ht="15" customHeight="1">
      <c r="A14" s="1"/>
      <c r="B14" s="35" t="s">
        <v>63</v>
      </c>
      <c r="C14" s="20">
        <f t="shared" si="3" ref="C14:H110">IF(AND(ISNUMBER(C12),ISNUMBER(C13)),IF(C13=0,"n.m.",C12/C13-1),"n.a.")</f>
        <v>0.11681896764633248</v>
      </c>
      <c r="D14" s="20">
        <f t="shared" si="3"/>
        <v>0.3620777891504605</v>
      </c>
      <c r="E14" s="20">
        <f t="shared" si="3"/>
        <v>0.14218730970649118</v>
      </c>
      <c r="F14" s="20">
        <f t="shared" si="3"/>
        <v>0.5127446517979062</v>
      </c>
      <c r="G14" s="20">
        <f t="shared" si="3"/>
        <v>0.6004869411243914</v>
      </c>
      <c r="H14" s="38">
        <f t="shared" si="3"/>
        <v>0.4398645000000001</v>
      </c>
      <c r="I14" s="1"/>
    </row>
    <row r="15" ht="15" customHeight="1">
      <c r="A15" s="1"/>
      <c r="B15" s="41" t="s">
        <v>77</v>
      </c>
      <c r="C15" s="19">
        <f t="shared" si="27" ref="C15:C111">IF(AND(ISNUMBER(C12),ISNUMBER(G13)),(C12-G13),"n.a.")</f>
        <v>4</v>
      </c>
      <c r="D15" s="19">
        <f t="shared" si="4" ref="D15:H111">IF(AND(ISNUMBER(D12),ISNUMBER(C12)),(D12-C12),"n.a.")</f>
        <v>801</v>
      </c>
      <c r="E15" s="19"/>
      <c r="F15" s="19">
        <f t="shared" si="11" ref="F15:F111">IF(AND(ISNUMBER(F12),ISNUMBER(D12)),(F12-D12),"n.a.")</f>
        <v>1324</v>
      </c>
      <c r="G15" s="19">
        <f t="shared" si="4"/>
        <v>584</v>
      </c>
      <c r="H15" s="43">
        <f t="shared" si="4"/>
        <v>-719.9327309999999</v>
      </c>
      <c r="I15" s="1"/>
    </row>
    <row r="16" ht="15" customHeight="1">
      <c r="A16" s="1"/>
      <c r="B16" s="35" t="s">
        <v>128</v>
      </c>
      <c r="C16" s="51">
        <v>0.1</v>
      </c>
      <c r="D16" s="51">
        <v>0.33</v>
      </c>
      <c r="E16" s="51">
        <v>0.13</v>
      </c>
      <c r="F16" s="51">
        <v>0.44</v>
      </c>
      <c r="G16" s="51">
        <v>0.58</v>
      </c>
      <c r="H16" s="45">
        <v>0.45</v>
      </c>
      <c r="I16" s="22" t="s">
        <v>129</v>
      </c>
    </row>
    <row r="17" ht="15" customHeight="1">
      <c r="A17" s="1"/>
      <c r="B17" s="46" t="s">
        <v>82</v>
      </c>
      <c r="C17" s="47" t="s">
        <v>39</v>
      </c>
      <c r="D17" s="47">
        <f t="shared" si="5" ref="D17:H43">IF(AND(ISNUMBER(D16),ISNUMBER(C16)),(D16-C16)*10000,"n.a.")</f>
        <v>2300</v>
      </c>
      <c r="E17" s="47"/>
      <c r="F17" s="47">
        <f t="shared" si="17" ref="F17:F43">IF(AND(ISNUMBER(F16),ISNUMBER(D16)),(F16-D16)*10000,"n.a.")</f>
        <v>1099.9999999999998</v>
      </c>
      <c r="G17" s="47">
        <f t="shared" si="5"/>
        <v>1399.9999999999995</v>
      </c>
      <c r="H17" s="48">
        <f t="shared" si="5"/>
        <v>-1299.9999999999995</v>
      </c>
      <c r="I17" s="1"/>
    </row>
    <row r="18" ht="15" customHeight="1">
      <c r="A18" s="1"/>
      <c r="B18" s="46" t="s">
        <v>81</v>
      </c>
      <c r="C18" s="47" t="s">
        <v>39</v>
      </c>
      <c r="D18" s="47" t="s">
        <v>39</v>
      </c>
      <c r="E18" s="47" t="s">
        <v>39</v>
      </c>
      <c r="F18" s="47" t="s">
        <v>39</v>
      </c>
      <c r="G18" s="47" t="s">
        <v>39</v>
      </c>
      <c r="H18" s="48">
        <f t="shared" si="18" ref="H18:H44">IF(AND(ISNUMBER(H16),ISNUMBER(C16)),(H16-C16)*10000,"n.a.")</f>
        <v>3500</v>
      </c>
      <c r="I18" s="1"/>
    </row>
    <row r="19" ht="15" customHeight="1">
      <c r="A19" s="1"/>
      <c r="B19" s="1" t="s">
        <v>130</v>
      </c>
      <c r="C19" s="19">
        <f t="shared" si="6" ref="C19:H19">-C36</f>
        <v>-4499</v>
      </c>
      <c r="D19" s="19">
        <f t="shared" si="6"/>
        <v>-4702</v>
      </c>
      <c r="E19" s="19">
        <f t="shared" si="6"/>
        <v>-17357</v>
      </c>
      <c r="F19" s="19">
        <f t="shared" si="6"/>
        <v>-4613</v>
      </c>
      <c r="G19" s="19">
        <f t="shared" si="6"/>
        <v>-5200</v>
      </c>
      <c r="H19" s="43">
        <f t="shared" si="6"/>
        <v>-5450.413427799999</v>
      </c>
      <c r="I19" s="1"/>
    </row>
    <row r="20" ht="15" customHeight="1">
      <c r="A20" s="1"/>
      <c r="B20" s="23" t="s">
        <v>131</v>
      </c>
      <c r="C20" s="19">
        <f t="shared" si="7" ref="C20:G20">IF(COUNT(C23,C11,C12,C19)=4,C23-C11-C12-C19,"n.a.")</f>
        <v>42</v>
      </c>
      <c r="D20" s="19">
        <f t="shared" si="7"/>
        <v>67</v>
      </c>
      <c r="E20" s="19">
        <f t="shared" si="7"/>
        <v>532</v>
      </c>
      <c r="F20" s="19">
        <f t="shared" si="7"/>
        <v>-12</v>
      </c>
      <c r="G20" s="19">
        <f t="shared" si="7"/>
        <v>185</v>
      </c>
      <c r="H20" s="56">
        <v>0</v>
      </c>
      <c r="I20" s="22" t="s">
        <v>132</v>
      </c>
    </row>
    <row r="21" ht="15" customHeight="1">
      <c r="A21" s="1"/>
      <c r="B21" s="41" t="s">
        <v>107</v>
      </c>
      <c r="C21" s="19" t="s">
        <v>39</v>
      </c>
      <c r="D21" s="19" t="s">
        <v>39</v>
      </c>
      <c r="E21" s="19" t="s">
        <v>39</v>
      </c>
      <c r="F21" s="19" t="s">
        <v>39</v>
      </c>
      <c r="G21" s="19" t="s">
        <v>39</v>
      </c>
      <c r="H21" s="43">
        <f t="shared" si="57" ref="H21:H165">IF(AND(ISNUMBER(H20),ISNUMBER(C20)),(H20-C20),"n.a.")</f>
        <v>-42</v>
      </c>
      <c r="I21" s="1"/>
    </row>
    <row r="22" ht="15" customHeight="1">
      <c r="A22" s="1"/>
      <c r="B22" s="41" t="s">
        <v>77</v>
      </c>
      <c r="C22" s="19" t="s">
        <v>39</v>
      </c>
      <c r="D22" s="19">
        <f t="shared" si="8" ref="D22:H166">IF(AND(ISNUMBER(D20),ISNUMBER(C20)),(D20-C20),"n.a.")</f>
        <v>25</v>
      </c>
      <c r="E22" s="19"/>
      <c r="F22" s="19">
        <f t="shared" si="58" ref="F22:F166">IF(AND(ISNUMBER(F20),ISNUMBER(D20)),(F20-D20),"n.a.")</f>
        <v>-79</v>
      </c>
      <c r="G22" s="19">
        <f t="shared" si="8"/>
        <v>197</v>
      </c>
      <c r="H22" s="43">
        <f t="shared" si="8"/>
        <v>-185</v>
      </c>
      <c r="I22" s="1"/>
    </row>
    <row r="23" ht="15" customHeight="1">
      <c r="A23" s="1"/>
      <c r="B23" s="4" t="s">
        <v>133</v>
      </c>
      <c r="C23" s="59">
        <v>8750</v>
      </c>
      <c r="D23" s="59">
        <v>9438</v>
      </c>
      <c r="E23" s="49">
        <f t="shared" si="9" ref="E23:E24">D23</f>
        <v>9438</v>
      </c>
      <c r="F23" s="59">
        <v>11460</v>
      </c>
      <c r="G23" s="59">
        <v>13676</v>
      </c>
      <c r="H23" s="50">
        <f>H11+H12+H19+H20</f>
        <v>14736.6538412</v>
      </c>
      <c r="I23" s="1"/>
    </row>
    <row r="24" ht="15" customHeight="1">
      <c r="A24" s="1"/>
      <c r="B24" s="41" t="s">
        <v>134</v>
      </c>
      <c r="C24" s="42">
        <v>7945</v>
      </c>
      <c r="D24" s="42">
        <v>7506</v>
      </c>
      <c r="E24" s="19">
        <f t="shared" si="9"/>
        <v>7506</v>
      </c>
      <c r="F24" s="42">
        <v>8173</v>
      </c>
      <c r="G24" s="42">
        <v>8685</v>
      </c>
      <c r="H24" s="43">
        <f t="shared" si="10"/>
        <v>8750</v>
      </c>
      <c r="I24" s="1"/>
    </row>
    <row r="25" ht="15" customHeight="1">
      <c r="A25" s="1"/>
      <c r="B25" s="35" t="s">
        <v>63</v>
      </c>
      <c r="C25" s="20">
        <f t="shared" si="3"/>
        <v>0.1013215859030836</v>
      </c>
      <c r="D25" s="20">
        <f t="shared" si="3"/>
        <v>0.25739408473221426</v>
      </c>
      <c r="E25" s="20">
        <f t="shared" si="3"/>
        <v>0.25739408473221426</v>
      </c>
      <c r="F25" s="20">
        <f t="shared" si="3"/>
        <v>0.4021779028508503</v>
      </c>
      <c r="G25" s="20">
        <f t="shared" si="3"/>
        <v>0.5746689694876224</v>
      </c>
      <c r="H25" s="38">
        <f t="shared" si="3"/>
        <v>0.6841890104228572</v>
      </c>
      <c r="I25" s="1"/>
    </row>
    <row r="26" ht="15" customHeight="1">
      <c r="A26" s="1"/>
      <c r="B26" s="41" t="s">
        <v>77</v>
      </c>
      <c r="C26" s="19">
        <f>IF(AND(ISNUMBER(C23),ISNUMBER(C11)),(C23-C11),"n.a.")</f>
        <v>65</v>
      </c>
      <c r="D26" s="19">
        <f t="shared" si="4"/>
        <v>688</v>
      </c>
      <c r="E26" s="19"/>
      <c r="F26" s="19">
        <f t="shared" si="11"/>
        <v>2022</v>
      </c>
      <c r="G26" s="19">
        <f t="shared" si="4"/>
        <v>2216</v>
      </c>
      <c r="H26" s="43">
        <f t="shared" si="4"/>
        <v>1060.653841200001</v>
      </c>
      <c r="I26" s="1"/>
    </row>
    <row r="27" ht="15" customHeight="1">
      <c r="A27" s="1"/>
      <c r="B27" s="1" t="s">
        <v>135</v>
      </c>
      <c r="C27" s="19">
        <f t="shared" si="12" ref="C27:H27">IF(COUNT(C11,C23)=2,AVERAGE(C11,C23),"n.a.")</f>
        <v>8717.5</v>
      </c>
      <c r="D27" s="19">
        <f t="shared" si="12"/>
        <v>9094</v>
      </c>
      <c r="E27" s="19">
        <f t="shared" si="12"/>
        <v>8472</v>
      </c>
      <c r="F27" s="19">
        <f t="shared" si="12"/>
        <v>10449</v>
      </c>
      <c r="G27" s="19">
        <f t="shared" si="12"/>
        <v>12568</v>
      </c>
      <c r="H27" s="43">
        <f t="shared" si="12"/>
        <v>14206.3269206</v>
      </c>
      <c r="I27" s="1"/>
    </row>
    <row r="28" ht="15" customHeight="1">
      <c r="A28" s="1"/>
      <c r="B28" s="1" t="s">
        <v>136</v>
      </c>
      <c r="C28" s="57">
        <f t="shared" si="13" ref="C28:H28">IF(AND(ISNUMBER(C12),ISNUMBER(C36)),IF(C36=0,"n.m.",C12/C36),"n.a.")</f>
        <v>1.005112247166037</v>
      </c>
      <c r="D28" s="57">
        <f t="shared" si="13"/>
        <v>1.1320714589536367</v>
      </c>
      <c r="E28" s="57">
        <f t="shared" si="13"/>
        <v>1.0806591000748977</v>
      </c>
      <c r="F28" s="57">
        <f t="shared" si="13"/>
        <v>1.44092781270323</v>
      </c>
      <c r="G28" s="57">
        <f t="shared" si="13"/>
        <v>1.3905769230769232</v>
      </c>
      <c r="H28" s="58">
        <f t="shared" si="13"/>
        <v>1.1946006216317653</v>
      </c>
      <c r="I28" s="1"/>
    </row>
    <row r="29" ht="15" customHeight="1">
      <c r="A29" s="1"/>
      <c r="B29" s="41" t="s">
        <v>114</v>
      </c>
      <c r="C29" s="57" t="s">
        <v>39</v>
      </c>
      <c r="D29" s="57">
        <f t="shared" si="14" ref="D29:H29">IF(AND(ISNUMBER(D28),ISNUMBER(C28)),(D28-C28),"n.a.")</f>
        <v>0.12695921178759972</v>
      </c>
      <c r="E29" s="57"/>
      <c r="F29" s="57">
        <f>IF(AND(ISNUMBER(F28),ISNUMBER(D28)),(F28-D28),"n.a.")</f>
        <v>0.3088563537495932</v>
      </c>
      <c r="G29" s="57">
        <f t="shared" si="14"/>
        <v>-0.05035088962630674</v>
      </c>
      <c r="H29" s="58">
        <f t="shared" si="14"/>
        <v>-0.19597630144515787</v>
      </c>
      <c r="I29" s="1"/>
    </row>
    <row r="30" ht="15" customHeight="1">
      <c r="A30" s="1"/>
      <c r="B30" s="41" t="s">
        <v>115</v>
      </c>
      <c r="C30" s="57">
        <f t="shared" si="15" ref="C30:H30">IF(COUNT(C28,C13,C37)=3,C28-C13/C37,"n.a.")</f>
        <v>-0.029643694566648948</v>
      </c>
      <c r="D30" s="57">
        <f t="shared" si="15"/>
        <v>0.16617921970499605</v>
      </c>
      <c r="E30" s="57">
        <f t="shared" si="15"/>
        <v>0.01760886703502207</v>
      </c>
      <c r="F30" s="57">
        <f t="shared" si="15"/>
        <v>0.29216964276858937</v>
      </c>
      <c r="G30" s="57">
        <f t="shared" si="15"/>
        <v>0.3473998277178836</v>
      </c>
      <c r="H30" s="58">
        <f t="shared" si="15"/>
        <v>0.1894883744657283</v>
      </c>
      <c r="I30" s="1"/>
    </row>
    <row r="31" ht="15" customHeight="1">
      <c r="A31" s="1"/>
      <c r="B31" s="5" t="s">
        <v>137</v>
      </c>
      <c r="C31" s="20">
        <f t="shared" si="16" ref="C31:H31">IF(AND(ISNUMBER(C36),ISNUMBER(C11)),IF(C11=0,"n.m.",C36/C11),"n.a.")</f>
        <v>0.5180195739781231</v>
      </c>
      <c r="D31" s="20">
        <f t="shared" si="16"/>
        <v>0.5373714285714286</v>
      </c>
      <c r="E31" s="60">
        <f t="shared" si="16"/>
        <v>2.3124167332800427</v>
      </c>
      <c r="F31" s="20">
        <f t="shared" si="16"/>
        <v>0.48876880695062513</v>
      </c>
      <c r="G31" s="20">
        <f t="shared" si="16"/>
        <v>0.4537521815008726</v>
      </c>
      <c r="H31" s="38">
        <f t="shared" si="16"/>
        <v>0.3985385659403334</v>
      </c>
      <c r="I31" s="22" t="s">
        <v>138</v>
      </c>
    </row>
    <row r="32" ht="15" customHeight="1">
      <c r="A32" s="1"/>
      <c r="B32" s="46" t="s">
        <v>82</v>
      </c>
      <c r="C32" s="47" t="s">
        <v>39</v>
      </c>
      <c r="D32" s="47">
        <f t="shared" si="5"/>
        <v>193.5185459330546</v>
      </c>
      <c r="E32" s="47"/>
      <c r="F32" s="47">
        <f t="shared" si="17"/>
        <v>-486.0262162080348</v>
      </c>
      <c r="G32" s="47">
        <f t="shared" si="5"/>
        <v>-350.16625449752536</v>
      </c>
      <c r="H32" s="48">
        <f t="shared" si="5"/>
        <v>-552.1361556053922</v>
      </c>
      <c r="I32" s="1"/>
    </row>
    <row r="33" ht="15" customHeight="1">
      <c r="A33" s="1"/>
      <c r="B33" s="46" t="s">
        <v>81</v>
      </c>
      <c r="C33" s="47" t="s">
        <v>39</v>
      </c>
      <c r="D33" s="47" t="s">
        <v>39</v>
      </c>
      <c r="E33" s="47" t="s">
        <v>39</v>
      </c>
      <c r="F33" s="47" t="s">
        <v>39</v>
      </c>
      <c r="G33" s="47" t="s">
        <v>39</v>
      </c>
      <c r="H33" s="48">
        <f t="shared" si="18"/>
        <v>-1194.8100803778977</v>
      </c>
      <c r="I33" s="1"/>
    </row>
    <row r="34" ht="15" customHeight="1">
      <c r="A34" s="1"/>
      <c r="B34" s="1"/>
      <c r="C34" s="1"/>
      <c r="D34" s="1"/>
      <c r="E34" s="1"/>
      <c r="F34" s="1"/>
      <c r="G34" s="1"/>
      <c r="H34" s="32"/>
      <c r="I34" s="1"/>
    </row>
    <row r="35" ht="15" customHeight="1">
      <c r="A35" s="1"/>
      <c r="B35" s="4" t="s">
        <v>139</v>
      </c>
      <c r="C35" s="1"/>
      <c r="D35" s="1"/>
      <c r="E35" s="1"/>
      <c r="F35" s="1"/>
      <c r="G35" s="1"/>
      <c r="H35" s="32"/>
      <c r="I35" s="1"/>
    </row>
    <row r="36" ht="15" customHeight="1">
      <c r="A36" s="1"/>
      <c r="B36" s="4" t="s">
        <v>140</v>
      </c>
      <c r="C36" s="33">
        <f>E36-D36-Inputs!$D$144</f>
        <v>4499</v>
      </c>
      <c r="D36" s="39">
        <v>4702</v>
      </c>
      <c r="E36" s="39">
        <v>17357</v>
      </c>
      <c r="F36" s="39">
        <v>4613</v>
      </c>
      <c r="G36" s="39">
        <v>5200</v>
      </c>
      <c r="H36" s="61">
        <f>C36*(1+H42)*(1+H45)*(1+H48)</f>
        <v>5450.413427799999</v>
      </c>
      <c r="I36" s="22" t="s">
        <v>141</v>
      </c>
    </row>
    <row r="37" ht="15" customHeight="1">
      <c r="A37" s="1"/>
      <c r="B37" s="41" t="s">
        <v>73</v>
      </c>
      <c r="C37" s="42">
        <v>3913</v>
      </c>
      <c r="D37" s="42">
        <v>4046</v>
      </c>
      <c r="E37" s="42">
        <v>15448</v>
      </c>
      <c r="F37" s="42">
        <v>3825</v>
      </c>
      <c r="G37" s="42">
        <v>4331</v>
      </c>
      <c r="H37" s="43">
        <f t="shared" si="10"/>
        <v>4499</v>
      </c>
      <c r="I37" s="1"/>
    </row>
    <row r="38" ht="15" customHeight="1">
      <c r="A38" s="1"/>
      <c r="B38" s="35" t="s">
        <v>63</v>
      </c>
      <c r="C38" s="20">
        <f t="shared" si="3"/>
        <v>0.14975721952466148</v>
      </c>
      <c r="D38" s="20">
        <f t="shared" si="3"/>
        <v>0.16213544241225897</v>
      </c>
      <c r="E38" s="20">
        <f t="shared" si="3"/>
        <v>0.12357586742620397</v>
      </c>
      <c r="F38" s="20">
        <f t="shared" si="3"/>
        <v>0.20601307189542473</v>
      </c>
      <c r="G38" s="20">
        <f t="shared" si="3"/>
        <v>0.20064650196259515</v>
      </c>
      <c r="H38" s="38">
        <f t="shared" si="3"/>
        <v>0.21147219999999978</v>
      </c>
      <c r="I38" s="1"/>
    </row>
    <row r="39" ht="15" customHeight="1">
      <c r="A39" s="1"/>
      <c r="B39" s="35" t="s">
        <v>64</v>
      </c>
      <c r="C39" s="20">
        <f>IF(AND(ISNUMBER(C36),ISNUMBER(G37)),IF(G37=0,"n.m.",C36/G37-1),"n.a.")</f>
        <v>0.038790117755714615</v>
      </c>
      <c r="D39" s="20">
        <f t="shared" si="19" ref="D39:H39">IF(AND(ISNUMBER(D36),ISNUMBER(C36)),IF(C36=0,"n.m.",D36/C36-1),"n.a.")</f>
        <v>0.045121138030673524</v>
      </c>
      <c r="E39" s="20"/>
      <c r="F39" s="20">
        <f>IF(AND(ISNUMBER(F36),ISNUMBER(D36)),IF(D36=0,"n.m.",F36/D36-1),"n.a.")</f>
        <v>-0.018928115695448722</v>
      </c>
      <c r="G39" s="20">
        <f t="shared" si="19"/>
        <v>0.12724907869065682</v>
      </c>
      <c r="H39" s="38">
        <f t="shared" si="19"/>
        <v>0.04815642842307688</v>
      </c>
      <c r="I39" s="1"/>
    </row>
    <row r="40" ht="15" customHeight="1">
      <c r="A40" s="1"/>
      <c r="B40" s="35" t="s">
        <v>142</v>
      </c>
      <c r="C40" s="36">
        <f>IF(AND(ISNUMBER(C36),ISNUMBER('Revenue summary'!C46)),IF('Revenue summary'!C46=0,"n.m.",C36/'Revenue summary'!C46),"n.a.")</f>
        <v>0.5298551407372513</v>
      </c>
      <c r="D40" s="36">
        <f>IF(AND(ISNUMBER(D36),ISNUMBER('Revenue summary'!D46)),IF('Revenue summary'!D46=0,"n.m.",D36/'Revenue summary'!D46),"n.a.")</f>
        <v>0.5194432169686257</v>
      </c>
      <c r="E40" s="36">
        <f>IF(AND(ISNUMBER(E36),ISNUMBER('Revenue summary'!E46)),IF('Revenue summary'!E46=0,"n.m.",E36/'Revenue summary'!E46),"n.a.")</f>
        <v>0.5224864539434075</v>
      </c>
      <c r="F40" s="36">
        <f>IF(AND(ISNUMBER(F36),ISNUMBER('Revenue summary'!F46)),IF('Revenue summary'!F46=0,"n.m.",F36/'Revenue summary'!F46),"n.a.")</f>
        <v>0.5281657888710786</v>
      </c>
      <c r="G40" s="36">
        <f>IF(AND(ISNUMBER(G36),ISNUMBER('Revenue summary'!G46)),IF('Revenue summary'!G46=0,"n.m.",G36/'Revenue summary'!G46),"n.a.")</f>
        <v>0.5488126649076517</v>
      </c>
      <c r="H40" s="37">
        <f>IF(AND(ISNUMBER(H36),ISNUMBER('Revenue summary'!H46)),IF('Revenue summary'!H46=0,"n.m.",H36/'Revenue summary'!H46),"n.a.")</f>
        <v>0.5631110928061333</v>
      </c>
      <c r="I40" s="1"/>
    </row>
    <row r="41" ht="15" customHeight="1">
      <c r="A41" s="1"/>
      <c r="B41" s="35" t="s">
        <v>84</v>
      </c>
      <c r="C41" s="51">
        <v>0.13</v>
      </c>
      <c r="D41" s="51">
        <v>0.13</v>
      </c>
      <c r="E41" s="51">
        <v>0.11</v>
      </c>
      <c r="F41" s="51">
        <v>0.15</v>
      </c>
      <c r="G41" s="51">
        <v>0.18</v>
      </c>
      <c r="H41" s="38">
        <f>(1+H42)*(1+H45)-1</f>
        <v>0.21389999999999998</v>
      </c>
      <c r="I41" s="1"/>
    </row>
    <row r="42" ht="15" customHeight="1">
      <c r="A42" s="1"/>
      <c r="B42" s="44" t="s">
        <v>85</v>
      </c>
      <c r="C42" s="51">
        <v>0.13</v>
      </c>
      <c r="D42" s="51">
        <v>0.12</v>
      </c>
      <c r="E42" s="51">
        <v>0.11</v>
      </c>
      <c r="F42" s="51">
        <v>0.15</v>
      </c>
      <c r="G42" s="51">
        <v>0.19</v>
      </c>
      <c r="H42" s="45">
        <v>0.22</v>
      </c>
      <c r="I42" s="22" t="s">
        <v>143</v>
      </c>
    </row>
    <row r="43" ht="15" customHeight="1">
      <c r="A43" s="1"/>
      <c r="B43" s="46" t="s">
        <v>82</v>
      </c>
      <c r="C43" s="47" t="s">
        <v>39</v>
      </c>
      <c r="D43" s="47">
        <f t="shared" si="5"/>
        <v>-100.00000000000009</v>
      </c>
      <c r="E43" s="47"/>
      <c r="F43" s="47">
        <f t="shared" si="17"/>
        <v>300</v>
      </c>
      <c r="G43" s="47">
        <f t="shared" si="5"/>
        <v>400.00000000000006</v>
      </c>
      <c r="H43" s="48">
        <f t="shared" si="5"/>
        <v>300</v>
      </c>
      <c r="I43" s="1"/>
    </row>
    <row r="44" ht="15" customHeight="1">
      <c r="A44" s="1"/>
      <c r="B44" s="46" t="s">
        <v>81</v>
      </c>
      <c r="C44" s="47" t="s">
        <v>39</v>
      </c>
      <c r="D44" s="47" t="s">
        <v>39</v>
      </c>
      <c r="E44" s="47" t="s">
        <v>39</v>
      </c>
      <c r="F44" s="47" t="s">
        <v>39</v>
      </c>
      <c r="G44" s="47" t="s">
        <v>39</v>
      </c>
      <c r="H44" s="48">
        <f t="shared" si="18"/>
        <v>900</v>
      </c>
      <c r="I44" s="1"/>
    </row>
    <row r="45" ht="15" customHeight="1">
      <c r="A45" s="1"/>
      <c r="B45" s="35" t="s">
        <v>67</v>
      </c>
      <c r="C45" s="20">
        <f t="shared" si="20" ref="C45:G45">IF(AND(ISNUMBER(C41),ISNUMBER(C42)),(1+C41)/(1+C42)-1,"n.a.")</f>
        <v>0</v>
      </c>
      <c r="D45" s="20">
        <f t="shared" si="20"/>
        <v>0.008928571428571175</v>
      </c>
      <c r="E45" s="20">
        <f t="shared" si="20"/>
        <v>0</v>
      </c>
      <c r="F45" s="20">
        <f t="shared" si="20"/>
        <v>0</v>
      </c>
      <c r="G45" s="20">
        <f t="shared" si="20"/>
        <v>-0.008403361344537785</v>
      </c>
      <c r="H45" s="45">
        <v>-0.005</v>
      </c>
      <c r="I45" s="1"/>
    </row>
    <row r="46" ht="15" customHeight="1">
      <c r="A46" s="1"/>
      <c r="B46" s="46" t="s">
        <v>81</v>
      </c>
      <c r="C46" s="47" t="s">
        <v>39</v>
      </c>
      <c r="D46" s="47" t="s">
        <v>39</v>
      </c>
      <c r="E46" s="47" t="s">
        <v>39</v>
      </c>
      <c r="F46" s="47" t="s">
        <v>39</v>
      </c>
      <c r="G46" s="47" t="s">
        <v>39</v>
      </c>
      <c r="H46" s="48">
        <f t="shared" si="23" ref="H46:H169">IF(AND(ISNUMBER(H45),ISNUMBER(C45)),(H45-C45)*10000,"n.a.")</f>
        <v>-50</v>
      </c>
      <c r="I46" s="1"/>
    </row>
    <row r="47" ht="15" customHeight="1">
      <c r="A47" s="1"/>
      <c r="B47" s="46" t="s">
        <v>82</v>
      </c>
      <c r="C47" s="47" t="s">
        <v>39</v>
      </c>
      <c r="D47" s="47">
        <f t="shared" si="21" ref="D47:H170">IF(AND(ISNUMBER(D45),ISNUMBER(C45)),(D45-C45)*10000,"n.a.")</f>
        <v>89.28571428571175</v>
      </c>
      <c r="E47" s="47"/>
      <c r="F47" s="47">
        <f t="shared" si="24" ref="F47:F170">IF(AND(ISNUMBER(F45),ISNUMBER(D45)),(F45-D45)*10000,"n.a.")</f>
        <v>-89.28571428571175</v>
      </c>
      <c r="G47" s="47">
        <f t="shared" si="21"/>
        <v>-84.03361344537785</v>
      </c>
      <c r="H47" s="48">
        <f t="shared" si="21"/>
        <v>34.03361344537785</v>
      </c>
      <c r="I47" s="1"/>
    </row>
    <row r="48" ht="15" customHeight="1">
      <c r="A48" s="1"/>
      <c r="B48" s="35" t="s">
        <v>68</v>
      </c>
      <c r="C48" s="20">
        <f t="shared" si="22" ref="C48:G48">IF(AND(ISNUMBER(C38),ISNUMBER(C41)),(1+C38)/(1+C41)-1,"n.a.")</f>
        <v>0.017484265066072258</v>
      </c>
      <c r="D48" s="20">
        <f t="shared" si="22"/>
        <v>0.028438444612618685</v>
      </c>
      <c r="E48" s="20">
        <f t="shared" si="22"/>
        <v>0.012230511194778249</v>
      </c>
      <c r="F48" s="20">
        <f t="shared" si="22"/>
        <v>0.04870701903949981</v>
      </c>
      <c r="G48" s="20">
        <f t="shared" si="22"/>
        <v>0.01749703556152138</v>
      </c>
      <c r="H48" s="37">
        <f>'Revenue summary'!H57</f>
        <v>-0.002</v>
      </c>
      <c r="I48" s="1"/>
    </row>
    <row r="49" ht="15" customHeight="1">
      <c r="A49" s="1"/>
      <c r="B49" s="46" t="s">
        <v>81</v>
      </c>
      <c r="C49" s="47" t="s">
        <v>39</v>
      </c>
      <c r="D49" s="47" t="s">
        <v>39</v>
      </c>
      <c r="E49" s="47" t="s">
        <v>39</v>
      </c>
      <c r="F49" s="47" t="s">
        <v>39</v>
      </c>
      <c r="G49" s="47" t="s">
        <v>39</v>
      </c>
      <c r="H49" s="48">
        <f t="shared" si="23"/>
        <v>-194.8426506607226</v>
      </c>
      <c r="I49" s="1"/>
    </row>
    <row r="50" ht="15" customHeight="1">
      <c r="A50" s="1"/>
      <c r="B50" s="46" t="s">
        <v>82</v>
      </c>
      <c r="C50" s="47" t="s">
        <v>39</v>
      </c>
      <c r="D50" s="47">
        <f t="shared" si="21"/>
        <v>109.54179546546428</v>
      </c>
      <c r="E50" s="47"/>
      <c r="F50" s="47">
        <f t="shared" si="24"/>
        <v>202.68574426881125</v>
      </c>
      <c r="G50" s="47">
        <f t="shared" si="21"/>
        <v>-312.0998347797843</v>
      </c>
      <c r="H50" s="48">
        <f t="shared" si="21"/>
        <v>-194.9703556152138</v>
      </c>
      <c r="I50" s="1"/>
    </row>
    <row r="51" ht="15" customHeight="1">
      <c r="A51" s="1"/>
      <c r="B51" s="35" t="s">
        <v>88</v>
      </c>
      <c r="C51" s="20">
        <f t="shared" si="25" ref="C51:H51">IF(COUNT(C38,C45,C48)=3,(1+C38)/((1+C45)*(1+C48))-1,"n.a.")</f>
        <v>0.1299999999999999</v>
      </c>
      <c r="D51" s="20">
        <f t="shared" si="25"/>
        <v>0.1200000000000001</v>
      </c>
      <c r="E51" s="20">
        <f t="shared" si="25"/>
        <v>0.1100000000000001</v>
      </c>
      <c r="F51" s="20">
        <f t="shared" si="25"/>
        <v>0.1499999999999999</v>
      </c>
      <c r="G51" s="20">
        <f t="shared" si="25"/>
        <v>0.18999999999999995</v>
      </c>
      <c r="H51" s="38">
        <f t="shared" si="25"/>
        <v>0.21999999999999975</v>
      </c>
      <c r="I51" s="1"/>
    </row>
    <row r="52" ht="15" customHeight="1">
      <c r="A52" s="1"/>
      <c r="B52" s="41" t="s">
        <v>77</v>
      </c>
      <c r="C52" s="19">
        <f>IF(AND(ISNUMBER(C36),ISNUMBER(G37)),(C36-G37),"n.a.")</f>
        <v>168</v>
      </c>
      <c r="D52" s="19">
        <f t="shared" si="26" ref="D52:H52">IF(AND(ISNUMBER(D36),ISNUMBER(C36)),(D36-C36),"n.a.")</f>
        <v>203</v>
      </c>
      <c r="E52" s="19"/>
      <c r="F52" s="19">
        <f>IF(AND(ISNUMBER(F36),ISNUMBER(D36)),(F36-D36),"n.a.")</f>
        <v>-89</v>
      </c>
      <c r="G52" s="19">
        <f t="shared" si="26"/>
        <v>587</v>
      </c>
      <c r="H52" s="43">
        <f t="shared" si="26"/>
        <v>250.41342779999923</v>
      </c>
      <c r="I52" s="1"/>
    </row>
    <row r="53" ht="15" customHeight="1">
      <c r="A53" s="1"/>
      <c r="B53" s="1"/>
      <c r="C53" s="1"/>
      <c r="D53" s="1"/>
      <c r="E53" s="1"/>
      <c r="F53" s="1"/>
      <c r="G53" s="1"/>
      <c r="H53" s="32"/>
      <c r="I53" s="1"/>
    </row>
    <row r="54" ht="15" customHeight="1">
      <c r="A54" s="1"/>
      <c r="B54" s="4" t="s">
        <v>144</v>
      </c>
      <c r="C54" s="1"/>
      <c r="D54" s="1"/>
      <c r="E54" s="1"/>
      <c r="F54" s="1"/>
      <c r="G54" s="1"/>
      <c r="H54" s="32"/>
      <c r="I54" s="1"/>
    </row>
    <row r="55" ht="15" customHeight="1">
      <c r="A55" s="1"/>
      <c r="B55" s="1" t="s">
        <v>145</v>
      </c>
      <c r="C55" s="18">
        <f>E55-D55-Inputs!$D$145</f>
        <v>1310</v>
      </c>
      <c r="D55" s="42">
        <v>1389</v>
      </c>
      <c r="E55" s="42">
        <v>5150</v>
      </c>
      <c r="F55" s="42">
        <v>1323</v>
      </c>
      <c r="G55" s="42">
        <v>1377</v>
      </c>
      <c r="H55" s="43">
        <f>H95*G55/G95</f>
        <v>1443.3114019385769</v>
      </c>
      <c r="I55" s="22" t="s">
        <v>146</v>
      </c>
    </row>
    <row r="56" ht="15" customHeight="1">
      <c r="A56" s="1"/>
      <c r="B56" s="41" t="s">
        <v>73</v>
      </c>
      <c r="C56" s="19" t="s">
        <v>39</v>
      </c>
      <c r="D56" s="42">
        <v>1175</v>
      </c>
      <c r="E56" s="42">
        <v>4566</v>
      </c>
      <c r="F56" s="42">
        <v>1154</v>
      </c>
      <c r="G56" s="42">
        <v>1297</v>
      </c>
      <c r="H56" s="43">
        <f t="shared" si="10"/>
        <v>1310</v>
      </c>
      <c r="I56" s="1"/>
    </row>
    <row r="57" ht="15" customHeight="1">
      <c r="A57" s="1"/>
      <c r="B57" s="35" t="s">
        <v>63</v>
      </c>
      <c r="C57" s="20" t="str">
        <f t="shared" si="3"/>
        <v>n.a.</v>
      </c>
      <c r="D57" s="20">
        <f t="shared" si="3"/>
        <v>0.18212765957446808</v>
      </c>
      <c r="E57" s="20">
        <f t="shared" si="3"/>
        <v>0.12790188348664033</v>
      </c>
      <c r="F57" s="20">
        <f t="shared" si="3"/>
        <v>0.1464471403812826</v>
      </c>
      <c r="G57" s="20">
        <f t="shared" si="3"/>
        <v>0.061680801850424016</v>
      </c>
      <c r="H57" s="38">
        <f t="shared" si="3"/>
        <v>0.10176442896074578</v>
      </c>
      <c r="I57" s="1"/>
    </row>
    <row r="58" ht="15" customHeight="1">
      <c r="A58" s="1"/>
      <c r="B58" s="41" t="s">
        <v>77</v>
      </c>
      <c r="C58" s="19">
        <f t="shared" si="27"/>
        <v>13</v>
      </c>
      <c r="D58" s="19">
        <f t="shared" si="4"/>
        <v>79</v>
      </c>
      <c r="E58" s="19"/>
      <c r="F58" s="19">
        <f t="shared" si="11"/>
        <v>-66</v>
      </c>
      <c r="G58" s="19">
        <f t="shared" si="4"/>
        <v>54</v>
      </c>
      <c r="H58" s="43">
        <f t="shared" si="4"/>
        <v>66.31140193857686</v>
      </c>
      <c r="I58" s="1"/>
    </row>
    <row r="59" ht="15" customHeight="1">
      <c r="A59" s="1"/>
      <c r="B59" s="35" t="s">
        <v>147</v>
      </c>
      <c r="C59" s="20">
        <f t="shared" si="28" ref="C59:H59">IF(AND(ISNUMBER(C55),ISNUMBER(C95)),IF(C95=0,"n.m.",C55/C95),"n.a.")</f>
        <v>0.29557761732851984</v>
      </c>
      <c r="D59" s="20">
        <f t="shared" si="28"/>
        <v>0.3013015184381779</v>
      </c>
      <c r="E59" s="20">
        <f t="shared" si="28"/>
        <v>0.30139872417627434</v>
      </c>
      <c r="F59" s="20">
        <f t="shared" si="28"/>
        <v>0.2908331501428886</v>
      </c>
      <c r="G59" s="20">
        <f t="shared" si="28"/>
        <v>0.2694189004108785</v>
      </c>
      <c r="H59" s="38">
        <f t="shared" si="28"/>
        <v>0.2694189004108785</v>
      </c>
      <c r="I59" s="1"/>
    </row>
    <row r="60" ht="15" customHeight="1">
      <c r="A60" s="1"/>
      <c r="B60" s="35" t="s">
        <v>74</v>
      </c>
      <c r="C60" s="20" t="s">
        <v>39</v>
      </c>
      <c r="D60" s="20" t="s">
        <v>39</v>
      </c>
      <c r="E60" s="20" t="s">
        <v>39</v>
      </c>
      <c r="F60" s="20" t="s">
        <v>39</v>
      </c>
      <c r="G60" s="20" t="s">
        <v>39</v>
      </c>
      <c r="H60" s="38" t="s">
        <v>39</v>
      </c>
      <c r="I60" s="1"/>
    </row>
    <row r="61" ht="15" customHeight="1">
      <c r="A61" s="1"/>
      <c r="B61" s="1" t="s">
        <v>148</v>
      </c>
      <c r="C61" s="18">
        <f>E61-D61-Inputs!$D$146</f>
        <v>2003</v>
      </c>
      <c r="D61" s="42">
        <v>2001</v>
      </c>
      <c r="E61" s="42">
        <v>7589</v>
      </c>
      <c r="F61" s="42">
        <v>2127</v>
      </c>
      <c r="G61" s="42">
        <v>2418</v>
      </c>
      <c r="H61" s="43">
        <f>H95*G61/G95</f>
        <v>2534.4422439269997</v>
      </c>
      <c r="I61" s="22" t="s">
        <v>146</v>
      </c>
    </row>
    <row r="62" ht="15" customHeight="1">
      <c r="A62" s="1"/>
      <c r="B62" s="41" t="s">
        <v>73</v>
      </c>
      <c r="C62" s="19" t="s">
        <v>39</v>
      </c>
      <c r="D62" s="42">
        <v>1691</v>
      </c>
      <c r="E62" s="42">
        <v>6577</v>
      </c>
      <c r="F62" s="42">
        <v>1692</v>
      </c>
      <c r="G62" s="42">
        <v>1893</v>
      </c>
      <c r="H62" s="43">
        <f t="shared" si="10"/>
        <v>2003</v>
      </c>
      <c r="I62" s="1"/>
    </row>
    <row r="63" ht="15" customHeight="1">
      <c r="A63" s="1"/>
      <c r="B63" s="35" t="s">
        <v>63</v>
      </c>
      <c r="C63" s="20" t="str">
        <f t="shared" si="3"/>
        <v>n.a.</v>
      </c>
      <c r="D63" s="20">
        <f t="shared" si="3"/>
        <v>0.18332347723240683</v>
      </c>
      <c r="E63" s="20">
        <f t="shared" si="3"/>
        <v>0.15386954538543418</v>
      </c>
      <c r="F63" s="20">
        <f t="shared" si="3"/>
        <v>0.2570921985815602</v>
      </c>
      <c r="G63" s="20">
        <f t="shared" si="3"/>
        <v>0.2773375594294769</v>
      </c>
      <c r="H63" s="38">
        <f t="shared" si="3"/>
        <v>0.2653231372576135</v>
      </c>
      <c r="I63" s="1"/>
    </row>
    <row r="64" ht="15" customHeight="1">
      <c r="A64" s="1"/>
      <c r="B64" s="41" t="s">
        <v>77</v>
      </c>
      <c r="C64" s="19">
        <f t="shared" si="27"/>
        <v>110</v>
      </c>
      <c r="D64" s="19">
        <f t="shared" si="4"/>
        <v>-2</v>
      </c>
      <c r="E64" s="19"/>
      <c r="F64" s="19">
        <f t="shared" si="11"/>
        <v>126</v>
      </c>
      <c r="G64" s="19">
        <f t="shared" si="4"/>
        <v>291</v>
      </c>
      <c r="H64" s="43">
        <f t="shared" si="4"/>
        <v>116.44224392699971</v>
      </c>
      <c r="I64" s="1"/>
    </row>
    <row r="65" ht="15" customHeight="1">
      <c r="A65" s="1"/>
      <c r="B65" s="35" t="s">
        <v>147</v>
      </c>
      <c r="C65" s="20">
        <f t="shared" si="29" ref="C65:H65">IF(AND(ISNUMBER(C61),ISNUMBER(C95)),IF(C95=0,"n.m.",C61/C95),"n.a.")</f>
        <v>0.4519404332129964</v>
      </c>
      <c r="D65" s="20">
        <f t="shared" si="29"/>
        <v>0.434056399132321</v>
      </c>
      <c r="E65" s="20">
        <f t="shared" si="29"/>
        <v>0.4441388189851934</v>
      </c>
      <c r="F65" s="20">
        <f t="shared" si="29"/>
        <v>0.4675752912728072</v>
      </c>
      <c r="G65" s="20">
        <f t="shared" si="29"/>
        <v>0.47309724124437486</v>
      </c>
      <c r="H65" s="38">
        <f t="shared" si="29"/>
        <v>0.4730972412443749</v>
      </c>
      <c r="I65" s="1"/>
    </row>
    <row r="66" ht="15" customHeight="1">
      <c r="A66" s="1"/>
      <c r="B66" s="35" t="s">
        <v>74</v>
      </c>
      <c r="C66" s="20" t="s">
        <v>39</v>
      </c>
      <c r="D66" s="20" t="s">
        <v>39</v>
      </c>
      <c r="E66" s="20" t="s">
        <v>39</v>
      </c>
      <c r="F66" s="20" t="s">
        <v>39</v>
      </c>
      <c r="G66" s="20" t="s">
        <v>39</v>
      </c>
      <c r="H66" s="38" t="s">
        <v>39</v>
      </c>
      <c r="I66" s="1"/>
    </row>
    <row r="67" ht="15" customHeight="1">
      <c r="A67" s="1"/>
      <c r="B67" s="41" t="s">
        <v>149</v>
      </c>
      <c r="C67" s="18">
        <f>E67-D67-Inputs!$D$147</f>
        <v>1598</v>
      </c>
      <c r="D67" s="42">
        <v>1610</v>
      </c>
      <c r="E67" s="42">
        <v>6082</v>
      </c>
      <c r="F67" s="42">
        <v>1746</v>
      </c>
      <c r="G67" s="42">
        <v>2003</v>
      </c>
      <c r="H67" s="43">
        <f t="shared" si="34" ref="H67:H84">H61*G67/G61</f>
        <v>2099.457326131423</v>
      </c>
      <c r="I67" s="22" t="s">
        <v>146</v>
      </c>
    </row>
    <row r="68" ht="15" customHeight="1">
      <c r="A68" s="1"/>
      <c r="B68" s="62" t="s">
        <v>73</v>
      </c>
      <c r="C68" s="19" t="s">
        <v>39</v>
      </c>
      <c r="D68" s="42">
        <v>1325</v>
      </c>
      <c r="E68" s="42">
        <v>5128</v>
      </c>
      <c r="F68" s="42">
        <v>1357</v>
      </c>
      <c r="G68" s="42">
        <v>1517</v>
      </c>
      <c r="H68" s="43">
        <f t="shared" si="10"/>
        <v>1598</v>
      </c>
      <c r="I68" s="1"/>
    </row>
    <row r="69" ht="15" customHeight="1">
      <c r="A69" s="1"/>
      <c r="B69" s="46" t="s">
        <v>63</v>
      </c>
      <c r="C69" s="20" t="str">
        <f t="shared" si="3"/>
        <v>n.a.</v>
      </c>
      <c r="D69" s="20">
        <f t="shared" si="3"/>
        <v>0.21509433962264146</v>
      </c>
      <c r="E69" s="20">
        <f t="shared" si="3"/>
        <v>0.18603744149766</v>
      </c>
      <c r="F69" s="20">
        <f t="shared" si="3"/>
        <v>0.2866617538688283</v>
      </c>
      <c r="G69" s="20">
        <f t="shared" si="3"/>
        <v>0.32036914963744234</v>
      </c>
      <c r="H69" s="38">
        <f t="shared" si="3"/>
        <v>0.3138030826854963</v>
      </c>
      <c r="I69" s="1"/>
    </row>
    <row r="70" ht="15" customHeight="1">
      <c r="A70" s="1"/>
      <c r="B70" s="62" t="s">
        <v>77</v>
      </c>
      <c r="C70" s="19">
        <f t="shared" si="27"/>
        <v>81</v>
      </c>
      <c r="D70" s="19">
        <f t="shared" si="4"/>
        <v>12</v>
      </c>
      <c r="E70" s="19"/>
      <c r="F70" s="19">
        <f t="shared" si="11"/>
        <v>136</v>
      </c>
      <c r="G70" s="19">
        <f t="shared" si="4"/>
        <v>257</v>
      </c>
      <c r="H70" s="43">
        <f t="shared" si="4"/>
        <v>96.45732613142309</v>
      </c>
      <c r="I70" s="1"/>
    </row>
    <row r="71" ht="15" customHeight="1">
      <c r="A71" s="1"/>
      <c r="B71" s="46" t="s">
        <v>147</v>
      </c>
      <c r="C71" s="20">
        <f t="shared" si="30" ref="C71:H71">IF(AND(ISNUMBER(C67),ISNUMBER(C95)),IF(C95=0,"n.m.",C67/C95),"n.a.")</f>
        <v>0.3605595667870036</v>
      </c>
      <c r="D71" s="20">
        <f t="shared" si="30"/>
        <v>0.3492407809110629</v>
      </c>
      <c r="E71" s="20">
        <f t="shared" si="30"/>
        <v>0.3559431146485632</v>
      </c>
      <c r="F71" s="20">
        <f t="shared" si="30"/>
        <v>0.38382061991646516</v>
      </c>
      <c r="G71" s="20">
        <f t="shared" si="30"/>
        <v>0.3918998239092154</v>
      </c>
      <c r="H71" s="38">
        <f t="shared" si="30"/>
        <v>0.39189982390921546</v>
      </c>
      <c r="I71" s="1"/>
    </row>
    <row r="72" ht="15" customHeight="1">
      <c r="A72" s="1"/>
      <c r="B72" s="46" t="s">
        <v>74</v>
      </c>
      <c r="C72" s="20" t="s">
        <v>39</v>
      </c>
      <c r="D72" s="20" t="s">
        <v>39</v>
      </c>
      <c r="E72" s="20" t="s">
        <v>39</v>
      </c>
      <c r="F72" s="20" t="s">
        <v>39</v>
      </c>
      <c r="G72" s="20" t="s">
        <v>39</v>
      </c>
      <c r="H72" s="38" t="s">
        <v>39</v>
      </c>
      <c r="I72" s="1"/>
    </row>
    <row r="73" ht="15" customHeight="1">
      <c r="A73" s="1"/>
      <c r="B73" s="41" t="s">
        <v>150</v>
      </c>
      <c r="C73" s="19">
        <f t="shared" si="31" ref="C73:H90">C61-C67</f>
        <v>405</v>
      </c>
      <c r="D73" s="19">
        <f t="shared" si="31"/>
        <v>391</v>
      </c>
      <c r="E73" s="19">
        <f t="shared" si="31"/>
        <v>1507</v>
      </c>
      <c r="F73" s="19">
        <f t="shared" si="31"/>
        <v>381</v>
      </c>
      <c r="G73" s="19">
        <f t="shared" si="31"/>
        <v>415</v>
      </c>
      <c r="H73" s="43">
        <f t="shared" si="31"/>
        <v>434.9849177955766</v>
      </c>
      <c r="I73" s="1"/>
    </row>
    <row r="74" ht="15" customHeight="1">
      <c r="A74" s="1"/>
      <c r="B74" s="62" t="s">
        <v>151</v>
      </c>
      <c r="C74" s="19" t="str">
        <f t="shared" si="32" ref="C74:H91">IF(COUNT(C62,C68)=2,C62-C68,"n.a.")</f>
        <v>n.a.</v>
      </c>
      <c r="D74" s="19">
        <f t="shared" si="32"/>
        <v>366</v>
      </c>
      <c r="E74" s="19">
        <f t="shared" si="32"/>
        <v>1449</v>
      </c>
      <c r="F74" s="19">
        <f t="shared" si="32"/>
        <v>335</v>
      </c>
      <c r="G74" s="19">
        <f t="shared" si="32"/>
        <v>376</v>
      </c>
      <c r="H74" s="43">
        <f t="shared" si="32"/>
        <v>405</v>
      </c>
      <c r="I74" s="1"/>
    </row>
    <row r="75" ht="15" customHeight="1">
      <c r="A75" s="1"/>
      <c r="B75" s="46" t="s">
        <v>63</v>
      </c>
      <c r="C75" s="20" t="str">
        <f t="shared" si="3"/>
        <v>n.a.</v>
      </c>
      <c r="D75" s="20">
        <f t="shared" si="3"/>
        <v>0.06830601092896171</v>
      </c>
      <c r="E75" s="20">
        <f t="shared" si="3"/>
        <v>0.0400276052449966</v>
      </c>
      <c r="F75" s="20">
        <f t="shared" si="3"/>
        <v>0.13731343283582098</v>
      </c>
      <c r="G75" s="20">
        <f t="shared" si="3"/>
        <v>0.10372340425531923</v>
      </c>
      <c r="H75" s="38">
        <f t="shared" si="3"/>
        <v>0.07403683406315209</v>
      </c>
      <c r="I75" s="1"/>
    </row>
    <row r="76" ht="15" customHeight="1">
      <c r="A76" s="1"/>
      <c r="B76" s="62" t="s">
        <v>77</v>
      </c>
      <c r="C76" s="19">
        <f t="shared" si="27"/>
        <v>29</v>
      </c>
      <c r="D76" s="19">
        <f t="shared" si="4"/>
        <v>-14</v>
      </c>
      <c r="E76" s="19"/>
      <c r="F76" s="19">
        <f t="shared" si="11"/>
        <v>-10</v>
      </c>
      <c r="G76" s="19">
        <f t="shared" si="4"/>
        <v>34</v>
      </c>
      <c r="H76" s="43">
        <f t="shared" si="4"/>
        <v>19.98491779557662</v>
      </c>
      <c r="I76" s="1"/>
    </row>
    <row r="77" ht="15" customHeight="1">
      <c r="A77" s="1"/>
      <c r="B77" s="46" t="s">
        <v>74</v>
      </c>
      <c r="C77" s="20" t="s">
        <v>39</v>
      </c>
      <c r="D77" s="20" t="s">
        <v>39</v>
      </c>
      <c r="E77" s="20" t="s">
        <v>39</v>
      </c>
      <c r="F77" s="20" t="s">
        <v>39</v>
      </c>
      <c r="G77" s="20" t="s">
        <v>39</v>
      </c>
      <c r="H77" s="38" t="s">
        <v>39</v>
      </c>
      <c r="I77" s="1"/>
    </row>
    <row r="78" ht="15" customHeight="1">
      <c r="A78" s="1"/>
      <c r="B78" s="1" t="s">
        <v>152</v>
      </c>
      <c r="C78" s="18">
        <f>E78-D78-Inputs!$D$148</f>
        <v>1119</v>
      </c>
      <c r="D78" s="42">
        <v>1220</v>
      </c>
      <c r="E78" s="42">
        <v>4348</v>
      </c>
      <c r="F78" s="42">
        <v>1099</v>
      </c>
      <c r="G78" s="42">
        <v>1316</v>
      </c>
      <c r="H78" s="43">
        <f>H95-H55-H61</f>
        <v>1379.373859804769</v>
      </c>
      <c r="I78" s="22" t="s">
        <v>153</v>
      </c>
    </row>
    <row r="79" ht="15" customHeight="1">
      <c r="A79" s="1"/>
      <c r="B79" s="41" t="s">
        <v>73</v>
      </c>
      <c r="C79" s="19" t="s">
        <v>39</v>
      </c>
      <c r="D79" s="42">
        <v>1117</v>
      </c>
      <c r="E79" s="42">
        <v>4047</v>
      </c>
      <c r="F79" s="42">
        <v>935</v>
      </c>
      <c r="G79" s="42">
        <v>1074</v>
      </c>
      <c r="H79" s="43">
        <f t="shared" si="10"/>
        <v>1119</v>
      </c>
      <c r="I79" s="1"/>
    </row>
    <row r="80" ht="15" customHeight="1">
      <c r="A80" s="1"/>
      <c r="B80" s="35" t="s">
        <v>63</v>
      </c>
      <c r="C80" s="20" t="str">
        <f t="shared" si="3"/>
        <v>n.a.</v>
      </c>
      <c r="D80" s="20">
        <f t="shared" si="3"/>
        <v>0.09221128021486114</v>
      </c>
      <c r="E80" s="20">
        <f t="shared" si="3"/>
        <v>0.07437608104768967</v>
      </c>
      <c r="F80" s="20">
        <f t="shared" si="3"/>
        <v>0.17540106951871648</v>
      </c>
      <c r="G80" s="20">
        <f t="shared" si="3"/>
        <v>0.22532588454376157</v>
      </c>
      <c r="H80" s="38">
        <f t="shared" si="3"/>
        <v>0.23268441448147348</v>
      </c>
      <c r="I80" s="1"/>
    </row>
    <row r="81" ht="15" customHeight="1">
      <c r="A81" s="1"/>
      <c r="B81" s="41" t="s">
        <v>77</v>
      </c>
      <c r="C81" s="19">
        <f t="shared" si="27"/>
        <v>45</v>
      </c>
      <c r="D81" s="19">
        <f t="shared" si="4"/>
        <v>101</v>
      </c>
      <c r="E81" s="19"/>
      <c r="F81" s="19">
        <f t="shared" si="11"/>
        <v>-121</v>
      </c>
      <c r="G81" s="19">
        <f t="shared" si="4"/>
        <v>217</v>
      </c>
      <c r="H81" s="43">
        <f t="shared" si="4"/>
        <v>63.37385980476893</v>
      </c>
      <c r="I81" s="1"/>
    </row>
    <row r="82" ht="15" customHeight="1">
      <c r="A82" s="1"/>
      <c r="B82" s="35" t="s">
        <v>147</v>
      </c>
      <c r="C82" s="20">
        <f t="shared" si="33" ref="C82:H82">IF(AND(ISNUMBER(C78),ISNUMBER(C95)),IF(C95=0,"n.m.",C78/C95),"n.a.")</f>
        <v>0.25248194945848373</v>
      </c>
      <c r="D82" s="20">
        <f t="shared" si="33"/>
        <v>0.2646420824295011</v>
      </c>
      <c r="E82" s="20">
        <f t="shared" si="33"/>
        <v>0.2544624568385322</v>
      </c>
      <c r="F82" s="20">
        <f t="shared" si="33"/>
        <v>0.24159155858430426</v>
      </c>
      <c r="G82" s="20">
        <f t="shared" si="33"/>
        <v>0.25748385834474663</v>
      </c>
      <c r="H82" s="38">
        <f t="shared" si="33"/>
        <v>0.25748385834474663</v>
      </c>
      <c r="I82" s="1"/>
    </row>
    <row r="83" ht="15" customHeight="1">
      <c r="A83" s="1"/>
      <c r="B83" s="35" t="s">
        <v>74</v>
      </c>
      <c r="C83" s="20" t="s">
        <v>39</v>
      </c>
      <c r="D83" s="20" t="s">
        <v>39</v>
      </c>
      <c r="E83" s="20" t="s">
        <v>39</v>
      </c>
      <c r="F83" s="20" t="s">
        <v>39</v>
      </c>
      <c r="G83" s="20" t="s">
        <v>39</v>
      </c>
      <c r="H83" s="38" t="s">
        <v>39</v>
      </c>
      <c r="I83" s="1"/>
    </row>
    <row r="84" ht="15" customHeight="1">
      <c r="A84" s="1"/>
      <c r="B84" s="41" t="s">
        <v>154</v>
      </c>
      <c r="C84" s="18">
        <f>E84-D84-Inputs!$D$149</f>
        <v>478</v>
      </c>
      <c r="D84" s="42">
        <v>449</v>
      </c>
      <c r="E84" s="42">
        <v>1793</v>
      </c>
      <c r="F84" s="42">
        <v>470</v>
      </c>
      <c r="G84" s="42">
        <v>529</v>
      </c>
      <c r="H84" s="43">
        <f t="shared" si="34"/>
        <v>554.4747506358076</v>
      </c>
      <c r="I84" s="22" t="s">
        <v>146</v>
      </c>
    </row>
    <row r="85" ht="15" customHeight="1">
      <c r="A85" s="1"/>
      <c r="B85" s="62" t="s">
        <v>73</v>
      </c>
      <c r="C85" s="19" t="s">
        <v>39</v>
      </c>
      <c r="D85" s="42">
        <v>440</v>
      </c>
      <c r="E85" s="42">
        <v>1777</v>
      </c>
      <c r="F85" s="42">
        <v>408</v>
      </c>
      <c r="G85" s="42">
        <v>458</v>
      </c>
      <c r="H85" s="43">
        <f t="shared" si="10"/>
        <v>478</v>
      </c>
      <c r="I85" s="1"/>
    </row>
    <row r="86" ht="15" customHeight="1">
      <c r="A86" s="1"/>
      <c r="B86" s="46" t="s">
        <v>63</v>
      </c>
      <c r="C86" s="20" t="str">
        <f t="shared" si="3"/>
        <v>n.a.</v>
      </c>
      <c r="D86" s="20">
        <f t="shared" si="3"/>
        <v>0.020454545454545503</v>
      </c>
      <c r="E86" s="20">
        <f t="shared" si="3"/>
        <v>0.009003939223410251</v>
      </c>
      <c r="F86" s="20">
        <f t="shared" si="3"/>
        <v>0.1519607843137254</v>
      </c>
      <c r="G86" s="20">
        <f t="shared" si="3"/>
        <v>0.15502183406113534</v>
      </c>
      <c r="H86" s="38">
        <f t="shared" si="3"/>
        <v>0.1599890180665431</v>
      </c>
      <c r="I86" s="1"/>
    </row>
    <row r="87" ht="15" customHeight="1">
      <c r="A87" s="1"/>
      <c r="B87" s="62" t="s">
        <v>77</v>
      </c>
      <c r="C87" s="19">
        <f t="shared" si="27"/>
        <v>20</v>
      </c>
      <c r="D87" s="19">
        <f t="shared" si="4"/>
        <v>-29</v>
      </c>
      <c r="E87" s="19"/>
      <c r="F87" s="19">
        <f t="shared" si="11"/>
        <v>21</v>
      </c>
      <c r="G87" s="19">
        <f t="shared" si="4"/>
        <v>59</v>
      </c>
      <c r="H87" s="43">
        <f t="shared" si="4"/>
        <v>25.474750635807595</v>
      </c>
      <c r="I87" s="1"/>
    </row>
    <row r="88" ht="15" customHeight="1">
      <c r="A88" s="1"/>
      <c r="B88" s="46" t="s">
        <v>147</v>
      </c>
      <c r="C88" s="20">
        <f t="shared" si="35" ref="C88:H88">IF(AND(ISNUMBER(C84),ISNUMBER(C95)),IF(C95=0,"n.m.",C84/C95),"n.a.")</f>
        <v>0.1078519855595668</v>
      </c>
      <c r="D88" s="20">
        <f t="shared" si="35"/>
        <v>0.09739696312364425</v>
      </c>
      <c r="E88" s="20">
        <f t="shared" si="35"/>
        <v>0.104933575232633</v>
      </c>
      <c r="F88" s="20">
        <f t="shared" si="35"/>
        <v>0.10331941085952957</v>
      </c>
      <c r="G88" s="20">
        <f t="shared" si="35"/>
        <v>0.10350225004891411</v>
      </c>
      <c r="H88" s="38">
        <f t="shared" si="35"/>
        <v>0.1035022500489141</v>
      </c>
      <c r="I88" s="1"/>
    </row>
    <row r="89" ht="15" customHeight="1">
      <c r="A89" s="1"/>
      <c r="B89" s="46" t="s">
        <v>74</v>
      </c>
      <c r="C89" s="20" t="s">
        <v>39</v>
      </c>
      <c r="D89" s="20" t="s">
        <v>39</v>
      </c>
      <c r="E89" s="20" t="s">
        <v>39</v>
      </c>
      <c r="F89" s="20" t="s">
        <v>39</v>
      </c>
      <c r="G89" s="20" t="s">
        <v>39</v>
      </c>
      <c r="H89" s="38" t="s">
        <v>39</v>
      </c>
      <c r="I89" s="1"/>
    </row>
    <row r="90" ht="15" customHeight="1">
      <c r="A90" s="1"/>
      <c r="B90" s="41" t="s">
        <v>155</v>
      </c>
      <c r="C90" s="19">
        <f t="shared" si="31"/>
        <v>641</v>
      </c>
      <c r="D90" s="19">
        <f t="shared" si="31"/>
        <v>771</v>
      </c>
      <c r="E90" s="19">
        <f t="shared" si="31"/>
        <v>2555</v>
      </c>
      <c r="F90" s="19">
        <f t="shared" si="31"/>
        <v>629</v>
      </c>
      <c r="G90" s="19">
        <f t="shared" si="31"/>
        <v>787</v>
      </c>
      <c r="H90" s="43">
        <f t="shared" si="31"/>
        <v>824.8991091689613</v>
      </c>
      <c r="I90" s="1"/>
    </row>
    <row r="91" ht="15" customHeight="1">
      <c r="A91" s="1"/>
      <c r="B91" s="62" t="s">
        <v>151</v>
      </c>
      <c r="C91" s="19" t="str">
        <f t="shared" si="32"/>
        <v>n.a.</v>
      </c>
      <c r="D91" s="19">
        <f t="shared" si="32"/>
        <v>677</v>
      </c>
      <c r="E91" s="19">
        <f t="shared" si="32"/>
        <v>2270</v>
      </c>
      <c r="F91" s="19">
        <f t="shared" si="32"/>
        <v>527</v>
      </c>
      <c r="G91" s="19">
        <f t="shared" si="32"/>
        <v>616</v>
      </c>
      <c r="H91" s="43">
        <f t="shared" si="32"/>
        <v>641</v>
      </c>
      <c r="I91" s="1"/>
    </row>
    <row r="92" ht="15" customHeight="1">
      <c r="A92" s="1"/>
      <c r="B92" s="46" t="s">
        <v>63</v>
      </c>
      <c r="C92" s="20" t="str">
        <f t="shared" si="3"/>
        <v>n.a.</v>
      </c>
      <c r="D92" s="20">
        <f t="shared" si="3"/>
        <v>0.138847858197932</v>
      </c>
      <c r="E92" s="20">
        <f t="shared" si="3"/>
        <v>0.12555066079295152</v>
      </c>
      <c r="F92" s="20">
        <f t="shared" si="3"/>
        <v>0.19354838709677424</v>
      </c>
      <c r="G92" s="20">
        <f t="shared" si="3"/>
        <v>0.2775974025974026</v>
      </c>
      <c r="H92" s="38">
        <f t="shared" si="3"/>
        <v>0.2868940860670224</v>
      </c>
      <c r="I92" s="1"/>
    </row>
    <row r="93" ht="15" customHeight="1">
      <c r="A93" s="1"/>
      <c r="B93" s="62" t="s">
        <v>77</v>
      </c>
      <c r="C93" s="19">
        <f t="shared" si="27"/>
        <v>25</v>
      </c>
      <c r="D93" s="19">
        <f t="shared" si="4"/>
        <v>130</v>
      </c>
      <c r="E93" s="19"/>
      <c r="F93" s="19">
        <f t="shared" si="11"/>
        <v>-142</v>
      </c>
      <c r="G93" s="19">
        <f t="shared" si="4"/>
        <v>158</v>
      </c>
      <c r="H93" s="43">
        <f t="shared" si="4"/>
        <v>37.89910916896133</v>
      </c>
      <c r="I93" s="1"/>
    </row>
    <row r="94" ht="15" customHeight="1">
      <c r="A94" s="1"/>
      <c r="B94" s="46" t="s">
        <v>74</v>
      </c>
      <c r="C94" s="20" t="s">
        <v>39</v>
      </c>
      <c r="D94" s="20" t="s">
        <v>39</v>
      </c>
      <c r="E94" s="20" t="s">
        <v>39</v>
      </c>
      <c r="F94" s="20" t="s">
        <v>39</v>
      </c>
      <c r="G94" s="20" t="s">
        <v>39</v>
      </c>
      <c r="H94" s="38" t="s">
        <v>39</v>
      </c>
      <c r="I94" s="1"/>
    </row>
    <row r="95" ht="15" customHeight="1">
      <c r="A95" s="1"/>
      <c r="B95" s="4" t="s">
        <v>156</v>
      </c>
      <c r="C95" s="49">
        <f t="shared" si="36" ref="C95:G95">C55+C61+C78</f>
        <v>4432</v>
      </c>
      <c r="D95" s="49">
        <f t="shared" si="36"/>
        <v>4610</v>
      </c>
      <c r="E95" s="49">
        <f t="shared" si="36"/>
        <v>17087</v>
      </c>
      <c r="F95" s="49">
        <f t="shared" si="36"/>
        <v>4549</v>
      </c>
      <c r="G95" s="49">
        <f t="shared" si="36"/>
        <v>5111</v>
      </c>
      <c r="H95" s="50">
        <f>H36-H115</f>
        <v>5357.127505670345</v>
      </c>
      <c r="I95" s="22" t="s">
        <v>157</v>
      </c>
    </row>
    <row r="96" ht="15" customHeight="1">
      <c r="A96" s="1"/>
      <c r="B96" s="41" t="s">
        <v>158</v>
      </c>
      <c r="C96" s="19" t="str">
        <f t="shared" si="37" ref="C96:H96">IF(COUNT(C56,C62,C79)=3,C56+C62+C79,"n.a.")</f>
        <v>n.a.</v>
      </c>
      <c r="D96" s="19">
        <f t="shared" si="37"/>
        <v>3983</v>
      </c>
      <c r="E96" s="19">
        <f t="shared" si="37"/>
        <v>15190</v>
      </c>
      <c r="F96" s="19">
        <f t="shared" si="37"/>
        <v>3781</v>
      </c>
      <c r="G96" s="19">
        <f t="shared" si="37"/>
        <v>4264</v>
      </c>
      <c r="H96" s="43">
        <f t="shared" si="37"/>
        <v>4432</v>
      </c>
      <c r="I96" s="1"/>
    </row>
    <row r="97" ht="15" customHeight="1">
      <c r="A97" s="1"/>
      <c r="B97" s="35" t="s">
        <v>63</v>
      </c>
      <c r="C97" s="20" t="str">
        <f t="shared" si="3"/>
        <v>n.a.</v>
      </c>
      <c r="D97" s="20">
        <f t="shared" si="3"/>
        <v>0.15741903088124531</v>
      </c>
      <c r="E97" s="20">
        <f t="shared" si="3"/>
        <v>0.12488479262672803</v>
      </c>
      <c r="F97" s="20">
        <f t="shared" si="3"/>
        <v>0.2031208674953715</v>
      </c>
      <c r="G97" s="20">
        <f t="shared" si="3"/>
        <v>0.19863977485928697</v>
      </c>
      <c r="H97" s="38">
        <f t="shared" si="3"/>
        <v>0.20873815561153997</v>
      </c>
      <c r="I97" s="1"/>
    </row>
    <row r="98" ht="15" customHeight="1">
      <c r="A98" s="1"/>
      <c r="B98" s="41" t="s">
        <v>77</v>
      </c>
      <c r="C98" s="19">
        <f t="shared" si="27"/>
        <v>168</v>
      </c>
      <c r="D98" s="19">
        <f t="shared" si="4"/>
        <v>178</v>
      </c>
      <c r="E98" s="19"/>
      <c r="F98" s="19">
        <f t="shared" si="11"/>
        <v>-61</v>
      </c>
      <c r="G98" s="19">
        <f t="shared" si="4"/>
        <v>562</v>
      </c>
      <c r="H98" s="43">
        <f t="shared" si="4"/>
        <v>246.12750567034527</v>
      </c>
      <c r="I98" s="1"/>
    </row>
    <row r="99" ht="15" customHeight="1">
      <c r="A99" s="1"/>
      <c r="B99" s="35" t="s">
        <v>74</v>
      </c>
      <c r="C99" s="20" t="s">
        <v>39</v>
      </c>
      <c r="D99" s="20" t="s">
        <v>39</v>
      </c>
      <c r="E99" s="20" t="s">
        <v>39</v>
      </c>
      <c r="F99" s="20" t="s">
        <v>39</v>
      </c>
      <c r="G99" s="20" t="s">
        <v>39</v>
      </c>
      <c r="H99" s="38" t="s">
        <v>39</v>
      </c>
      <c r="I99" s="1"/>
    </row>
    <row r="100" ht="15" customHeight="1">
      <c r="A100" s="1"/>
      <c r="B100" s="1"/>
      <c r="C100" s="1"/>
      <c r="D100" s="1"/>
      <c r="E100" s="1"/>
      <c r="F100" s="1"/>
      <c r="G100" s="1"/>
      <c r="H100" s="32"/>
      <c r="I100" s="1"/>
    </row>
    <row r="101" ht="15" customHeight="1">
      <c r="A101" s="1"/>
      <c r="B101" s="4" t="s">
        <v>159</v>
      </c>
      <c r="C101" s="1"/>
      <c r="D101" s="1"/>
      <c r="E101" s="1"/>
      <c r="F101" s="1"/>
      <c r="G101" s="1"/>
      <c r="H101" s="32"/>
      <c r="I101" s="1"/>
    </row>
    <row r="102" ht="15" customHeight="1">
      <c r="A102" s="1"/>
      <c r="B102" s="1" t="s">
        <v>160</v>
      </c>
      <c r="C102" s="18">
        <f>E102-D102-Inputs!$D$150</f>
        <v>4119</v>
      </c>
      <c r="D102" s="42">
        <v>4238</v>
      </c>
      <c r="E102" s="42">
        <v>15838</v>
      </c>
      <c r="F102" s="42">
        <v>4260</v>
      </c>
      <c r="G102" s="42">
        <v>4774</v>
      </c>
      <c r="H102" s="43">
        <f>H95*G102/G95</f>
        <v>5003.8987892917685</v>
      </c>
      <c r="I102" s="1"/>
    </row>
    <row r="103" ht="15" customHeight="1">
      <c r="A103" s="1"/>
      <c r="B103" s="41" t="s">
        <v>73</v>
      </c>
      <c r="C103" s="19" t="s">
        <v>39</v>
      </c>
      <c r="D103" s="42">
        <v>3685</v>
      </c>
      <c r="E103" s="42">
        <v>14129</v>
      </c>
      <c r="F103" s="42">
        <v>3522</v>
      </c>
      <c r="G103" s="42">
        <v>3959</v>
      </c>
      <c r="H103" s="43">
        <f t="shared" si="10"/>
        <v>4119</v>
      </c>
      <c r="I103" s="1"/>
    </row>
    <row r="104" ht="15" customHeight="1">
      <c r="A104" s="1"/>
      <c r="B104" s="35" t="s">
        <v>63</v>
      </c>
      <c r="C104" s="20" t="str">
        <f t="shared" si="3"/>
        <v>n.a.</v>
      </c>
      <c r="D104" s="20">
        <f t="shared" si="3"/>
        <v>0.15006784260515604</v>
      </c>
      <c r="E104" s="20">
        <f t="shared" si="3"/>
        <v>0.12095689716186575</v>
      </c>
      <c r="F104" s="20">
        <f t="shared" si="3"/>
        <v>0.2095400340715503</v>
      </c>
      <c r="G104" s="20">
        <f t="shared" si="3"/>
        <v>0.20586006567314974</v>
      </c>
      <c r="H104" s="38">
        <f t="shared" si="3"/>
        <v>0.2148334035668289</v>
      </c>
      <c r="I104" s="1"/>
    </row>
    <row r="105" ht="15" customHeight="1">
      <c r="A105" s="1"/>
      <c r="B105" s="41" t="s">
        <v>77</v>
      </c>
      <c r="C105" s="19">
        <f t="shared" si="27"/>
        <v>160</v>
      </c>
      <c r="D105" s="19">
        <f t="shared" si="4"/>
        <v>119</v>
      </c>
      <c r="E105" s="19"/>
      <c r="F105" s="19">
        <f t="shared" si="11"/>
        <v>22</v>
      </c>
      <c r="G105" s="19">
        <f t="shared" si="4"/>
        <v>514</v>
      </c>
      <c r="H105" s="43">
        <f t="shared" si="4"/>
        <v>229.89878929176848</v>
      </c>
      <c r="I105" s="1"/>
    </row>
    <row r="106" ht="15" customHeight="1">
      <c r="A106" s="1"/>
      <c r="B106" s="35" t="s">
        <v>147</v>
      </c>
      <c r="C106" s="20">
        <f t="shared" si="38" ref="C106:H106">IF(AND(ISNUMBER(C102),ISNUMBER(C95)),IF(C95=0,"n.m.",C102/C95),"n.a.")</f>
        <v>0.9293772563176895</v>
      </c>
      <c r="D106" s="20">
        <f t="shared" si="38"/>
        <v>0.9193058568329718</v>
      </c>
      <c r="E106" s="20">
        <f t="shared" si="38"/>
        <v>0.9269034938842394</v>
      </c>
      <c r="F106" s="20">
        <f t="shared" si="38"/>
        <v>0.9364695537480765</v>
      </c>
      <c r="G106" s="20">
        <f t="shared" si="38"/>
        <v>0.9340637839953042</v>
      </c>
      <c r="H106" s="38">
        <f t="shared" si="38"/>
        <v>0.9340637839953042</v>
      </c>
      <c r="I106" s="1"/>
    </row>
    <row r="107" ht="15" customHeight="1">
      <c r="A107" s="1"/>
      <c r="B107" s="35" t="s">
        <v>74</v>
      </c>
      <c r="C107" s="20" t="s">
        <v>39</v>
      </c>
      <c r="D107" s="20" t="s">
        <v>39</v>
      </c>
      <c r="E107" s="20" t="s">
        <v>39</v>
      </c>
      <c r="F107" s="20" t="s">
        <v>39</v>
      </c>
      <c r="G107" s="20" t="s">
        <v>39</v>
      </c>
      <c r="H107" s="38" t="s">
        <v>39</v>
      </c>
      <c r="I107" s="1"/>
    </row>
    <row r="108" ht="15" customHeight="1">
      <c r="A108" s="1"/>
      <c r="B108" s="1" t="s">
        <v>161</v>
      </c>
      <c r="C108" s="18">
        <f>E108-D108-Inputs!$D$151</f>
        <v>313</v>
      </c>
      <c r="D108" s="42">
        <v>372</v>
      </c>
      <c r="E108" s="42">
        <v>1249</v>
      </c>
      <c r="F108" s="42">
        <v>289</v>
      </c>
      <c r="G108" s="42">
        <v>337</v>
      </c>
      <c r="H108" s="43">
        <f>H95-H102</f>
        <v>353.2287163785768</v>
      </c>
      <c r="I108" s="1"/>
    </row>
    <row r="109" ht="15" customHeight="1">
      <c r="A109" s="1"/>
      <c r="B109" s="41" t="s">
        <v>73</v>
      </c>
      <c r="C109" s="19" t="s">
        <v>39</v>
      </c>
      <c r="D109" s="42">
        <v>298</v>
      </c>
      <c r="E109" s="42">
        <v>1061</v>
      </c>
      <c r="F109" s="42">
        <v>259</v>
      </c>
      <c r="G109" s="42">
        <v>305</v>
      </c>
      <c r="H109" s="43">
        <f t="shared" si="10"/>
        <v>313</v>
      </c>
      <c r="I109" s="1"/>
    </row>
    <row r="110" ht="15" customHeight="1">
      <c r="A110" s="1"/>
      <c r="B110" s="35" t="s">
        <v>63</v>
      </c>
      <c r="C110" s="20" t="str">
        <f t="shared" si="3"/>
        <v>n.a.</v>
      </c>
      <c r="D110" s="20">
        <f t="shared" si="3"/>
        <v>0.24832214765100669</v>
      </c>
      <c r="E110" s="20">
        <f t="shared" si="3"/>
        <v>0.17719132893496692</v>
      </c>
      <c r="F110" s="20">
        <f t="shared" si="3"/>
        <v>0.11583011583011582</v>
      </c>
      <c r="G110" s="20">
        <f t="shared" si="3"/>
        <v>0.10491803278688527</v>
      </c>
      <c r="H110" s="38">
        <f t="shared" si="3"/>
        <v>0.12852625041078847</v>
      </c>
      <c r="I110" s="1"/>
    </row>
    <row r="111" ht="15" customHeight="1">
      <c r="A111" s="1"/>
      <c r="B111" s="41" t="s">
        <v>77</v>
      </c>
      <c r="C111" s="19">
        <f t="shared" si="27"/>
        <v>8</v>
      </c>
      <c r="D111" s="19">
        <f t="shared" si="4"/>
        <v>59</v>
      </c>
      <c r="E111" s="19"/>
      <c r="F111" s="19">
        <f t="shared" si="11"/>
        <v>-83</v>
      </c>
      <c r="G111" s="19">
        <f t="shared" si="4"/>
        <v>48</v>
      </c>
      <c r="H111" s="43">
        <f t="shared" si="4"/>
        <v>16.22871637857679</v>
      </c>
      <c r="I111" s="1"/>
    </row>
    <row r="112" ht="15" customHeight="1">
      <c r="A112" s="1"/>
      <c r="B112" s="35" t="s">
        <v>147</v>
      </c>
      <c r="C112" s="20">
        <f t="shared" si="39" ref="C112:H112">IF(AND(ISNUMBER(C108),ISNUMBER(C95)),IF(C95=0,"n.m.",C108/C95),"n.a.")</f>
        <v>0.07062274368231047</v>
      </c>
      <c r="D112" s="20">
        <f t="shared" si="39"/>
        <v>0.08069414316702819</v>
      </c>
      <c r="E112" s="20">
        <f t="shared" si="39"/>
        <v>0.07309650611576052</v>
      </c>
      <c r="F112" s="20">
        <f t="shared" si="39"/>
        <v>0.0635304462519235</v>
      </c>
      <c r="G112" s="20">
        <f t="shared" si="39"/>
        <v>0.06593621600469575</v>
      </c>
      <c r="H112" s="38">
        <f t="shared" si="39"/>
        <v>0.06593621600469574</v>
      </c>
      <c r="I112" s="1"/>
    </row>
    <row r="113" ht="15" customHeight="1">
      <c r="A113" s="1"/>
      <c r="B113" s="35" t="s">
        <v>74</v>
      </c>
      <c r="C113" s="20" t="s">
        <v>39</v>
      </c>
      <c r="D113" s="20" t="s">
        <v>39</v>
      </c>
      <c r="E113" s="20" t="s">
        <v>39</v>
      </c>
      <c r="F113" s="20" t="s">
        <v>39</v>
      </c>
      <c r="G113" s="20" t="s">
        <v>39</v>
      </c>
      <c r="H113" s="38" t="s">
        <v>39</v>
      </c>
      <c r="I113" s="1"/>
    </row>
    <row r="114" ht="15" customHeight="1">
      <c r="A114" s="1"/>
      <c r="B114" s="4" t="s">
        <v>162</v>
      </c>
      <c r="C114" s="49">
        <f t="shared" si="40" ref="C114:H114">C102+C108</f>
        <v>4432</v>
      </c>
      <c r="D114" s="49">
        <f t="shared" si="40"/>
        <v>4610</v>
      </c>
      <c r="E114" s="49">
        <f t="shared" si="40"/>
        <v>17087</v>
      </c>
      <c r="F114" s="49">
        <f t="shared" si="40"/>
        <v>4549</v>
      </c>
      <c r="G114" s="49">
        <f t="shared" si="40"/>
        <v>5111</v>
      </c>
      <c r="H114" s="50">
        <f t="shared" si="40"/>
        <v>5357.127505670345</v>
      </c>
      <c r="I114" s="1"/>
    </row>
    <row r="115" ht="15" customHeight="1">
      <c r="A115" s="1"/>
      <c r="B115" s="1" t="s">
        <v>163</v>
      </c>
      <c r="C115" s="18">
        <f>E115-D115-Inputs!$D$152</f>
        <v>67</v>
      </c>
      <c r="D115" s="42">
        <v>92</v>
      </c>
      <c r="E115" s="42">
        <v>270</v>
      </c>
      <c r="F115" s="42">
        <v>64</v>
      </c>
      <c r="G115" s="42">
        <v>89</v>
      </c>
      <c r="H115" s="43">
        <f>H36*G115/G36</f>
        <v>93.28592212965383</v>
      </c>
      <c r="I115" s="22" t="s">
        <v>164</v>
      </c>
    </row>
    <row r="116" ht="15" customHeight="1">
      <c r="A116" s="1"/>
      <c r="B116" s="35" t="s">
        <v>65</v>
      </c>
      <c r="C116" s="20">
        <f t="shared" si="41" ref="C116:H116">IF(AND(ISNUMBER(C115),ISNUMBER(C36)),IF(C36=0,"n.m.",C115/C36),"n.a.")</f>
        <v>0.014892198266281395</v>
      </c>
      <c r="D116" s="20">
        <f t="shared" si="41"/>
        <v>0.019566142067205444</v>
      </c>
      <c r="E116" s="20">
        <f t="shared" si="41"/>
        <v>0.015555683585873135</v>
      </c>
      <c r="F116" s="20">
        <f t="shared" si="41"/>
        <v>0.013873834814654238</v>
      </c>
      <c r="G116" s="20">
        <f t="shared" si="41"/>
        <v>0.017115384615384616</v>
      </c>
      <c r="H116" s="38">
        <f t="shared" si="41"/>
        <v>0.017115384615384616</v>
      </c>
      <c r="I116" s="1"/>
    </row>
    <row r="117" ht="15" customHeight="1">
      <c r="A117" s="1"/>
      <c r="B117" s="41" t="s">
        <v>73</v>
      </c>
      <c r="C117" s="19" t="s">
        <v>39</v>
      </c>
      <c r="D117" s="42">
        <v>63</v>
      </c>
      <c r="E117" s="42">
        <v>258</v>
      </c>
      <c r="F117" s="42">
        <v>44</v>
      </c>
      <c r="G117" s="42">
        <v>67</v>
      </c>
      <c r="H117" s="43">
        <f t="shared" si="52" ref="H117:H139">C115</f>
        <v>67</v>
      </c>
      <c r="I117" s="1"/>
    </row>
    <row r="118" ht="15" customHeight="1">
      <c r="A118" s="1"/>
      <c r="B118" s="35" t="s">
        <v>63</v>
      </c>
      <c r="C118" s="20" t="str">
        <f t="shared" si="42" ref="C118:H118">IF(AND(ISNUMBER(C115),ISNUMBER(C117)),IF(C117=0,"n.m.",C115/C117-1),"n.a.")</f>
        <v>n.a.</v>
      </c>
      <c r="D118" s="20">
        <f t="shared" si="42"/>
        <v>0.46031746031746024</v>
      </c>
      <c r="E118" s="20">
        <f t="shared" si="42"/>
        <v>0.04651162790697683</v>
      </c>
      <c r="F118" s="20">
        <f t="shared" si="42"/>
        <v>0.4545454545454546</v>
      </c>
      <c r="G118" s="20">
        <f t="shared" si="42"/>
        <v>0.32835820895522394</v>
      </c>
      <c r="H118" s="38">
        <f t="shared" si="42"/>
        <v>0.39232719596498256</v>
      </c>
      <c r="I118" s="1"/>
    </row>
    <row r="119" ht="15" customHeight="1">
      <c r="A119" s="1"/>
      <c r="B119" s="41" t="s">
        <v>77</v>
      </c>
      <c r="C119" s="19">
        <f>IF(AND(ISNUMBER(C115),ISNUMBER(G117)),(C115-G117),"n.a.")</f>
        <v>0</v>
      </c>
      <c r="D119" s="19">
        <f t="shared" si="43" ref="D119:H119">IF(AND(ISNUMBER(D115),ISNUMBER(C115)),(D115-C115),"n.a.")</f>
        <v>25</v>
      </c>
      <c r="E119" s="19"/>
      <c r="F119" s="19">
        <f>IF(AND(ISNUMBER(F115),ISNUMBER(D115)),(F115-D115),"n.a.")</f>
        <v>-28</v>
      </c>
      <c r="G119" s="19">
        <f t="shared" si="43"/>
        <v>25</v>
      </c>
      <c r="H119" s="43">
        <f t="shared" si="43"/>
        <v>4.285922129653827</v>
      </c>
      <c r="I119" s="1"/>
    </row>
    <row r="120" ht="15" customHeight="1">
      <c r="A120" s="1"/>
      <c r="B120" s="35" t="s">
        <v>74</v>
      </c>
      <c r="C120" s="20" t="s">
        <v>39</v>
      </c>
      <c r="D120" s="20" t="s">
        <v>39</v>
      </c>
      <c r="E120" s="20" t="s">
        <v>39</v>
      </c>
      <c r="F120" s="20" t="s">
        <v>39</v>
      </c>
      <c r="G120" s="20" t="s">
        <v>39</v>
      </c>
      <c r="H120" s="38" t="s">
        <v>39</v>
      </c>
      <c r="I120" s="1"/>
    </row>
    <row r="121" ht="15" customHeight="1">
      <c r="A121" s="1"/>
      <c r="B121" s="5" t="s">
        <v>165</v>
      </c>
      <c r="C121" s="63">
        <f t="shared" si="44" ref="C121:H121">C114-C95</f>
        <v>0</v>
      </c>
      <c r="D121" s="63">
        <f t="shared" si="44"/>
        <v>0</v>
      </c>
      <c r="E121" s="63">
        <f t="shared" si="44"/>
        <v>0</v>
      </c>
      <c r="F121" s="63">
        <f t="shared" si="44"/>
        <v>0</v>
      </c>
      <c r="G121" s="63">
        <f t="shared" si="44"/>
        <v>0</v>
      </c>
      <c r="H121" s="64">
        <f t="shared" si="44"/>
        <v>0</v>
      </c>
      <c r="I121" s="22" t="s">
        <v>166</v>
      </c>
    </row>
    <row r="122" ht="15" customHeight="1">
      <c r="A122" s="1"/>
      <c r="B122" s="65" t="s">
        <v>167</v>
      </c>
      <c r="C122" s="63">
        <f t="shared" si="45" ref="C122:H122">C95+C115-C36</f>
        <v>0</v>
      </c>
      <c r="D122" s="63">
        <f t="shared" si="45"/>
        <v>0</v>
      </c>
      <c r="E122" s="63">
        <f t="shared" si="45"/>
        <v>0</v>
      </c>
      <c r="F122" s="63">
        <f t="shared" si="45"/>
        <v>0</v>
      </c>
      <c r="G122" s="63">
        <f t="shared" si="45"/>
        <v>0</v>
      </c>
      <c r="H122" s="64">
        <f t="shared" si="45"/>
        <v>0</v>
      </c>
      <c r="I122" s="22" t="s">
        <v>168</v>
      </c>
    </row>
    <row r="123" ht="15" customHeight="1">
      <c r="A123" s="1"/>
      <c r="B123" s="1"/>
      <c r="C123" s="1"/>
      <c r="D123" s="1"/>
      <c r="E123" s="1"/>
      <c r="F123" s="1"/>
      <c r="G123" s="1"/>
      <c r="H123" s="32"/>
      <c r="I123" s="1"/>
    </row>
    <row r="124" ht="15" customHeight="1">
      <c r="A124" s="1"/>
      <c r="B124" s="4" t="s">
        <v>169</v>
      </c>
      <c r="C124" s="1"/>
      <c r="D124" s="1"/>
      <c r="E124" s="1"/>
      <c r="F124" s="1"/>
      <c r="G124" s="1"/>
      <c r="H124" s="32"/>
      <c r="I124" s="1"/>
    </row>
    <row r="125" ht="15" customHeight="1">
      <c r="A125" s="1"/>
      <c r="B125" s="1" t="s">
        <v>83</v>
      </c>
      <c r="C125" s="19">
        <f t="shared" si="46" ref="C125:H125">C36</f>
        <v>4499</v>
      </c>
      <c r="D125" s="19">
        <f t="shared" si="46"/>
        <v>4702</v>
      </c>
      <c r="E125" s="19">
        <f t="shared" si="46"/>
        <v>17357</v>
      </c>
      <c r="F125" s="19">
        <f t="shared" si="46"/>
        <v>4613</v>
      </c>
      <c r="G125" s="19">
        <f t="shared" si="46"/>
        <v>5200</v>
      </c>
      <c r="H125" s="43">
        <f t="shared" si="46"/>
        <v>5450.413427799999</v>
      </c>
      <c r="I125" s="1"/>
    </row>
    <row r="126" ht="15" customHeight="1">
      <c r="A126" s="1"/>
      <c r="B126" s="1" t="s">
        <v>170</v>
      </c>
      <c r="C126" s="18">
        <f>E126-D126-Inputs!$D$153</f>
        <v>-2587</v>
      </c>
      <c r="D126" s="42">
        <v>-2797</v>
      </c>
      <c r="E126" s="42">
        <v>-10054</v>
      </c>
      <c r="F126" s="42">
        <v>-2662</v>
      </c>
      <c r="G126" s="42">
        <v>-3025</v>
      </c>
      <c r="H126" s="43">
        <f>-H36*(1-H128)</f>
        <v>-3150.3389612684</v>
      </c>
      <c r="I126" s="1"/>
    </row>
    <row r="127" ht="15" customHeight="1">
      <c r="A127" s="1"/>
      <c r="B127" s="4" t="s">
        <v>171</v>
      </c>
      <c r="C127" s="49">
        <f t="shared" si="47" ref="C127:H127">C125+C126</f>
        <v>1912</v>
      </c>
      <c r="D127" s="49">
        <f t="shared" si="47"/>
        <v>1905</v>
      </c>
      <c r="E127" s="49">
        <f t="shared" si="47"/>
        <v>7303</v>
      </c>
      <c r="F127" s="49">
        <f t="shared" si="47"/>
        <v>1951</v>
      </c>
      <c r="G127" s="49">
        <f t="shared" si="47"/>
        <v>2175</v>
      </c>
      <c r="H127" s="50">
        <f t="shared" si="47"/>
        <v>2300.0744665315992</v>
      </c>
      <c r="I127" s="1"/>
    </row>
    <row r="128" ht="15" customHeight="1">
      <c r="A128" s="1"/>
      <c r="B128" s="35" t="s">
        <v>172</v>
      </c>
      <c r="C128" s="20">
        <f t="shared" si="48" ref="C128:G128">IF(AND(ISNUMBER(C127),ISNUMBER(C125)),IF(C125=0,"n.m.",C127/C125),"n.a.")</f>
        <v>0.4249833296288064</v>
      </c>
      <c r="D128" s="20">
        <f t="shared" si="48"/>
        <v>0.40514674606550405</v>
      </c>
      <c r="E128" s="20">
        <f t="shared" si="48"/>
        <v>0.42075243417641295</v>
      </c>
      <c r="F128" s="20">
        <f t="shared" si="48"/>
        <v>0.4229351831779753</v>
      </c>
      <c r="G128" s="20">
        <f t="shared" si="48"/>
        <v>0.4182692307692308</v>
      </c>
      <c r="H128" s="45">
        <v>0.422</v>
      </c>
      <c r="I128" s="22" t="s">
        <v>173</v>
      </c>
    </row>
    <row r="129" ht="15" customHeight="1">
      <c r="A129" s="1"/>
      <c r="B129" s="66" t="s">
        <v>174</v>
      </c>
      <c r="C129" s="19" t="s">
        <v>39</v>
      </c>
      <c r="D129" s="42">
        <v>-2444</v>
      </c>
      <c r="E129" s="42">
        <v>-9078</v>
      </c>
      <c r="F129" s="42">
        <v>-2189</v>
      </c>
      <c r="G129" s="42">
        <v>-2481</v>
      </c>
      <c r="H129" s="43">
        <f t="shared" si="61" ref="H129:H148">C126</f>
        <v>-2587</v>
      </c>
      <c r="I129" s="1"/>
    </row>
    <row r="130" ht="15" customHeight="1">
      <c r="A130" s="1"/>
      <c r="B130" s="46" t="s">
        <v>81</v>
      </c>
      <c r="C130" s="47" t="str">
        <f t="shared" si="49" ref="C130:H130">IF(COUNT(C128,C129,C37)=3,(C128-(1+C129/C37))*10000,"n.a.")</f>
        <v>n.a.</v>
      </c>
      <c r="D130" s="47">
        <f t="shared" si="49"/>
        <v>92.00132125810501</v>
      </c>
      <c r="E130" s="47">
        <f t="shared" si="49"/>
        <v>84.01320763673392</v>
      </c>
      <c r="F130" s="47">
        <f t="shared" si="49"/>
        <v>-47.772351226782476</v>
      </c>
      <c r="G130" s="47">
        <f t="shared" si="49"/>
        <v>-88.83851659769404</v>
      </c>
      <c r="H130" s="48">
        <f t="shared" si="49"/>
        <v>-29.83329628806375</v>
      </c>
      <c r="I130" s="1"/>
    </row>
    <row r="131" ht="15" customHeight="1">
      <c r="A131" s="1"/>
      <c r="B131" s="46" t="s">
        <v>82</v>
      </c>
      <c r="C131" s="47" t="s">
        <v>39</v>
      </c>
      <c r="D131" s="47">
        <f t="shared" si="50" ref="D131:H163">IF(AND(ISNUMBER(D128),ISNUMBER(C128)),(D128-C128)*10000,"n.a.")</f>
        <v>-198.3658356330237</v>
      </c>
      <c r="E131" s="47"/>
      <c r="F131" s="47">
        <f t="shared" si="54" ref="F131:F163">IF(AND(ISNUMBER(F128),ISNUMBER(D128)),(F128-D128)*10000,"n.a.")</f>
        <v>177.88437112471246</v>
      </c>
      <c r="G131" s="47">
        <f t="shared" si="50"/>
        <v>-46.659524087445114</v>
      </c>
      <c r="H131" s="48">
        <f t="shared" si="50"/>
        <v>37.307692307692044</v>
      </c>
      <c r="I131" s="1"/>
    </row>
    <row r="132" ht="15" customHeight="1">
      <c r="A132" s="1"/>
      <c r="B132" s="1" t="s">
        <v>175</v>
      </c>
      <c r="C132" s="18">
        <f>E132-D132-Inputs!$D$154</f>
        <v>-695</v>
      </c>
      <c r="D132" s="42">
        <v>-740</v>
      </c>
      <c r="E132" s="42">
        <v>-2793</v>
      </c>
      <c r="F132" s="42">
        <v>-741</v>
      </c>
      <c r="G132" s="42">
        <v>-765</v>
      </c>
      <c r="H132" s="43">
        <f>-H36*H133</f>
        <v>-795.7603604587998</v>
      </c>
      <c r="I132" s="1"/>
    </row>
    <row r="133" ht="15" customHeight="1">
      <c r="A133" s="1"/>
      <c r="B133" s="35" t="s">
        <v>65</v>
      </c>
      <c r="C133" s="20">
        <f t="shared" si="51" ref="C133:G133">IF(AND(ISNUMBER(-C132),ISNUMBER(C125)),IF(C125=0,"n.m.",-C132/C125),"n.a.")</f>
        <v>0.15447877306068014</v>
      </c>
      <c r="D133" s="20">
        <f t="shared" si="51"/>
        <v>0.15737983836665248</v>
      </c>
      <c r="E133" s="20">
        <f t="shared" si="51"/>
        <v>0.160914904649421</v>
      </c>
      <c r="F133" s="20">
        <f t="shared" si="51"/>
        <v>0.1606329937134186</v>
      </c>
      <c r="G133" s="20">
        <f t="shared" si="51"/>
        <v>0.14711538461538462</v>
      </c>
      <c r="H133" s="45">
        <v>0.146</v>
      </c>
      <c r="I133" s="1"/>
    </row>
    <row r="134" ht="15" customHeight="1">
      <c r="A134" s="1"/>
      <c r="B134" s="66" t="s">
        <v>176</v>
      </c>
      <c r="C134" s="19" t="s">
        <v>39</v>
      </c>
      <c r="D134" s="42">
        <v>-631</v>
      </c>
      <c r="E134" s="42">
        <v>-2462</v>
      </c>
      <c r="F134" s="42">
        <v>-650</v>
      </c>
      <c r="G134" s="42">
        <v>-708</v>
      </c>
      <c r="H134" s="43">
        <f t="shared" si="52"/>
        <v>-695</v>
      </c>
      <c r="I134" s="1"/>
    </row>
    <row r="135" ht="15" customHeight="1">
      <c r="A135" s="1"/>
      <c r="B135" s="46" t="s">
        <v>81</v>
      </c>
      <c r="C135" s="47" t="str">
        <f t="shared" si="53" ref="C135:H135">IF(COUNT(C133,C134,C37)=3,(C133-(-C134/C37))*10000,"n.a.")</f>
        <v>n.a.</v>
      </c>
      <c r="D135" s="47">
        <f t="shared" si="53"/>
        <v>14.233381194947992</v>
      </c>
      <c r="E135" s="47">
        <f t="shared" si="53"/>
        <v>15.415229818911968</v>
      </c>
      <c r="F135" s="47">
        <f t="shared" si="53"/>
        <v>-93.0164680945722</v>
      </c>
      <c r="G135" s="47">
        <f t="shared" si="53"/>
        <v>-163.57254497984113</v>
      </c>
      <c r="H135" s="48">
        <f t="shared" si="53"/>
        <v>-84.7877306068015</v>
      </c>
      <c r="I135" s="1"/>
    </row>
    <row r="136" ht="15" customHeight="1">
      <c r="A136" s="1"/>
      <c r="B136" s="46" t="s">
        <v>82</v>
      </c>
      <c r="C136" s="47" t="s">
        <v>39</v>
      </c>
      <c r="D136" s="47">
        <f t="shared" si="50"/>
        <v>29.01065305972339</v>
      </c>
      <c r="E136" s="47"/>
      <c r="F136" s="47">
        <f t="shared" si="54"/>
        <v>32.53155346766123</v>
      </c>
      <c r="G136" s="47">
        <f t="shared" si="50"/>
        <v>-135.17609098033984</v>
      </c>
      <c r="H136" s="48">
        <f t="shared" si="50"/>
        <v>-11.153846153846292</v>
      </c>
      <c r="I136" s="1"/>
    </row>
    <row r="137" ht="15" customHeight="1">
      <c r="A137" s="1"/>
      <c r="B137" s="1" t="s">
        <v>177</v>
      </c>
      <c r="C137" s="18">
        <f>E137-D137-Inputs!$D$155</f>
        <v>-121</v>
      </c>
      <c r="D137" s="42">
        <v>-143</v>
      </c>
      <c r="E137" s="42">
        <v>-487</v>
      </c>
      <c r="F137" s="42">
        <v>-122</v>
      </c>
      <c r="G137" s="42">
        <v>-142</v>
      </c>
      <c r="H137" s="43">
        <f>-H36*H138</f>
        <v>-149.8863692645</v>
      </c>
      <c r="I137" s="1"/>
    </row>
    <row r="138" ht="15" customHeight="1">
      <c r="A138" s="1"/>
      <c r="B138" s="35" t="s">
        <v>65</v>
      </c>
      <c r="C138" s="20">
        <f t="shared" si="55" ref="C138:G138">IF(AND(ISNUMBER(-C137),ISNUMBER(C125)),IF(C125=0,"n.m.",-C137/C125),"n.a.")</f>
        <v>0.02689486552567237</v>
      </c>
      <c r="D138" s="20">
        <f t="shared" si="55"/>
        <v>0.03041259038706933</v>
      </c>
      <c r="E138" s="20">
        <f t="shared" si="55"/>
        <v>0.028057844097482285</v>
      </c>
      <c r="F138" s="20">
        <f t="shared" si="55"/>
        <v>0.02644699761543464</v>
      </c>
      <c r="G138" s="20">
        <f t="shared" si="55"/>
        <v>0.027307692307692307</v>
      </c>
      <c r="H138" s="45">
        <v>0.0275</v>
      </c>
      <c r="I138" s="1"/>
    </row>
    <row r="139" ht="15" customHeight="1">
      <c r="A139" s="1"/>
      <c r="B139" s="66" t="s">
        <v>178</v>
      </c>
      <c r="C139" s="19" t="s">
        <v>39</v>
      </c>
      <c r="D139" s="42">
        <v>-124</v>
      </c>
      <c r="E139" s="42">
        <v>-436</v>
      </c>
      <c r="F139" s="42">
        <v>-105</v>
      </c>
      <c r="G139" s="42">
        <v>-118</v>
      </c>
      <c r="H139" s="43">
        <f t="shared" si="52"/>
        <v>-121</v>
      </c>
      <c r="I139" s="1"/>
    </row>
    <row r="140" ht="15" customHeight="1">
      <c r="A140" s="1"/>
      <c r="B140" s="46" t="s">
        <v>81</v>
      </c>
      <c r="C140" s="47" t="str">
        <f t="shared" si="56" ref="C140:H140">IF(COUNT(C138,C139,C37)=3,(C138-(-C139/C37))*10000,"n.a.")</f>
        <v>n.a.</v>
      </c>
      <c r="D140" s="47">
        <f t="shared" si="56"/>
        <v>-2.3496275183328836</v>
      </c>
      <c r="E140" s="47">
        <f t="shared" si="56"/>
        <v>-1.6587418320129776</v>
      </c>
      <c r="F140" s="47">
        <f t="shared" si="56"/>
        <v>-10.039827767222217</v>
      </c>
      <c r="G140" s="47">
        <f t="shared" si="56"/>
        <v>0.6225245546418595</v>
      </c>
      <c r="H140" s="48">
        <f t="shared" si="56"/>
        <v>6.051344743276295</v>
      </c>
      <c r="I140" s="1"/>
    </row>
    <row r="141" ht="15" customHeight="1">
      <c r="A141" s="1"/>
      <c r="B141" s="46" t="s">
        <v>82</v>
      </c>
      <c r="C141" s="47" t="s">
        <v>39</v>
      </c>
      <c r="D141" s="47">
        <f t="shared" si="50"/>
        <v>35.1772486139696</v>
      </c>
      <c r="E141" s="47"/>
      <c r="F141" s="47">
        <f t="shared" si="54"/>
        <v>-39.65592771634691</v>
      </c>
      <c r="G141" s="47">
        <f t="shared" si="50"/>
        <v>8.606946922576665</v>
      </c>
      <c r="H141" s="48">
        <f t="shared" si="50"/>
        <v>1.92307692307693</v>
      </c>
      <c r="I141" s="1"/>
    </row>
    <row r="142" ht="15" customHeight="1">
      <c r="A142" s="1"/>
      <c r="B142" s="1" t="s">
        <v>179</v>
      </c>
      <c r="C142" s="18">
        <f>E142-D142-Inputs!$D$156</f>
        <v>4</v>
      </c>
      <c r="D142" s="42">
        <v>40</v>
      </c>
      <c r="E142" s="42">
        <v>58</v>
      </c>
      <c r="F142" s="42">
        <v>17</v>
      </c>
      <c r="G142" s="42">
        <v>33</v>
      </c>
      <c r="H142" s="56">
        <v>20</v>
      </c>
      <c r="I142" s="1"/>
    </row>
    <row r="143" ht="15" customHeight="1">
      <c r="A143" s="1"/>
      <c r="B143" s="41" t="s">
        <v>107</v>
      </c>
      <c r="C143" s="19" t="s">
        <v>39</v>
      </c>
      <c r="D143" s="19" t="s">
        <v>39</v>
      </c>
      <c r="E143" s="19" t="s">
        <v>39</v>
      </c>
      <c r="F143" s="19" t="s">
        <v>39</v>
      </c>
      <c r="G143" s="19" t="s">
        <v>39</v>
      </c>
      <c r="H143" s="43">
        <f t="shared" si="57"/>
        <v>16</v>
      </c>
      <c r="I143" s="1"/>
    </row>
    <row r="144" ht="15" customHeight="1">
      <c r="A144" s="1"/>
      <c r="B144" s="41" t="s">
        <v>77</v>
      </c>
      <c r="C144" s="19" t="s">
        <v>39</v>
      </c>
      <c r="D144" s="19">
        <f t="shared" si="8"/>
        <v>36</v>
      </c>
      <c r="E144" s="19"/>
      <c r="F144" s="19">
        <f t="shared" si="58"/>
        <v>-23</v>
      </c>
      <c r="G144" s="19">
        <f t="shared" si="8"/>
        <v>16</v>
      </c>
      <c r="H144" s="43">
        <f t="shared" si="8"/>
        <v>-13</v>
      </c>
      <c r="I144" s="1"/>
    </row>
    <row r="145" ht="15" customHeight="1">
      <c r="A145" s="1"/>
      <c r="B145" s="4" t="s">
        <v>38</v>
      </c>
      <c r="C145" s="49">
        <f t="shared" si="59" ref="C145:H145">C127+C132+C137+C142</f>
        <v>1100</v>
      </c>
      <c r="D145" s="49">
        <f t="shared" si="59"/>
        <v>1062</v>
      </c>
      <c r="E145" s="49">
        <f t="shared" si="59"/>
        <v>4081</v>
      </c>
      <c r="F145" s="49">
        <f t="shared" si="59"/>
        <v>1105</v>
      </c>
      <c r="G145" s="49">
        <f t="shared" si="59"/>
        <v>1301</v>
      </c>
      <c r="H145" s="50">
        <f t="shared" si="59"/>
        <v>1374.4277368082994</v>
      </c>
      <c r="I145" s="1"/>
    </row>
    <row r="146" ht="15" customHeight="1">
      <c r="A146" s="1"/>
      <c r="B146" s="41" t="s">
        <v>180</v>
      </c>
      <c r="C146" s="18">
        <f>E146-D146-Inputs!$D$157</f>
        <v>1100</v>
      </c>
      <c r="D146" s="42">
        <v>1062</v>
      </c>
      <c r="E146" s="42">
        <v>4081</v>
      </c>
      <c r="F146" s="42">
        <v>1105</v>
      </c>
      <c r="G146" s="42">
        <v>1301</v>
      </c>
      <c r="H146" s="43" t="s">
        <v>39</v>
      </c>
      <c r="I146" s="1"/>
    </row>
    <row r="147" ht="15" customHeight="1">
      <c r="A147" s="1"/>
      <c r="B147" s="35" t="s">
        <v>181</v>
      </c>
      <c r="C147" s="63">
        <f t="shared" si="60" ref="C147:G147">C145-C146</f>
        <v>0</v>
      </c>
      <c r="D147" s="63">
        <f t="shared" si="60"/>
        <v>0</v>
      </c>
      <c r="E147" s="63">
        <f t="shared" si="60"/>
        <v>0</v>
      </c>
      <c r="F147" s="63">
        <f t="shared" si="60"/>
        <v>0</v>
      </c>
      <c r="G147" s="63">
        <f t="shared" si="60"/>
        <v>0</v>
      </c>
      <c r="H147" s="64" t="s">
        <v>39</v>
      </c>
      <c r="I147" s="1"/>
    </row>
    <row r="148" ht="15" customHeight="1">
      <c r="A148" s="1"/>
      <c r="B148" s="41" t="s">
        <v>182</v>
      </c>
      <c r="C148" s="42">
        <v>944</v>
      </c>
      <c r="D148" s="42">
        <v>863</v>
      </c>
      <c r="E148" s="42">
        <v>3520</v>
      </c>
      <c r="F148" s="42">
        <v>886</v>
      </c>
      <c r="G148" s="42">
        <v>1033</v>
      </c>
      <c r="H148" s="43">
        <f t="shared" si="61"/>
        <v>1100</v>
      </c>
      <c r="I148" s="1"/>
    </row>
    <row r="149" ht="15" customHeight="1">
      <c r="A149" s="1"/>
      <c r="B149" s="35" t="s">
        <v>63</v>
      </c>
      <c r="C149" s="20">
        <f t="shared" si="62" ref="C149:H149">IF(AND(ISNUMBER(C145),ISNUMBER(C148)),IF(C148=0,"n.m.",C145/C148-1),"n.a.")</f>
        <v>0.1652542372881356</v>
      </c>
      <c r="D149" s="20">
        <f t="shared" si="62"/>
        <v>0.23059096176129779</v>
      </c>
      <c r="E149" s="20">
        <f t="shared" si="62"/>
        <v>0.15937500000000004</v>
      </c>
      <c r="F149" s="20">
        <f t="shared" si="62"/>
        <v>0.24717832957110608</v>
      </c>
      <c r="G149" s="20">
        <f t="shared" si="62"/>
        <v>0.2594385285575993</v>
      </c>
      <c r="H149" s="38">
        <f t="shared" si="62"/>
        <v>0.2494797607348176</v>
      </c>
      <c r="I149" s="1"/>
    </row>
    <row r="150" ht="15" customHeight="1">
      <c r="A150" s="1"/>
      <c r="B150" s="41" t="s">
        <v>77</v>
      </c>
      <c r="C150" s="19">
        <f>IF(AND(ISNUMBER(C145),ISNUMBER(G148)),(C145-G148),"n.a.")</f>
        <v>67</v>
      </c>
      <c r="D150" s="19">
        <f t="shared" si="63" ref="D150:H150">IF(AND(ISNUMBER(D145),ISNUMBER(C145)),(D145-C145),"n.a.")</f>
        <v>-38</v>
      </c>
      <c r="E150" s="19"/>
      <c r="F150" s="19">
        <f>IF(AND(ISNUMBER(F145),ISNUMBER(D145)),(F145-D145),"n.a.")</f>
        <v>43</v>
      </c>
      <c r="G150" s="19">
        <f t="shared" si="63"/>
        <v>196</v>
      </c>
      <c r="H150" s="43">
        <f t="shared" si="63"/>
        <v>73.42773680829941</v>
      </c>
      <c r="I150" s="1"/>
    </row>
    <row r="151" ht="15" customHeight="1">
      <c r="A151" s="1"/>
      <c r="B151" s="35" t="s">
        <v>183</v>
      </c>
      <c r="C151" s="20">
        <f t="shared" si="64" ref="C151:H151">IF(AND(ISNUMBER(C145),ISNUMBER(C125)),IF(C125=0,"n.m.",C145/C125),"n.a.")</f>
        <v>0.24449877750611246</v>
      </c>
      <c r="D151" s="20">
        <f t="shared" si="64"/>
        <v>0.22586133560187155</v>
      </c>
      <c r="E151" s="20">
        <f t="shared" si="64"/>
        <v>0.2351212767183269</v>
      </c>
      <c r="F151" s="20">
        <f t="shared" si="64"/>
        <v>0.23954042922176458</v>
      </c>
      <c r="G151" s="20">
        <f t="shared" si="64"/>
        <v>0.2501923076923077</v>
      </c>
      <c r="H151" s="38">
        <f t="shared" si="64"/>
        <v>0.25216944641263156</v>
      </c>
      <c r="I151" s="1"/>
    </row>
    <row r="152" ht="15" customHeight="1">
      <c r="A152" s="1"/>
      <c r="B152" s="46" t="s">
        <v>81</v>
      </c>
      <c r="C152" s="47">
        <f t="shared" si="65" ref="C152:H152">IF(COUNT(C148,C37)=2,(C151-C148/C37)*10000,"n.a.")</f>
        <v>32.51652538057259</v>
      </c>
      <c r="D152" s="47">
        <f t="shared" si="65"/>
        <v>125.64252062573472</v>
      </c>
      <c r="E152" s="47">
        <f t="shared" si="65"/>
        <v>72.60064910973196</v>
      </c>
      <c r="F152" s="47">
        <f t="shared" si="65"/>
        <v>79.06442293659998</v>
      </c>
      <c r="G152" s="47">
        <f t="shared" si="65"/>
        <v>116.79262206276769</v>
      </c>
      <c r="H152" s="48">
        <f t="shared" si="65"/>
        <v>76.70668906519101</v>
      </c>
      <c r="I152" s="1"/>
    </row>
    <row r="153" ht="15" customHeight="1">
      <c r="A153" s="1"/>
      <c r="B153" s="46" t="s">
        <v>82</v>
      </c>
      <c r="C153" s="47" t="s">
        <v>39</v>
      </c>
      <c r="D153" s="47">
        <f t="shared" si="21"/>
        <v>-186.3744190424091</v>
      </c>
      <c r="E153" s="47"/>
      <c r="F153" s="47">
        <f t="shared" si="24"/>
        <v>136.7909361989303</v>
      </c>
      <c r="G153" s="47">
        <f t="shared" si="21"/>
        <v>106.51878470543136</v>
      </c>
      <c r="H153" s="48">
        <f t="shared" si="21"/>
        <v>19.771387203238454</v>
      </c>
      <c r="I153" s="1"/>
    </row>
    <row r="154" ht="15" customHeight="1">
      <c r="A154" s="1"/>
      <c r="B154" s="1" t="s">
        <v>184</v>
      </c>
      <c r="C154" s="18">
        <f>E154-D154-Inputs!$D$158</f>
        <v>-3</v>
      </c>
      <c r="D154" s="42">
        <v>1</v>
      </c>
      <c r="E154" s="42">
        <v>-15</v>
      </c>
      <c r="F154" s="42">
        <v>0</v>
      </c>
      <c r="G154" s="42">
        <v>23</v>
      </c>
      <c r="H154" s="56">
        <v>0</v>
      </c>
      <c r="I154" s="22" t="s">
        <v>185</v>
      </c>
    </row>
    <row r="155" ht="15" customHeight="1">
      <c r="A155" s="1"/>
      <c r="B155" s="41" t="s">
        <v>107</v>
      </c>
      <c r="C155" s="19" t="s">
        <v>39</v>
      </c>
      <c r="D155" s="19" t="s">
        <v>39</v>
      </c>
      <c r="E155" s="19" t="s">
        <v>39</v>
      </c>
      <c r="F155" s="19" t="s">
        <v>39</v>
      </c>
      <c r="G155" s="19" t="s">
        <v>39</v>
      </c>
      <c r="H155" s="43">
        <f t="shared" si="57"/>
        <v>3</v>
      </c>
      <c r="I155" s="1"/>
    </row>
    <row r="156" ht="15" customHeight="1">
      <c r="A156" s="1"/>
      <c r="B156" s="41" t="s">
        <v>77</v>
      </c>
      <c r="C156" s="19" t="s">
        <v>39</v>
      </c>
      <c r="D156" s="19">
        <f t="shared" si="8"/>
        <v>4</v>
      </c>
      <c r="E156" s="19"/>
      <c r="F156" s="19">
        <f t="shared" si="58"/>
        <v>-1</v>
      </c>
      <c r="G156" s="19">
        <f t="shared" si="8"/>
        <v>23</v>
      </c>
      <c r="H156" s="43">
        <f t="shared" si="8"/>
        <v>-23</v>
      </c>
      <c r="I156" s="1"/>
    </row>
    <row r="157" ht="15" customHeight="1">
      <c r="A157" s="1"/>
      <c r="B157" s="4" t="s">
        <v>186</v>
      </c>
      <c r="C157" s="49">
        <f t="shared" si="66" ref="C157:H157">C36+C154</f>
        <v>4496</v>
      </c>
      <c r="D157" s="49">
        <f t="shared" si="66"/>
        <v>4703</v>
      </c>
      <c r="E157" s="49">
        <f t="shared" si="66"/>
        <v>17342</v>
      </c>
      <c r="F157" s="49">
        <f t="shared" si="66"/>
        <v>4613</v>
      </c>
      <c r="G157" s="49">
        <f t="shared" si="66"/>
        <v>5223</v>
      </c>
      <c r="H157" s="50">
        <f t="shared" si="66"/>
        <v>5450.413427799999</v>
      </c>
      <c r="I157" s="1"/>
    </row>
    <row r="158" ht="15" customHeight="1">
      <c r="A158" s="1"/>
      <c r="B158" s="35" t="s">
        <v>63</v>
      </c>
      <c r="C158" s="20">
        <f t="shared" si="67" ref="C158:H158">IF(AND(ISNUMBER(C157),ISNUMBER(C161)),IF(C161=0,"n.m.",C157/C161-1),"n.a.")</f>
        <v>0.1463539010708823</v>
      </c>
      <c r="D158" s="20">
        <f t="shared" si="67"/>
        <v>0.16066140177690036</v>
      </c>
      <c r="E158" s="20">
        <f t="shared" si="67"/>
        <v>0.11985018726591767</v>
      </c>
      <c r="F158" s="20">
        <f t="shared" si="67"/>
        <v>0.20759162303664924</v>
      </c>
      <c r="G158" s="20">
        <f t="shared" si="67"/>
        <v>0.20818875780707846</v>
      </c>
      <c r="H158" s="38">
        <f t="shared" si="67"/>
        <v>0.21228056668149442</v>
      </c>
      <c r="I158" s="1"/>
    </row>
    <row r="159" ht="23.25" customHeight="1">
      <c r="A159" s="1"/>
      <c r="B159" s="44" t="s">
        <v>187</v>
      </c>
      <c r="C159" s="20" t="s">
        <v>39</v>
      </c>
      <c r="D159" s="20" t="s">
        <v>39</v>
      </c>
      <c r="E159" s="20" t="s">
        <v>39</v>
      </c>
      <c r="F159" s="20" t="s">
        <v>39</v>
      </c>
      <c r="G159" s="20" t="s">
        <v>39</v>
      </c>
      <c r="H159" s="38" t="s">
        <v>39</v>
      </c>
      <c r="I159" s="1"/>
    </row>
    <row r="160" ht="15" customHeight="1">
      <c r="A160" s="1"/>
      <c r="B160" s="67" t="s">
        <v>188</v>
      </c>
      <c r="C160" s="26">
        <f t="shared" si="68" ref="C160:H160">IF(AND(ISNUMBER(C145),ISNUMBER(C157)),IF(C157=0,"n.m.",C145/C157),"n.a.")</f>
        <v>0.24466192170818504</v>
      </c>
      <c r="D160" s="26">
        <f t="shared" si="68"/>
        <v>0.22581331065277482</v>
      </c>
      <c r="E160" s="26">
        <f t="shared" si="68"/>
        <v>0.2353246453696229</v>
      </c>
      <c r="F160" s="26">
        <f t="shared" si="68"/>
        <v>0.23954042922176458</v>
      </c>
      <c r="G160" s="26">
        <f t="shared" si="68"/>
        <v>0.24909056098027954</v>
      </c>
      <c r="H160" s="68">
        <f t="shared" si="68"/>
        <v>0.25216944641263156</v>
      </c>
      <c r="I160" s="1"/>
    </row>
    <row r="161" ht="15" customHeight="1">
      <c r="A161" s="1"/>
      <c r="B161" s="41" t="s">
        <v>189</v>
      </c>
      <c r="C161" s="42">
        <v>3922</v>
      </c>
      <c r="D161" s="42">
        <v>4052</v>
      </c>
      <c r="E161" s="42">
        <v>15486</v>
      </c>
      <c r="F161" s="42">
        <v>3820</v>
      </c>
      <c r="G161" s="42">
        <v>4323</v>
      </c>
      <c r="H161" s="43">
        <f>C157</f>
        <v>4496</v>
      </c>
      <c r="I161" s="1"/>
    </row>
    <row r="162" ht="15" customHeight="1">
      <c r="A162" s="1"/>
      <c r="B162" s="46" t="s">
        <v>81</v>
      </c>
      <c r="C162" s="47">
        <f t="shared" si="69" ref="C162:H162">IF(COUNT(C160,C148,C161)=3,(C160-(C148/C161))*10000,"n.a.")</f>
        <v>39.68397995793404</v>
      </c>
      <c r="D162" s="47">
        <f t="shared" si="69"/>
        <v>128.32066822567518</v>
      </c>
      <c r="E162" s="47">
        <f t="shared" si="69"/>
        <v>80.22566072192954</v>
      </c>
      <c r="F162" s="47">
        <f t="shared" si="69"/>
        <v>76.03256446895467</v>
      </c>
      <c r="G162" s="47">
        <f t="shared" si="69"/>
        <v>101.36131186155085</v>
      </c>
      <c r="H162" s="48">
        <f t="shared" si="69"/>
        <v>75.07524704446517</v>
      </c>
      <c r="I162" s="1"/>
    </row>
    <row r="163" ht="15" customHeight="1">
      <c r="A163" s="1"/>
      <c r="B163" s="46" t="s">
        <v>82</v>
      </c>
      <c r="C163" s="47" t="s">
        <v>39</v>
      </c>
      <c r="D163" s="47">
        <f t="shared" si="50"/>
        <v>-188.4861105541022</v>
      </c>
      <c r="E163" s="47"/>
      <c r="F163" s="47">
        <f t="shared" si="54"/>
        <v>137.27118568989755</v>
      </c>
      <c r="G163" s="47">
        <f t="shared" si="50"/>
        <v>95.50131758514962</v>
      </c>
      <c r="H163" s="48">
        <f t="shared" si="50"/>
        <v>30.788854323520187</v>
      </c>
      <c r="I163" s="1"/>
    </row>
    <row r="164" ht="15" customHeight="1">
      <c r="A164" s="1"/>
      <c r="B164" s="23" t="s">
        <v>190</v>
      </c>
      <c r="C164" s="19">
        <f t="shared" si="70" ref="C164:G164">C146-C167</f>
        <v>21</v>
      </c>
      <c r="D164" s="19">
        <f t="shared" si="70"/>
        <v>-12</v>
      </c>
      <c r="E164" s="19">
        <f t="shared" si="70"/>
        <v>16</v>
      </c>
      <c r="F164" s="19">
        <f t="shared" si="70"/>
        <v>136</v>
      </c>
      <c r="G164" s="19">
        <f t="shared" si="70"/>
        <v>129</v>
      </c>
      <c r="H164" s="56">
        <v>45</v>
      </c>
      <c r="I164" s="22" t="s">
        <v>191</v>
      </c>
    </row>
    <row r="165" ht="15" customHeight="1">
      <c r="A165" s="1"/>
      <c r="B165" s="41" t="s">
        <v>107</v>
      </c>
      <c r="C165" s="19" t="s">
        <v>39</v>
      </c>
      <c r="D165" s="19" t="s">
        <v>39</v>
      </c>
      <c r="E165" s="19" t="s">
        <v>39</v>
      </c>
      <c r="F165" s="19" t="s">
        <v>39</v>
      </c>
      <c r="G165" s="19" t="s">
        <v>39</v>
      </c>
      <c r="H165" s="43">
        <f t="shared" si="57"/>
        <v>24</v>
      </c>
      <c r="I165" s="1"/>
    </row>
    <row r="166" ht="15" customHeight="1">
      <c r="A166" s="1"/>
      <c r="B166" s="41" t="s">
        <v>77</v>
      </c>
      <c r="C166" s="19" t="s">
        <v>39</v>
      </c>
      <c r="D166" s="19">
        <f t="shared" si="8"/>
        <v>-33</v>
      </c>
      <c r="E166" s="19"/>
      <c r="F166" s="19">
        <f t="shared" si="58"/>
        <v>148</v>
      </c>
      <c r="G166" s="19">
        <f t="shared" si="8"/>
        <v>-7</v>
      </c>
      <c r="H166" s="43">
        <f t="shared" si="8"/>
        <v>-84</v>
      </c>
      <c r="I166" s="1"/>
    </row>
    <row r="167" ht="15" customHeight="1">
      <c r="A167" s="1"/>
      <c r="B167" s="4" t="s">
        <v>192</v>
      </c>
      <c r="C167" s="69">
        <f>E167-D167-Inputs!$D$159</f>
        <v>1079</v>
      </c>
      <c r="D167" s="59">
        <v>1074</v>
      </c>
      <c r="E167" s="59">
        <v>4065</v>
      </c>
      <c r="F167" s="59">
        <v>969</v>
      </c>
      <c r="G167" s="59">
        <v>1172</v>
      </c>
      <c r="H167" s="50">
        <f>H145-H164</f>
        <v>1329.4277368082994</v>
      </c>
      <c r="I167" s="1"/>
    </row>
    <row r="168" ht="15" customHeight="1">
      <c r="A168" s="1"/>
      <c r="B168" s="35" t="s">
        <v>193</v>
      </c>
      <c r="C168" s="20">
        <f t="shared" si="71" ref="C168:H168">IF(AND(ISNUMBER(C167),ISNUMBER(C36)),IF(C36=0,"n.m.",C167/C36),"n.a.")</f>
        <v>0.23983107357190486</v>
      </c>
      <c r="D168" s="20">
        <f t="shared" si="71"/>
        <v>0.22841344108889833</v>
      </c>
      <c r="E168" s="20">
        <f t="shared" si="71"/>
        <v>0.23419945843175663</v>
      </c>
      <c r="F168" s="20">
        <f t="shared" si="71"/>
        <v>0.21005853024062432</v>
      </c>
      <c r="G168" s="20">
        <f t="shared" si="71"/>
        <v>0.22538461538461538</v>
      </c>
      <c r="H168" s="38">
        <f t="shared" si="71"/>
        <v>0.24391319198421038</v>
      </c>
      <c r="I168" s="1"/>
    </row>
    <row r="169" ht="15" customHeight="1">
      <c r="A169" s="1"/>
      <c r="B169" s="46" t="s">
        <v>81</v>
      </c>
      <c r="C169" s="47" t="s">
        <v>39</v>
      </c>
      <c r="D169" s="47" t="s">
        <v>39</v>
      </c>
      <c r="E169" s="47" t="s">
        <v>39</v>
      </c>
      <c r="F169" s="47" t="s">
        <v>39</v>
      </c>
      <c r="G169" s="47" t="s">
        <v>39</v>
      </c>
      <c r="H169" s="48">
        <f t="shared" si="23"/>
        <v>40.82118412305519</v>
      </c>
      <c r="I169" s="1"/>
    </row>
    <row r="170" ht="15" customHeight="1">
      <c r="A170" s="1"/>
      <c r="B170" s="46" t="s">
        <v>82</v>
      </c>
      <c r="C170" s="47" t="s">
        <v>39</v>
      </c>
      <c r="D170" s="47">
        <f t="shared" si="21"/>
        <v>-114.17632483006534</v>
      </c>
      <c r="E170" s="47"/>
      <c r="F170" s="47">
        <f t="shared" si="24"/>
        <v>-183.54910848274008</v>
      </c>
      <c r="G170" s="47">
        <f t="shared" si="21"/>
        <v>153.2608514399106</v>
      </c>
      <c r="H170" s="48">
        <f t="shared" si="21"/>
        <v>185.28576599595004</v>
      </c>
      <c r="I170" s="1"/>
    </row>
    <row r="171" ht="15" customHeight="1">
      <c r="A171" s="1"/>
      <c r="B171" s="1"/>
      <c r="C171" s="1"/>
      <c r="D171" s="1"/>
      <c r="E171" s="1"/>
      <c r="F171" s="1"/>
      <c r="G171" s="1"/>
      <c r="H171" s="32"/>
      <c r="I171" s="1"/>
    </row>
    <row r="172" ht="1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ht="15" customHeight="1">
      <c r="A173" s="1"/>
      <c r="B173" s="1"/>
      <c r="C173" s="1"/>
      <c r="D173" s="1"/>
      <c r="E173" s="1"/>
      <c r="F173" s="1"/>
      <c r="G173" s="1"/>
      <c r="H173" s="1"/>
      <c r="I17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A38DD8A-2A4E-2978-6FD4-20D4CD60D56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194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124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125</v>
      </c>
      <c r="C11" s="19">
        <f>G24</f>
        <v>6102</v>
      </c>
      <c r="D11" s="19">
        <f t="shared" si="2" ref="D11:H11">C23</f>
        <v>6176</v>
      </c>
      <c r="E11" s="19">
        <f>D24</f>
        <v>5239</v>
      </c>
      <c r="F11" s="19">
        <f>D23</f>
        <v>6285</v>
      </c>
      <c r="G11" s="19">
        <f t="shared" si="2"/>
        <v>6597</v>
      </c>
      <c r="H11" s="43">
        <f t="shared" si="2"/>
        <v>6953</v>
      </c>
      <c r="I11" s="1"/>
    </row>
    <row r="12" ht="15" customHeight="1">
      <c r="A12" s="1"/>
      <c r="B12" s="1" t="s">
        <v>126</v>
      </c>
      <c r="C12" s="18">
        <f>E12-D12-Inputs!$D$160</f>
        <v>2162</v>
      </c>
      <c r="D12" s="42">
        <v>2189</v>
      </c>
      <c r="E12" s="42">
        <v>8619</v>
      </c>
      <c r="F12" s="42">
        <v>2548</v>
      </c>
      <c r="G12" s="42">
        <v>2592</v>
      </c>
      <c r="H12" s="43">
        <f>C12*(1+H16)*(1+H45)*(1+H48)</f>
        <v>2440.7630912</v>
      </c>
      <c r="I12" s="22" t="s">
        <v>127</v>
      </c>
    </row>
    <row r="13" ht="15" customHeight="1">
      <c r="A13" s="1"/>
      <c r="B13" s="41" t="s">
        <v>111</v>
      </c>
      <c r="C13" s="42">
        <v>1806</v>
      </c>
      <c r="D13" s="42">
        <v>1866</v>
      </c>
      <c r="E13" s="42">
        <v>7989</v>
      </c>
      <c r="F13" s="42">
        <v>2156</v>
      </c>
      <c r="G13" s="42">
        <v>2112</v>
      </c>
      <c r="H13" s="43">
        <f t="shared" si="10" ref="H13:H109">C12</f>
        <v>2162</v>
      </c>
      <c r="I13" s="1"/>
    </row>
    <row r="14" ht="15" customHeight="1">
      <c r="A14" s="1"/>
      <c r="B14" s="35" t="s">
        <v>63</v>
      </c>
      <c r="C14" s="20">
        <f t="shared" si="3" ref="C14:H110">IF(AND(ISNUMBER(C12),ISNUMBER(C13)),IF(C13=0,"n.m.",C12/C13-1),"n.a.")</f>
        <v>0.19712070874861576</v>
      </c>
      <c r="D14" s="20">
        <f t="shared" si="3"/>
        <v>0.17309753483386925</v>
      </c>
      <c r="E14" s="20">
        <f t="shared" si="3"/>
        <v>0.07885843034171991</v>
      </c>
      <c r="F14" s="20">
        <f t="shared" si="3"/>
        <v>0.18181818181818188</v>
      </c>
      <c r="G14" s="20">
        <f t="shared" si="3"/>
        <v>0.2272727272727273</v>
      </c>
      <c r="H14" s="38">
        <f t="shared" si="3"/>
        <v>0.12893759999999999</v>
      </c>
      <c r="I14" s="1"/>
    </row>
    <row r="15" ht="15" customHeight="1">
      <c r="A15" s="1"/>
      <c r="B15" s="41" t="s">
        <v>77</v>
      </c>
      <c r="C15" s="19">
        <f t="shared" si="27" ref="C15:C111">IF(AND(ISNUMBER(C12),ISNUMBER(G13)),(C12-G13),"n.a.")</f>
        <v>50</v>
      </c>
      <c r="D15" s="19">
        <f t="shared" si="4" ref="D15:H111">IF(AND(ISNUMBER(D12),ISNUMBER(C12)),(D12-C12),"n.a.")</f>
        <v>27</v>
      </c>
      <c r="E15" s="19"/>
      <c r="F15" s="19">
        <f t="shared" si="11" ref="F15:F111">IF(AND(ISNUMBER(F12),ISNUMBER(D12)),(F12-D12),"n.a.")</f>
        <v>359</v>
      </c>
      <c r="G15" s="19">
        <f t="shared" si="4"/>
        <v>44</v>
      </c>
      <c r="H15" s="43">
        <f t="shared" si="4"/>
        <v>-151.23690880000004</v>
      </c>
      <c r="I15" s="1"/>
    </row>
    <row r="16" ht="15" customHeight="1">
      <c r="A16" s="1"/>
      <c r="B16" s="35" t="s">
        <v>128</v>
      </c>
      <c r="C16" s="51">
        <v>0.17</v>
      </c>
      <c r="D16" s="51">
        <v>0.13</v>
      </c>
      <c r="E16" s="51">
        <v>0.06</v>
      </c>
      <c r="F16" s="51">
        <v>0.09</v>
      </c>
      <c r="G16" s="51">
        <v>0.2</v>
      </c>
      <c r="H16" s="45">
        <v>0.12</v>
      </c>
      <c r="I16" s="22" t="s">
        <v>195</v>
      </c>
    </row>
    <row r="17" ht="15" customHeight="1">
      <c r="A17" s="1"/>
      <c r="B17" s="46" t="s">
        <v>82</v>
      </c>
      <c r="C17" s="47" t="s">
        <v>39</v>
      </c>
      <c r="D17" s="47">
        <f t="shared" si="5" ref="D17:H43">IF(AND(ISNUMBER(D16),ISNUMBER(C16)),(D16-C16)*10000,"n.a.")</f>
        <v>-400.00000000000006</v>
      </c>
      <c r="E17" s="47"/>
      <c r="F17" s="47">
        <f t="shared" si="17" ref="F17:F43">IF(AND(ISNUMBER(F16),ISNUMBER(D16)),(F16-D16)*10000,"n.a.")</f>
        <v>-400.00000000000006</v>
      </c>
      <c r="G17" s="47">
        <f t="shared" si="5"/>
        <v>1100.0000000000002</v>
      </c>
      <c r="H17" s="48">
        <f t="shared" si="5"/>
        <v>-800.0000000000001</v>
      </c>
      <c r="I17" s="1"/>
    </row>
    <row r="18" ht="15" customHeight="1">
      <c r="A18" s="1"/>
      <c r="B18" s="46" t="s">
        <v>81</v>
      </c>
      <c r="C18" s="47" t="s">
        <v>39</v>
      </c>
      <c r="D18" s="47" t="s">
        <v>39</v>
      </c>
      <c r="E18" s="47" t="s">
        <v>39</v>
      </c>
      <c r="F18" s="47" t="s">
        <v>39</v>
      </c>
      <c r="G18" s="47" t="s">
        <v>39</v>
      </c>
      <c r="H18" s="48">
        <f t="shared" si="18" ref="H18:H44">IF(AND(ISNUMBER(H16),ISNUMBER(C16)),(H16-C16)*10000,"n.a.")</f>
        <v>-500.00000000000017</v>
      </c>
      <c r="I18" s="1"/>
    </row>
    <row r="19" ht="15" customHeight="1">
      <c r="A19" s="1"/>
      <c r="B19" s="1" t="s">
        <v>130</v>
      </c>
      <c r="C19" s="19">
        <f t="shared" si="6" ref="C19:H19">-C36</f>
        <v>-2082</v>
      </c>
      <c r="D19" s="19">
        <f t="shared" si="6"/>
        <v>-2260</v>
      </c>
      <c r="E19" s="19">
        <f t="shared" si="6"/>
        <v>-8247</v>
      </c>
      <c r="F19" s="19">
        <f t="shared" si="6"/>
        <v>-2142</v>
      </c>
      <c r="G19" s="19">
        <f t="shared" si="6"/>
        <v>-2217</v>
      </c>
      <c r="H19" s="43">
        <f t="shared" si="6"/>
        <v>-2224.5312215999998</v>
      </c>
      <c r="I19" s="1"/>
    </row>
    <row r="20" ht="15" customHeight="1">
      <c r="A20" s="1"/>
      <c r="B20" s="23" t="s">
        <v>131</v>
      </c>
      <c r="C20" s="19">
        <f t="shared" si="7" ref="C20:G20">IF(COUNT(C23,C11,C12,C19)=4,C23-C11-C12-C19,"n.a.")</f>
        <v>-6</v>
      </c>
      <c r="D20" s="19">
        <f t="shared" si="7"/>
        <v>180</v>
      </c>
      <c r="E20" s="19">
        <f t="shared" si="7"/>
        <v>674</v>
      </c>
      <c r="F20" s="19">
        <f t="shared" si="7"/>
        <v>-94</v>
      </c>
      <c r="G20" s="19">
        <f t="shared" si="7"/>
        <v>-19</v>
      </c>
      <c r="H20" s="56">
        <v>0</v>
      </c>
      <c r="I20" s="22" t="s">
        <v>132</v>
      </c>
    </row>
    <row r="21" ht="15" customHeight="1">
      <c r="A21" s="1"/>
      <c r="B21" s="41" t="s">
        <v>107</v>
      </c>
      <c r="C21" s="19" t="s">
        <v>39</v>
      </c>
      <c r="D21" s="19" t="s">
        <v>39</v>
      </c>
      <c r="E21" s="19" t="s">
        <v>39</v>
      </c>
      <c r="F21" s="19" t="s">
        <v>39</v>
      </c>
      <c r="G21" s="19" t="s">
        <v>39</v>
      </c>
      <c r="H21" s="43">
        <f t="shared" si="57" ref="H21:H165">IF(AND(ISNUMBER(H20),ISNUMBER(C20)),(H20-C20),"n.a.")</f>
        <v>6</v>
      </c>
      <c r="I21" s="1"/>
    </row>
    <row r="22" ht="15" customHeight="1">
      <c r="A22" s="1"/>
      <c r="B22" s="41" t="s">
        <v>77</v>
      </c>
      <c r="C22" s="19" t="s">
        <v>39</v>
      </c>
      <c r="D22" s="19">
        <f t="shared" si="8" ref="D22:H166">IF(AND(ISNUMBER(D20),ISNUMBER(C20)),(D20-C20),"n.a.")</f>
        <v>186</v>
      </c>
      <c r="E22" s="19"/>
      <c r="F22" s="19">
        <f t="shared" si="58" ref="F22:F166">IF(AND(ISNUMBER(F20),ISNUMBER(D20)),(F20-D20),"n.a.")</f>
        <v>-274</v>
      </c>
      <c r="G22" s="19">
        <f t="shared" si="8"/>
        <v>75</v>
      </c>
      <c r="H22" s="43">
        <f t="shared" si="8"/>
        <v>19</v>
      </c>
      <c r="I22" s="1"/>
    </row>
    <row r="23" ht="15" customHeight="1">
      <c r="A23" s="1"/>
      <c r="B23" s="4" t="s">
        <v>133</v>
      </c>
      <c r="C23" s="59">
        <v>6176</v>
      </c>
      <c r="D23" s="59">
        <v>6285</v>
      </c>
      <c r="E23" s="49">
        <f t="shared" si="9" ref="E23:E24">D23</f>
        <v>6285</v>
      </c>
      <c r="F23" s="59">
        <v>6597</v>
      </c>
      <c r="G23" s="59">
        <v>6953</v>
      </c>
      <c r="H23" s="50">
        <f>H11+H12+H19+H20</f>
        <v>7169.2318696</v>
      </c>
      <c r="I23" s="1"/>
    </row>
    <row r="24" ht="15" customHeight="1">
      <c r="A24" s="1"/>
      <c r="B24" s="41" t="s">
        <v>134</v>
      </c>
      <c r="C24" s="42">
        <v>5750</v>
      </c>
      <c r="D24" s="42">
        <v>5239</v>
      </c>
      <c r="E24" s="19">
        <f t="shared" si="9"/>
        <v>5239</v>
      </c>
      <c r="F24" s="42">
        <v>5716</v>
      </c>
      <c r="G24" s="42">
        <v>6102</v>
      </c>
      <c r="H24" s="43">
        <f t="shared" si="10"/>
        <v>6176</v>
      </c>
      <c r="I24" s="1"/>
    </row>
    <row r="25" ht="15" customHeight="1">
      <c r="A25" s="1"/>
      <c r="B25" s="35" t="s">
        <v>63</v>
      </c>
      <c r="C25" s="20">
        <f t="shared" si="3"/>
        <v>0.07408695652173902</v>
      </c>
      <c r="D25" s="20">
        <f t="shared" si="3"/>
        <v>0.199656422981485</v>
      </c>
      <c r="E25" s="20">
        <f t="shared" si="3"/>
        <v>0.199656422981485</v>
      </c>
      <c r="F25" s="20">
        <f t="shared" si="3"/>
        <v>0.15412876137158849</v>
      </c>
      <c r="G25" s="20">
        <f t="shared" si="3"/>
        <v>0.1394624713208783</v>
      </c>
      <c r="H25" s="38">
        <f t="shared" si="3"/>
        <v>0.1608212224093264</v>
      </c>
      <c r="I25" s="1"/>
    </row>
    <row r="26" ht="15" customHeight="1">
      <c r="A26" s="1"/>
      <c r="B26" s="41" t="s">
        <v>77</v>
      </c>
      <c r="C26" s="19">
        <f>IF(AND(ISNUMBER(C23),ISNUMBER(C11)),(C23-C11),"n.a.")</f>
        <v>74</v>
      </c>
      <c r="D26" s="19">
        <f t="shared" si="4"/>
        <v>109</v>
      </c>
      <c r="E26" s="19"/>
      <c r="F26" s="19">
        <f t="shared" si="11"/>
        <v>312</v>
      </c>
      <c r="G26" s="19">
        <f t="shared" si="4"/>
        <v>356</v>
      </c>
      <c r="H26" s="43">
        <f t="shared" si="4"/>
        <v>216.2318696000002</v>
      </c>
      <c r="I26" s="1"/>
    </row>
    <row r="27" ht="15" customHeight="1">
      <c r="A27" s="1"/>
      <c r="B27" s="1" t="s">
        <v>135</v>
      </c>
      <c r="C27" s="19">
        <f t="shared" si="12" ref="C27:H27">IF(COUNT(C11,C23)=2,AVERAGE(C11,C23),"n.a.")</f>
        <v>6139</v>
      </c>
      <c r="D27" s="19">
        <f t="shared" si="12"/>
        <v>6230.5</v>
      </c>
      <c r="E27" s="19">
        <f t="shared" si="12"/>
        <v>5762</v>
      </c>
      <c r="F27" s="19">
        <f t="shared" si="12"/>
        <v>6441</v>
      </c>
      <c r="G27" s="19">
        <f t="shared" si="12"/>
        <v>6775</v>
      </c>
      <c r="H27" s="43">
        <f t="shared" si="12"/>
        <v>7061.1159348</v>
      </c>
      <c r="I27" s="1"/>
    </row>
    <row r="28" ht="15" customHeight="1">
      <c r="A28" s="1"/>
      <c r="B28" s="1" t="s">
        <v>136</v>
      </c>
      <c r="C28" s="57">
        <f t="shared" si="13" ref="C28:H28">IF(AND(ISNUMBER(C12),ISNUMBER(C36)),IF(C36=0,"n.m.",C12/C36),"n.a.")</f>
        <v>1.0384245917387127</v>
      </c>
      <c r="D28" s="57">
        <f t="shared" si="13"/>
        <v>0.9685840707964601</v>
      </c>
      <c r="E28" s="57">
        <f t="shared" si="13"/>
        <v>1.0451073117497272</v>
      </c>
      <c r="F28" s="57">
        <f t="shared" si="13"/>
        <v>1.1895424836601307</v>
      </c>
      <c r="G28" s="57">
        <f t="shared" si="13"/>
        <v>1.16914749661705</v>
      </c>
      <c r="H28" s="58">
        <f t="shared" si="13"/>
        <v>1.0972033422144891</v>
      </c>
      <c r="I28" s="1"/>
    </row>
    <row r="29" ht="15" customHeight="1">
      <c r="A29" s="1"/>
      <c r="B29" s="41" t="s">
        <v>114</v>
      </c>
      <c r="C29" s="57" t="s">
        <v>39</v>
      </c>
      <c r="D29" s="57">
        <f t="shared" si="14" ref="D29:H29">IF(AND(ISNUMBER(D28),ISNUMBER(C28)),(D28-C28),"n.a.")</f>
        <v>-0.06984052094225257</v>
      </c>
      <c r="E29" s="57"/>
      <c r="F29" s="57">
        <f>IF(AND(ISNUMBER(F28),ISNUMBER(D28)),(F28-D28),"n.a.")</f>
        <v>0.22095841286367057</v>
      </c>
      <c r="G29" s="57">
        <f t="shared" si="14"/>
        <v>-0.020394987043080626</v>
      </c>
      <c r="H29" s="58">
        <f t="shared" si="14"/>
        <v>-0.07194415440256097</v>
      </c>
      <c r="I29" s="1"/>
    </row>
    <row r="30" ht="15" customHeight="1">
      <c r="A30" s="1"/>
      <c r="B30" s="41" t="s">
        <v>115</v>
      </c>
      <c r="C30" s="57">
        <f t="shared" si="15" ref="C30:H30">IF(COUNT(C28,C13,C37)=3,C28-C13/C37,"n.a.")</f>
        <v>0.1212077303877731</v>
      </c>
      <c r="D30" s="57">
        <f t="shared" si="15"/>
        <v>0.05298053792109214</v>
      </c>
      <c r="E30" s="57">
        <f t="shared" si="15"/>
        <v>0.019166641401711315</v>
      </c>
      <c r="F30" s="57">
        <f t="shared" si="15"/>
        <v>0.017803353225348095</v>
      </c>
      <c r="G30" s="57">
        <f t="shared" si="15"/>
        <v>0.14638720606014943</v>
      </c>
      <c r="H30" s="58">
        <f t="shared" si="15"/>
        <v>0.05877875047577641</v>
      </c>
      <c r="I30" s="1"/>
    </row>
    <row r="31" ht="15" customHeight="1">
      <c r="A31" s="1"/>
      <c r="B31" s="5" t="s">
        <v>137</v>
      </c>
      <c r="C31" s="20">
        <f t="shared" si="16" ref="C31:H31">IF(AND(ISNUMBER(C36),ISNUMBER(C11)),IF(C11=0,"n.m.",C36/C11),"n.a.")</f>
        <v>0.34119960668633237</v>
      </c>
      <c r="D31" s="20">
        <f t="shared" si="16"/>
        <v>0.36593264248704666</v>
      </c>
      <c r="E31" s="60">
        <f t="shared" si="16"/>
        <v>1.5741553731628173</v>
      </c>
      <c r="F31" s="20">
        <f t="shared" si="16"/>
        <v>0.34081145584725536</v>
      </c>
      <c r="G31" s="20">
        <f t="shared" si="16"/>
        <v>0.3360618462937699</v>
      </c>
      <c r="H31" s="38">
        <f t="shared" si="16"/>
        <v>0.319938331885517</v>
      </c>
      <c r="I31" s="22" t="s">
        <v>138</v>
      </c>
    </row>
    <row r="32" ht="15" customHeight="1">
      <c r="A32" s="1"/>
      <c r="B32" s="46" t="s">
        <v>82</v>
      </c>
      <c r="C32" s="47" t="s">
        <v>39</v>
      </c>
      <c r="D32" s="47">
        <f t="shared" si="5"/>
        <v>247.33035800714288</v>
      </c>
      <c r="E32" s="47"/>
      <c r="F32" s="47">
        <f t="shared" si="17"/>
        <v>-251.21186639791293</v>
      </c>
      <c r="G32" s="47">
        <f t="shared" si="5"/>
        <v>-47.496095534854675</v>
      </c>
      <c r="H32" s="48">
        <f t="shared" si="5"/>
        <v>-161.23514408252882</v>
      </c>
      <c r="I32" s="1"/>
    </row>
    <row r="33" ht="15" customHeight="1">
      <c r="A33" s="1"/>
      <c r="B33" s="46" t="s">
        <v>81</v>
      </c>
      <c r="C33" s="47" t="s">
        <v>39</v>
      </c>
      <c r="D33" s="47" t="s">
        <v>39</v>
      </c>
      <c r="E33" s="47" t="s">
        <v>39</v>
      </c>
      <c r="F33" s="47" t="s">
        <v>39</v>
      </c>
      <c r="G33" s="47" t="s">
        <v>39</v>
      </c>
      <c r="H33" s="48">
        <f t="shared" si="18"/>
        <v>-212.61274800815355</v>
      </c>
      <c r="I33" s="1"/>
    </row>
    <row r="34" ht="15" customHeight="1">
      <c r="A34" s="1"/>
      <c r="B34" s="1"/>
      <c r="C34" s="1"/>
      <c r="D34" s="1"/>
      <c r="E34" s="1"/>
      <c r="F34" s="1"/>
      <c r="G34" s="1"/>
      <c r="H34" s="32"/>
      <c r="I34" s="1"/>
    </row>
    <row r="35" ht="15" customHeight="1">
      <c r="A35" s="1"/>
      <c r="B35" s="4" t="s">
        <v>139</v>
      </c>
      <c r="C35" s="1"/>
      <c r="D35" s="1"/>
      <c r="E35" s="1"/>
      <c r="F35" s="1"/>
      <c r="G35" s="1"/>
      <c r="H35" s="32"/>
      <c r="I35" s="1"/>
    </row>
    <row r="36" ht="15" customHeight="1">
      <c r="A36" s="1"/>
      <c r="B36" s="4" t="s">
        <v>140</v>
      </c>
      <c r="C36" s="33">
        <f>E36-D36-Inputs!$D$161</f>
        <v>2082</v>
      </c>
      <c r="D36" s="39">
        <v>2260</v>
      </c>
      <c r="E36" s="39">
        <v>8247</v>
      </c>
      <c r="F36" s="39">
        <v>2142</v>
      </c>
      <c r="G36" s="39">
        <v>2217</v>
      </c>
      <c r="H36" s="61">
        <f>C36*(1+H42)*(1+H45)*(1+H48)</f>
        <v>2224.5312215999998</v>
      </c>
      <c r="I36" s="22" t="s">
        <v>141</v>
      </c>
    </row>
    <row r="37" ht="15" customHeight="1">
      <c r="A37" s="1"/>
      <c r="B37" s="41" t="s">
        <v>73</v>
      </c>
      <c r="C37" s="42">
        <v>1969</v>
      </c>
      <c r="D37" s="42">
        <v>2038</v>
      </c>
      <c r="E37" s="42">
        <v>7787</v>
      </c>
      <c r="F37" s="42">
        <v>1840</v>
      </c>
      <c r="G37" s="42">
        <v>2065</v>
      </c>
      <c r="H37" s="43">
        <f t="shared" si="10"/>
        <v>2082</v>
      </c>
      <c r="I37" s="1"/>
    </row>
    <row r="38" ht="15" customHeight="1">
      <c r="A38" s="1"/>
      <c r="B38" s="35" t="s">
        <v>63</v>
      </c>
      <c r="C38" s="20">
        <f t="shared" si="3"/>
        <v>0.057389537836465276</v>
      </c>
      <c r="D38" s="20">
        <f t="shared" si="3"/>
        <v>0.10893032384690882</v>
      </c>
      <c r="E38" s="20">
        <f t="shared" si="3"/>
        <v>0.05907281366379857</v>
      </c>
      <c r="F38" s="20">
        <f t="shared" si="3"/>
        <v>0.1641304347826087</v>
      </c>
      <c r="G38" s="20">
        <f t="shared" si="3"/>
        <v>0.07360774818401938</v>
      </c>
      <c r="H38" s="38">
        <f t="shared" si="3"/>
        <v>0.06845879999999993</v>
      </c>
      <c r="I38" s="1"/>
    </row>
    <row r="39" ht="15" customHeight="1">
      <c r="A39" s="1"/>
      <c r="B39" s="35" t="s">
        <v>64</v>
      </c>
      <c r="C39" s="20">
        <f>IF(AND(ISNUMBER(C36),ISNUMBER(G37)),IF(G37=0,"n.m.",C36/G37-1),"n.a.")</f>
        <v>0.008232445520581111</v>
      </c>
      <c r="D39" s="20">
        <f t="shared" si="19" ref="D39:H39">IF(AND(ISNUMBER(D36),ISNUMBER(C36)),IF(C36=0,"n.m.",D36/C36-1),"n.a.")</f>
        <v>0.08549471661863595</v>
      </c>
      <c r="E39" s="20"/>
      <c r="F39" s="20">
        <f>IF(AND(ISNUMBER(F36),ISNUMBER(D36)),IF(D36=0,"n.m.",F36/D36-1),"n.a.")</f>
        <v>-0.052212389380530966</v>
      </c>
      <c r="G39" s="20">
        <f t="shared" si="19"/>
        <v>0.035014005602240994</v>
      </c>
      <c r="H39" s="38">
        <f t="shared" si="19"/>
        <v>0.003397032746955242</v>
      </c>
      <c r="I39" s="1"/>
    </row>
    <row r="40" ht="15" customHeight="1">
      <c r="A40" s="1"/>
      <c r="B40" s="35" t="s">
        <v>142</v>
      </c>
      <c r="C40" s="36">
        <f>IF(AND(ISNUMBER(C36),ISNUMBER('Revenue summary'!C46)),IF('Revenue summary'!C46=0,"n.m.",C36/'Revenue summary'!C46),"n.a.")</f>
        <v>0.24520080084795667</v>
      </c>
      <c r="D40" s="36">
        <f>IF(AND(ISNUMBER(D36),ISNUMBER('Revenue summary'!D46)),IF('Revenue summary'!D46=0,"n.m.",D36/'Revenue summary'!D46),"n.a.")</f>
        <v>0.2496685815289439</v>
      </c>
      <c r="E40" s="36">
        <f>IF(AND(ISNUMBER(E36),ISNUMBER('Revenue summary'!E46)),IF('Revenue summary'!E46=0,"n.m.",E36/'Revenue summary'!E46),"n.a.")</f>
        <v>0.24825406381697773</v>
      </c>
      <c r="F40" s="36">
        <f>IF(AND(ISNUMBER(F36),ISNUMBER('Revenue summary'!F46)),IF('Revenue summary'!F46=0,"n.m.",F36/'Revenue summary'!F46),"n.a.")</f>
        <v>0.2452484543164644</v>
      </c>
      <c r="G40" s="36">
        <f>IF(AND(ISNUMBER(G36),ISNUMBER('Revenue summary'!G46)),IF('Revenue summary'!G46=0,"n.m.",G36/'Revenue summary'!G46),"n.a.")</f>
        <v>0.23398416886543535</v>
      </c>
      <c r="H40" s="37">
        <f>IF(AND(ISNUMBER(H36),ISNUMBER('Revenue summary'!H46)),IF('Revenue summary'!H46=0,"n.m.",H36/'Revenue summary'!H46),"n.a.")</f>
        <v>0.22982810822887623</v>
      </c>
      <c r="I40" s="1"/>
    </row>
    <row r="41" ht="15" customHeight="1">
      <c r="A41" s="1"/>
      <c r="B41" s="35" t="s">
        <v>84</v>
      </c>
      <c r="C41" s="51">
        <v>0.03</v>
      </c>
      <c r="D41" s="51">
        <v>0.07</v>
      </c>
      <c r="E41" s="51">
        <v>0.04</v>
      </c>
      <c r="F41" s="51">
        <v>0.1</v>
      </c>
      <c r="G41" s="51">
        <v>0.05</v>
      </c>
      <c r="H41" s="38">
        <f>(1+H42)*(1+H45)-1</f>
        <v>0.0706</v>
      </c>
      <c r="I41" s="1"/>
    </row>
    <row r="42" ht="15" customHeight="1">
      <c r="A42" s="1"/>
      <c r="B42" s="44" t="s">
        <v>85</v>
      </c>
      <c r="C42" s="51">
        <v>0.03</v>
      </c>
      <c r="D42" s="51">
        <v>0.06</v>
      </c>
      <c r="E42" s="51">
        <v>0.04</v>
      </c>
      <c r="F42" s="51">
        <v>0.07</v>
      </c>
      <c r="G42" s="51">
        <v>0.04</v>
      </c>
      <c r="H42" s="45">
        <v>0.06</v>
      </c>
      <c r="I42" s="22" t="s">
        <v>143</v>
      </c>
    </row>
    <row r="43" ht="15" customHeight="1">
      <c r="A43" s="1"/>
      <c r="B43" s="46" t="s">
        <v>82</v>
      </c>
      <c r="C43" s="47" t="s">
        <v>39</v>
      </c>
      <c r="D43" s="47">
        <f t="shared" si="5"/>
        <v>300</v>
      </c>
      <c r="E43" s="47"/>
      <c r="F43" s="47">
        <f t="shared" si="17"/>
        <v>100.00000000000009</v>
      </c>
      <c r="G43" s="47">
        <f t="shared" si="5"/>
        <v>-300.00000000000006</v>
      </c>
      <c r="H43" s="48">
        <f t="shared" si="5"/>
        <v>199.99999999999997</v>
      </c>
      <c r="I43" s="1"/>
    </row>
    <row r="44" ht="15" customHeight="1">
      <c r="A44" s="1"/>
      <c r="B44" s="46" t="s">
        <v>81</v>
      </c>
      <c r="C44" s="47" t="s">
        <v>39</v>
      </c>
      <c r="D44" s="47" t="s">
        <v>39</v>
      </c>
      <c r="E44" s="47" t="s">
        <v>39</v>
      </c>
      <c r="F44" s="47" t="s">
        <v>39</v>
      </c>
      <c r="G44" s="47" t="s">
        <v>39</v>
      </c>
      <c r="H44" s="48">
        <f t="shared" si="18"/>
        <v>300</v>
      </c>
      <c r="I44" s="1"/>
    </row>
    <row r="45" ht="15" customHeight="1">
      <c r="A45" s="1"/>
      <c r="B45" s="35" t="s">
        <v>67</v>
      </c>
      <c r="C45" s="20">
        <f t="shared" si="20" ref="C45:G45">IF(AND(ISNUMBER(C41),ISNUMBER(C42)),(1+C41)/(1+C42)-1,"n.a.")</f>
        <v>0</v>
      </c>
      <c r="D45" s="20">
        <f t="shared" si="20"/>
        <v>0.009433962264151052</v>
      </c>
      <c r="E45" s="20">
        <f t="shared" si="20"/>
        <v>0</v>
      </c>
      <c r="F45" s="20">
        <f t="shared" si="20"/>
        <v>0.028037383177570208</v>
      </c>
      <c r="G45" s="20">
        <f t="shared" si="20"/>
        <v>0.009615384615384581</v>
      </c>
      <c r="H45" s="45">
        <v>0.01</v>
      </c>
      <c r="I45" s="1"/>
    </row>
    <row r="46" ht="15" customHeight="1">
      <c r="A46" s="1"/>
      <c r="B46" s="46" t="s">
        <v>81</v>
      </c>
      <c r="C46" s="47" t="s">
        <v>39</v>
      </c>
      <c r="D46" s="47" t="s">
        <v>39</v>
      </c>
      <c r="E46" s="47" t="s">
        <v>39</v>
      </c>
      <c r="F46" s="47" t="s">
        <v>39</v>
      </c>
      <c r="G46" s="47" t="s">
        <v>39</v>
      </c>
      <c r="H46" s="48">
        <f t="shared" si="23" ref="H46:H169">IF(AND(ISNUMBER(H45),ISNUMBER(C45)),(H45-C45)*10000,"n.a.")</f>
        <v>100</v>
      </c>
      <c r="I46" s="1"/>
    </row>
    <row r="47" ht="15" customHeight="1">
      <c r="A47" s="1"/>
      <c r="B47" s="46" t="s">
        <v>82</v>
      </c>
      <c r="C47" s="47" t="s">
        <v>39</v>
      </c>
      <c r="D47" s="47">
        <f t="shared" si="21" ref="D47:H170">IF(AND(ISNUMBER(D45),ISNUMBER(C45)),(D45-C45)*10000,"n.a.")</f>
        <v>94.33962264151052</v>
      </c>
      <c r="E47" s="47"/>
      <c r="F47" s="47">
        <f t="shared" si="24" ref="F47:F170">IF(AND(ISNUMBER(F45),ISNUMBER(D45)),(F45-D45)*10000,"n.a.")</f>
        <v>186.03420913419154</v>
      </c>
      <c r="G47" s="47">
        <f t="shared" si="21"/>
        <v>-184.21998562185627</v>
      </c>
      <c r="H47" s="48">
        <f t="shared" si="21"/>
        <v>3.84615384615419</v>
      </c>
      <c r="I47" s="1"/>
    </row>
    <row r="48" ht="15" customHeight="1">
      <c r="A48" s="1"/>
      <c r="B48" s="35" t="s">
        <v>68</v>
      </c>
      <c r="C48" s="20">
        <f t="shared" si="22" ref="C48:G48">IF(AND(ISNUMBER(C38),ISNUMBER(C41)),(1+C38)/(1+C41)-1,"n.a.")</f>
        <v>0.026591784307247845</v>
      </c>
      <c r="D48" s="20">
        <f t="shared" si="22"/>
        <v>0.03638348023075588</v>
      </c>
      <c r="E48" s="20">
        <f t="shared" si="22"/>
        <v>0.018339243907498526</v>
      </c>
      <c r="F48" s="20">
        <f t="shared" si="22"/>
        <v>0.05830039525691699</v>
      </c>
      <c r="G48" s="20">
        <f t="shared" si="22"/>
        <v>0.022483569699065953</v>
      </c>
      <c r="H48" s="37">
        <f>'Revenue summary'!H57</f>
        <v>-0.002</v>
      </c>
      <c r="I48" s="1"/>
    </row>
    <row r="49" ht="15" customHeight="1">
      <c r="A49" s="1"/>
      <c r="B49" s="46" t="s">
        <v>81</v>
      </c>
      <c r="C49" s="47" t="s">
        <v>39</v>
      </c>
      <c r="D49" s="47" t="s">
        <v>39</v>
      </c>
      <c r="E49" s="47" t="s">
        <v>39</v>
      </c>
      <c r="F49" s="47" t="s">
        <v>39</v>
      </c>
      <c r="G49" s="47" t="s">
        <v>39</v>
      </c>
      <c r="H49" s="48">
        <f t="shared" si="23"/>
        <v>-285.9178430724785</v>
      </c>
      <c r="I49" s="1"/>
    </row>
    <row r="50" ht="15" customHeight="1">
      <c r="A50" s="1"/>
      <c r="B50" s="46" t="s">
        <v>82</v>
      </c>
      <c r="C50" s="47" t="s">
        <v>39</v>
      </c>
      <c r="D50" s="47">
        <f t="shared" si="21"/>
        <v>97.91695923508037</v>
      </c>
      <c r="E50" s="47"/>
      <c r="F50" s="47">
        <f t="shared" si="24"/>
        <v>219.1691502616111</v>
      </c>
      <c r="G50" s="47">
        <f t="shared" si="21"/>
        <v>-358.1682555785104</v>
      </c>
      <c r="H50" s="48">
        <f t="shared" si="21"/>
        <v>-244.83569699065956</v>
      </c>
      <c r="I50" s="1"/>
    </row>
    <row r="51" ht="15" customHeight="1">
      <c r="A51" s="1"/>
      <c r="B51" s="35" t="s">
        <v>88</v>
      </c>
      <c r="C51" s="20">
        <f t="shared" si="25" ref="C51:H51">IF(COUNT(C38,C45,C48)=3,(1+C38)/((1+C45)*(1+C48))-1,"n.a.")</f>
        <v>0.030000000000000027</v>
      </c>
      <c r="D51" s="20">
        <f t="shared" si="25"/>
        <v>0.06000000000000005</v>
      </c>
      <c r="E51" s="20">
        <f t="shared" si="25"/>
        <v>0.040000000000000036</v>
      </c>
      <c r="F51" s="20">
        <f t="shared" si="25"/>
        <v>0.06999999999999984</v>
      </c>
      <c r="G51" s="20">
        <f t="shared" si="25"/>
        <v>0.040000000000000036</v>
      </c>
      <c r="H51" s="38">
        <f t="shared" si="25"/>
        <v>0.05999999999999983</v>
      </c>
      <c r="I51" s="1"/>
    </row>
    <row r="52" ht="15" customHeight="1">
      <c r="A52" s="1"/>
      <c r="B52" s="41" t="s">
        <v>77</v>
      </c>
      <c r="C52" s="19">
        <f>IF(AND(ISNUMBER(C36),ISNUMBER(G37)),(C36-G37),"n.a.")</f>
        <v>17</v>
      </c>
      <c r="D52" s="19">
        <f t="shared" si="26" ref="D52:H52">IF(AND(ISNUMBER(D36),ISNUMBER(C36)),(D36-C36),"n.a.")</f>
        <v>178</v>
      </c>
      <c r="E52" s="19"/>
      <c r="F52" s="19">
        <f>IF(AND(ISNUMBER(F36),ISNUMBER(D36)),(F36-D36),"n.a.")</f>
        <v>-118</v>
      </c>
      <c r="G52" s="19">
        <f t="shared" si="26"/>
        <v>75</v>
      </c>
      <c r="H52" s="43">
        <f t="shared" si="26"/>
        <v>7.531221599999753</v>
      </c>
      <c r="I52" s="1"/>
    </row>
    <row r="53" ht="15" customHeight="1">
      <c r="A53" s="1"/>
      <c r="B53" s="1"/>
      <c r="C53" s="1"/>
      <c r="D53" s="1"/>
      <c r="E53" s="1"/>
      <c r="F53" s="1"/>
      <c r="G53" s="1"/>
      <c r="H53" s="32"/>
      <c r="I53" s="1"/>
    </row>
    <row r="54" ht="15" customHeight="1">
      <c r="A54" s="1"/>
      <c r="B54" s="4" t="s">
        <v>144</v>
      </c>
      <c r="C54" s="1"/>
      <c r="D54" s="1"/>
      <c r="E54" s="1"/>
      <c r="F54" s="1"/>
      <c r="G54" s="1"/>
      <c r="H54" s="32"/>
      <c r="I54" s="1"/>
    </row>
    <row r="55" ht="15" customHeight="1">
      <c r="A55" s="1"/>
      <c r="B55" s="1" t="s">
        <v>145</v>
      </c>
      <c r="C55" s="18">
        <f>E55-D55-Inputs!$D$162</f>
        <v>669</v>
      </c>
      <c r="D55" s="42">
        <v>782</v>
      </c>
      <c r="E55" s="42">
        <v>2610</v>
      </c>
      <c r="F55" s="42">
        <v>663</v>
      </c>
      <c r="G55" s="42">
        <v>653</v>
      </c>
      <c r="H55" s="43">
        <f>H95*G55/G95</f>
        <v>655.2182623837618</v>
      </c>
      <c r="I55" s="22" t="s">
        <v>146</v>
      </c>
    </row>
    <row r="56" ht="15" customHeight="1">
      <c r="A56" s="1"/>
      <c r="B56" s="41" t="s">
        <v>73</v>
      </c>
      <c r="C56" s="19" t="s">
        <v>39</v>
      </c>
      <c r="D56" s="42">
        <v>620</v>
      </c>
      <c r="E56" s="42">
        <v>2241</v>
      </c>
      <c r="F56" s="42">
        <v>540</v>
      </c>
      <c r="G56" s="42">
        <v>619</v>
      </c>
      <c r="H56" s="43">
        <f t="shared" si="10"/>
        <v>669</v>
      </c>
      <c r="I56" s="1"/>
    </row>
    <row r="57" ht="15" customHeight="1">
      <c r="A57" s="1"/>
      <c r="B57" s="35" t="s">
        <v>63</v>
      </c>
      <c r="C57" s="20" t="str">
        <f t="shared" si="3"/>
        <v>n.a.</v>
      </c>
      <c r="D57" s="20">
        <f t="shared" si="3"/>
        <v>0.2612903225806451</v>
      </c>
      <c r="E57" s="20">
        <f t="shared" si="3"/>
        <v>0.16465863453815266</v>
      </c>
      <c r="F57" s="20">
        <f t="shared" si="3"/>
        <v>0.22777777777777786</v>
      </c>
      <c r="G57" s="20">
        <f t="shared" si="3"/>
        <v>0.0549273021001615</v>
      </c>
      <c r="H57" s="38">
        <f t="shared" si="3"/>
        <v>-0.020600504658054075</v>
      </c>
      <c r="I57" s="1"/>
    </row>
    <row r="58" ht="15" customHeight="1">
      <c r="A58" s="1"/>
      <c r="B58" s="41" t="s">
        <v>77</v>
      </c>
      <c r="C58" s="19">
        <f t="shared" si="27"/>
        <v>50</v>
      </c>
      <c r="D58" s="19">
        <f t="shared" si="4"/>
        <v>113</v>
      </c>
      <c r="E58" s="19"/>
      <c r="F58" s="19">
        <f t="shared" si="11"/>
        <v>-119</v>
      </c>
      <c r="G58" s="19">
        <f t="shared" si="4"/>
        <v>-10</v>
      </c>
      <c r="H58" s="43">
        <f t="shared" si="4"/>
        <v>2.2182623837618394</v>
      </c>
      <c r="I58" s="1"/>
    </row>
    <row r="59" ht="15" customHeight="1">
      <c r="A59" s="1"/>
      <c r="B59" s="35" t="s">
        <v>147</v>
      </c>
      <c r="C59" s="20">
        <f t="shared" si="28" ref="C59:H59">IF(AND(ISNUMBER(C55),ISNUMBER(C95)),IF(C95=0,"n.m.",C55/C95),"n.a.")</f>
        <v>0.34395886889460153</v>
      </c>
      <c r="D59" s="20">
        <f t="shared" si="28"/>
        <v>0.37362637362637363</v>
      </c>
      <c r="E59" s="20">
        <f t="shared" si="28"/>
        <v>0.33984375</v>
      </c>
      <c r="F59" s="20">
        <f t="shared" si="28"/>
        <v>0.33586626139817627</v>
      </c>
      <c r="G59" s="20">
        <f t="shared" si="28"/>
        <v>0.3162227602905569</v>
      </c>
      <c r="H59" s="38">
        <f t="shared" si="28"/>
        <v>0.31622276029055696</v>
      </c>
      <c r="I59" s="1"/>
    </row>
    <row r="60" ht="15" customHeight="1">
      <c r="A60" s="1"/>
      <c r="B60" s="35" t="s">
        <v>74</v>
      </c>
      <c r="C60" s="20" t="s">
        <v>39</v>
      </c>
      <c r="D60" s="20" t="s">
        <v>39</v>
      </c>
      <c r="E60" s="20" t="s">
        <v>39</v>
      </c>
      <c r="F60" s="20" t="s">
        <v>39</v>
      </c>
      <c r="G60" s="20" t="s">
        <v>39</v>
      </c>
      <c r="H60" s="38" t="s">
        <v>39</v>
      </c>
      <c r="I60" s="1"/>
    </row>
    <row r="61" ht="15" customHeight="1">
      <c r="A61" s="1"/>
      <c r="B61" s="1" t="s">
        <v>148</v>
      </c>
      <c r="C61" s="18">
        <f>E61-D61-Inputs!$D$163</f>
        <v>684</v>
      </c>
      <c r="D61" s="42">
        <v>665</v>
      </c>
      <c r="E61" s="42">
        <v>2663</v>
      </c>
      <c r="F61" s="42">
        <v>719</v>
      </c>
      <c r="G61" s="42">
        <v>770</v>
      </c>
      <c r="H61" s="43">
        <f>H95*G61/G95</f>
        <v>772.6157152151554</v>
      </c>
      <c r="I61" s="22" t="s">
        <v>146</v>
      </c>
    </row>
    <row r="62" ht="15" customHeight="1">
      <c r="A62" s="1"/>
      <c r="B62" s="41" t="s">
        <v>73</v>
      </c>
      <c r="C62" s="19" t="s">
        <v>39</v>
      </c>
      <c r="D62" s="42">
        <v>670</v>
      </c>
      <c r="E62" s="42">
        <v>2618</v>
      </c>
      <c r="F62" s="42">
        <v>635</v>
      </c>
      <c r="G62" s="42">
        <v>679</v>
      </c>
      <c r="H62" s="43">
        <f t="shared" si="10"/>
        <v>684</v>
      </c>
      <c r="I62" s="1"/>
    </row>
    <row r="63" ht="15" customHeight="1">
      <c r="A63" s="1"/>
      <c r="B63" s="35" t="s">
        <v>63</v>
      </c>
      <c r="C63" s="20" t="str">
        <f t="shared" si="3"/>
        <v>n.a.</v>
      </c>
      <c r="D63" s="20">
        <f t="shared" si="3"/>
        <v>-0.007462686567164201</v>
      </c>
      <c r="E63" s="20">
        <f t="shared" si="3"/>
        <v>0.017188693659281995</v>
      </c>
      <c r="F63" s="20">
        <f t="shared" si="3"/>
        <v>0.13228346456692908</v>
      </c>
      <c r="G63" s="20">
        <f t="shared" si="3"/>
        <v>0.134020618556701</v>
      </c>
      <c r="H63" s="38">
        <f t="shared" si="3"/>
        <v>0.12955513920344353</v>
      </c>
      <c r="I63" s="1"/>
    </row>
    <row r="64" ht="15" customHeight="1">
      <c r="A64" s="1"/>
      <c r="B64" s="41" t="s">
        <v>77</v>
      </c>
      <c r="C64" s="19">
        <f t="shared" si="27"/>
        <v>5</v>
      </c>
      <c r="D64" s="19">
        <f t="shared" si="4"/>
        <v>-19</v>
      </c>
      <c r="E64" s="19"/>
      <c r="F64" s="19">
        <f t="shared" si="11"/>
        <v>54</v>
      </c>
      <c r="G64" s="19">
        <f t="shared" si="4"/>
        <v>51</v>
      </c>
      <c r="H64" s="43">
        <f t="shared" si="4"/>
        <v>2.615715215155433</v>
      </c>
      <c r="I64" s="1"/>
    </row>
    <row r="65" ht="15" customHeight="1">
      <c r="A65" s="1"/>
      <c r="B65" s="35" t="s">
        <v>147</v>
      </c>
      <c r="C65" s="20">
        <f t="shared" si="29" ref="C65:H65">IF(AND(ISNUMBER(C61),ISNUMBER(C95)),IF(C95=0,"n.m.",C61/C95),"n.a.")</f>
        <v>0.35167095115681235</v>
      </c>
      <c r="D65" s="20">
        <f t="shared" si="29"/>
        <v>0.3177257525083612</v>
      </c>
      <c r="E65" s="20">
        <f t="shared" si="29"/>
        <v>0.34674479166666666</v>
      </c>
      <c r="F65" s="20">
        <f t="shared" si="29"/>
        <v>0.36423505572441744</v>
      </c>
      <c r="G65" s="20">
        <f t="shared" si="29"/>
        <v>0.3728813559322034</v>
      </c>
      <c r="H65" s="38">
        <f t="shared" si="29"/>
        <v>0.37288135593220334</v>
      </c>
      <c r="I65" s="1"/>
    </row>
    <row r="66" ht="15" customHeight="1">
      <c r="A66" s="1"/>
      <c r="B66" s="35" t="s">
        <v>74</v>
      </c>
      <c r="C66" s="20" t="s">
        <v>39</v>
      </c>
      <c r="D66" s="20" t="s">
        <v>39</v>
      </c>
      <c r="E66" s="20" t="s">
        <v>39</v>
      </c>
      <c r="F66" s="20" t="s">
        <v>39</v>
      </c>
      <c r="G66" s="20" t="s">
        <v>39</v>
      </c>
      <c r="H66" s="38" t="s">
        <v>39</v>
      </c>
      <c r="I66" s="1"/>
    </row>
    <row r="67" ht="15" customHeight="1">
      <c r="A67" s="1"/>
      <c r="B67" s="41" t="s">
        <v>149</v>
      </c>
      <c r="C67" s="18">
        <f>E67-D67-Inputs!$D$164</f>
        <v>564</v>
      </c>
      <c r="D67" s="42">
        <v>534</v>
      </c>
      <c r="E67" s="42">
        <v>2185</v>
      </c>
      <c r="F67" s="42">
        <v>592</v>
      </c>
      <c r="G67" s="42">
        <v>639</v>
      </c>
      <c r="H67" s="43">
        <f t="shared" si="34" ref="H67:H84">H61*G67/G61</f>
        <v>641.1707039253043</v>
      </c>
      <c r="I67" s="22" t="s">
        <v>146</v>
      </c>
    </row>
    <row r="68" ht="15" customHeight="1">
      <c r="A68" s="1"/>
      <c r="B68" s="62" t="s">
        <v>73</v>
      </c>
      <c r="C68" s="19" t="s">
        <v>39</v>
      </c>
      <c r="D68" s="42">
        <v>542</v>
      </c>
      <c r="E68" s="42">
        <v>2122</v>
      </c>
      <c r="F68" s="42">
        <v>524</v>
      </c>
      <c r="G68" s="42">
        <v>563</v>
      </c>
      <c r="H68" s="43">
        <f t="shared" si="10"/>
        <v>564</v>
      </c>
      <c r="I68" s="1"/>
    </row>
    <row r="69" ht="15" customHeight="1">
      <c r="A69" s="1"/>
      <c r="B69" s="46" t="s">
        <v>63</v>
      </c>
      <c r="C69" s="20" t="str">
        <f t="shared" si="3"/>
        <v>n.a.</v>
      </c>
      <c r="D69" s="20">
        <f t="shared" si="3"/>
        <v>-0.014760147601476037</v>
      </c>
      <c r="E69" s="20">
        <f t="shared" si="3"/>
        <v>0.029688972667295088</v>
      </c>
      <c r="F69" s="20">
        <f t="shared" si="3"/>
        <v>0.12977099236641232</v>
      </c>
      <c r="G69" s="20">
        <f t="shared" si="3"/>
        <v>0.13499111900532856</v>
      </c>
      <c r="H69" s="38">
        <f t="shared" si="3"/>
        <v>0.1368274892292629</v>
      </c>
      <c r="I69" s="1"/>
    </row>
    <row r="70" ht="15" customHeight="1">
      <c r="A70" s="1"/>
      <c r="B70" s="62" t="s">
        <v>77</v>
      </c>
      <c r="C70" s="19">
        <f t="shared" si="27"/>
        <v>1</v>
      </c>
      <c r="D70" s="19">
        <f t="shared" si="4"/>
        <v>-30</v>
      </c>
      <c r="E70" s="19"/>
      <c r="F70" s="19">
        <f t="shared" si="11"/>
        <v>58</v>
      </c>
      <c r="G70" s="19">
        <f t="shared" si="4"/>
        <v>47</v>
      </c>
      <c r="H70" s="43">
        <f t="shared" si="4"/>
        <v>2.1707039253043376</v>
      </c>
      <c r="I70" s="1"/>
    </row>
    <row r="71" ht="15" customHeight="1">
      <c r="A71" s="1"/>
      <c r="B71" s="46" t="s">
        <v>147</v>
      </c>
      <c r="C71" s="20">
        <f t="shared" si="30" ref="C71:H71">IF(AND(ISNUMBER(C67),ISNUMBER(C95)),IF(C95=0,"n.m.",C67/C95),"n.a.")</f>
        <v>0.289974293059126</v>
      </c>
      <c r="D71" s="20">
        <f t="shared" si="30"/>
        <v>0.25513616817964646</v>
      </c>
      <c r="E71" s="20">
        <f t="shared" si="30"/>
        <v>0.2845052083333333</v>
      </c>
      <c r="F71" s="20">
        <f t="shared" si="30"/>
        <v>0.2998986828774063</v>
      </c>
      <c r="G71" s="20">
        <f t="shared" si="30"/>
        <v>0.30944309927360775</v>
      </c>
      <c r="H71" s="38">
        <f t="shared" si="30"/>
        <v>0.30944309927360775</v>
      </c>
      <c r="I71" s="1"/>
    </row>
    <row r="72" ht="15" customHeight="1">
      <c r="A72" s="1"/>
      <c r="B72" s="46" t="s">
        <v>74</v>
      </c>
      <c r="C72" s="20" t="s">
        <v>39</v>
      </c>
      <c r="D72" s="20" t="s">
        <v>39</v>
      </c>
      <c r="E72" s="20" t="s">
        <v>39</v>
      </c>
      <c r="F72" s="20" t="s">
        <v>39</v>
      </c>
      <c r="G72" s="20" t="s">
        <v>39</v>
      </c>
      <c r="H72" s="38" t="s">
        <v>39</v>
      </c>
      <c r="I72" s="1"/>
    </row>
    <row r="73" ht="15" customHeight="1">
      <c r="A73" s="1"/>
      <c r="B73" s="41" t="s">
        <v>150</v>
      </c>
      <c r="C73" s="19">
        <f t="shared" si="31" ref="C73:H90">C61-C67</f>
        <v>120</v>
      </c>
      <c r="D73" s="19">
        <f t="shared" si="31"/>
        <v>131</v>
      </c>
      <c r="E73" s="19">
        <f t="shared" si="31"/>
        <v>478</v>
      </c>
      <c r="F73" s="19">
        <f t="shared" si="31"/>
        <v>127</v>
      </c>
      <c r="G73" s="19">
        <f t="shared" si="31"/>
        <v>131</v>
      </c>
      <c r="H73" s="43">
        <f t="shared" si="31"/>
        <v>131.4450112898511</v>
      </c>
      <c r="I73" s="1"/>
    </row>
    <row r="74" ht="15" customHeight="1">
      <c r="A74" s="1"/>
      <c r="B74" s="62" t="s">
        <v>151</v>
      </c>
      <c r="C74" s="19" t="str">
        <f t="shared" si="32" ref="C74:H91">IF(COUNT(C62,C68)=2,C62-C68,"n.a.")</f>
        <v>n.a.</v>
      </c>
      <c r="D74" s="19">
        <f t="shared" si="32"/>
        <v>128</v>
      </c>
      <c r="E74" s="19">
        <f t="shared" si="32"/>
        <v>496</v>
      </c>
      <c r="F74" s="19">
        <f t="shared" si="32"/>
        <v>111</v>
      </c>
      <c r="G74" s="19">
        <f t="shared" si="32"/>
        <v>116</v>
      </c>
      <c r="H74" s="43">
        <f t="shared" si="32"/>
        <v>120</v>
      </c>
      <c r="I74" s="1"/>
    </row>
    <row r="75" ht="15" customHeight="1">
      <c r="A75" s="1"/>
      <c r="B75" s="46" t="s">
        <v>63</v>
      </c>
      <c r="C75" s="20" t="str">
        <f t="shared" si="3"/>
        <v>n.a.</v>
      </c>
      <c r="D75" s="20">
        <f t="shared" si="3"/>
        <v>0.0234375</v>
      </c>
      <c r="E75" s="20">
        <f t="shared" si="3"/>
        <v>-0.03629032258064513</v>
      </c>
      <c r="F75" s="20">
        <f t="shared" si="3"/>
        <v>0.14414414414414423</v>
      </c>
      <c r="G75" s="20">
        <f t="shared" si="3"/>
        <v>0.1293103448275863</v>
      </c>
      <c r="H75" s="38">
        <f t="shared" si="3"/>
        <v>0.09537509408209255</v>
      </c>
      <c r="I75" s="1"/>
    </row>
    <row r="76" ht="15" customHeight="1">
      <c r="A76" s="1"/>
      <c r="B76" s="62" t="s">
        <v>77</v>
      </c>
      <c r="C76" s="19">
        <f t="shared" si="27"/>
        <v>4</v>
      </c>
      <c r="D76" s="19">
        <f t="shared" si="4"/>
        <v>11</v>
      </c>
      <c r="E76" s="19"/>
      <c r="F76" s="19">
        <f t="shared" si="11"/>
        <v>-4</v>
      </c>
      <c r="G76" s="19">
        <f t="shared" si="4"/>
        <v>4</v>
      </c>
      <c r="H76" s="43">
        <f t="shared" si="4"/>
        <v>0.44501128985109517</v>
      </c>
      <c r="I76" s="1"/>
    </row>
    <row r="77" ht="15" customHeight="1">
      <c r="A77" s="1"/>
      <c r="B77" s="46" t="s">
        <v>74</v>
      </c>
      <c r="C77" s="20" t="s">
        <v>39</v>
      </c>
      <c r="D77" s="20" t="s">
        <v>39</v>
      </c>
      <c r="E77" s="20" t="s">
        <v>39</v>
      </c>
      <c r="F77" s="20" t="s">
        <v>39</v>
      </c>
      <c r="G77" s="20" t="s">
        <v>39</v>
      </c>
      <c r="H77" s="38" t="s">
        <v>39</v>
      </c>
      <c r="I77" s="1"/>
    </row>
    <row r="78" ht="15" customHeight="1">
      <c r="A78" s="1"/>
      <c r="B78" s="1" t="s">
        <v>152</v>
      </c>
      <c r="C78" s="18">
        <f>E78-D78-Inputs!$D$165</f>
        <v>592</v>
      </c>
      <c r="D78" s="42">
        <v>646</v>
      </c>
      <c r="E78" s="42">
        <v>2407</v>
      </c>
      <c r="F78" s="42">
        <v>592</v>
      </c>
      <c r="G78" s="42">
        <v>642</v>
      </c>
      <c r="H78" s="43">
        <f>H95-H55-H61</f>
        <v>644.1808950235452</v>
      </c>
      <c r="I78" s="22" t="s">
        <v>153</v>
      </c>
    </row>
    <row r="79" ht="15" customHeight="1">
      <c r="A79" s="1"/>
      <c r="B79" s="41" t="s">
        <v>73</v>
      </c>
      <c r="C79" s="19" t="s">
        <v>39</v>
      </c>
      <c r="D79" s="42">
        <v>604</v>
      </c>
      <c r="E79" s="42">
        <v>2353</v>
      </c>
      <c r="F79" s="42">
        <v>536</v>
      </c>
      <c r="G79" s="42">
        <v>633</v>
      </c>
      <c r="H79" s="43">
        <f t="shared" si="10"/>
        <v>592</v>
      </c>
      <c r="I79" s="1"/>
    </row>
    <row r="80" ht="15" customHeight="1">
      <c r="A80" s="1"/>
      <c r="B80" s="35" t="s">
        <v>63</v>
      </c>
      <c r="C80" s="20" t="str">
        <f t="shared" si="3"/>
        <v>n.a.</v>
      </c>
      <c r="D80" s="20">
        <f t="shared" si="3"/>
        <v>0.06953642384105962</v>
      </c>
      <c r="E80" s="20">
        <f t="shared" si="3"/>
        <v>0.022949426264343487</v>
      </c>
      <c r="F80" s="20">
        <f t="shared" si="3"/>
        <v>0.10447761194029859</v>
      </c>
      <c r="G80" s="20">
        <f t="shared" si="3"/>
        <v>0.014218009478673022</v>
      </c>
      <c r="H80" s="38">
        <f t="shared" si="3"/>
        <v>0.0881434037559885</v>
      </c>
      <c r="I80" s="1"/>
    </row>
    <row r="81" ht="15" customHeight="1">
      <c r="A81" s="1"/>
      <c r="B81" s="41" t="s">
        <v>77</v>
      </c>
      <c r="C81" s="19">
        <f t="shared" si="27"/>
        <v>-41</v>
      </c>
      <c r="D81" s="19">
        <f t="shared" si="4"/>
        <v>54</v>
      </c>
      <c r="E81" s="19"/>
      <c r="F81" s="19">
        <f t="shared" si="11"/>
        <v>-54</v>
      </c>
      <c r="G81" s="19">
        <f t="shared" si="4"/>
        <v>50</v>
      </c>
      <c r="H81" s="43">
        <f t="shared" si="4"/>
        <v>2.1808950235451903</v>
      </c>
      <c r="I81" s="1"/>
    </row>
    <row r="82" ht="15" customHeight="1">
      <c r="A82" s="1"/>
      <c r="B82" s="35" t="s">
        <v>147</v>
      </c>
      <c r="C82" s="20">
        <f t="shared" si="33" ref="C82:H82">IF(AND(ISNUMBER(C78),ISNUMBER(C95)),IF(C95=0,"n.m.",C78/C95),"n.a.")</f>
        <v>0.3043701799485861</v>
      </c>
      <c r="D82" s="20">
        <f t="shared" si="33"/>
        <v>0.30864787386526515</v>
      </c>
      <c r="E82" s="20">
        <f t="shared" si="33"/>
        <v>0.31341145833333334</v>
      </c>
      <c r="F82" s="20">
        <f t="shared" si="33"/>
        <v>0.2998986828774063</v>
      </c>
      <c r="G82" s="20">
        <f t="shared" si="33"/>
        <v>0.3108958837772397</v>
      </c>
      <c r="H82" s="38">
        <f t="shared" si="33"/>
        <v>0.3108958837772397</v>
      </c>
      <c r="I82" s="1"/>
    </row>
    <row r="83" ht="15" customHeight="1">
      <c r="A83" s="1"/>
      <c r="B83" s="35" t="s">
        <v>74</v>
      </c>
      <c r="C83" s="20" t="s">
        <v>39</v>
      </c>
      <c r="D83" s="20" t="s">
        <v>39</v>
      </c>
      <c r="E83" s="20" t="s">
        <v>39</v>
      </c>
      <c r="F83" s="20" t="s">
        <v>39</v>
      </c>
      <c r="G83" s="20" t="s">
        <v>39</v>
      </c>
      <c r="H83" s="38" t="s">
        <v>39</v>
      </c>
      <c r="I83" s="1"/>
    </row>
    <row r="84" ht="15" customHeight="1">
      <c r="A84" s="1"/>
      <c r="B84" s="41" t="s">
        <v>154</v>
      </c>
      <c r="C84" s="18">
        <f>E84-D84-Inputs!$D$166</f>
        <v>276</v>
      </c>
      <c r="D84" s="42">
        <v>288</v>
      </c>
      <c r="E84" s="42">
        <v>1098</v>
      </c>
      <c r="F84" s="42">
        <v>284</v>
      </c>
      <c r="G84" s="42">
        <v>333</v>
      </c>
      <c r="H84" s="43">
        <f t="shared" si="34"/>
        <v>334.13121190473606</v>
      </c>
      <c r="I84" s="22" t="s">
        <v>146</v>
      </c>
    </row>
    <row r="85" ht="15" customHeight="1">
      <c r="A85" s="1"/>
      <c r="B85" s="62" t="s">
        <v>73</v>
      </c>
      <c r="C85" s="19" t="s">
        <v>39</v>
      </c>
      <c r="D85" s="42">
        <v>271</v>
      </c>
      <c r="E85" s="42">
        <v>1098</v>
      </c>
      <c r="F85" s="42">
        <v>243</v>
      </c>
      <c r="G85" s="42">
        <v>291</v>
      </c>
      <c r="H85" s="43">
        <f t="shared" si="10"/>
        <v>276</v>
      </c>
      <c r="I85" s="1"/>
    </row>
    <row r="86" ht="15" customHeight="1">
      <c r="A86" s="1"/>
      <c r="B86" s="46" t="s">
        <v>63</v>
      </c>
      <c r="C86" s="20" t="str">
        <f t="shared" si="3"/>
        <v>n.a.</v>
      </c>
      <c r="D86" s="20">
        <f t="shared" si="3"/>
        <v>0.0627306273062731</v>
      </c>
      <c r="E86" s="20">
        <f t="shared" si="3"/>
        <v>0</v>
      </c>
      <c r="F86" s="20">
        <f t="shared" si="3"/>
        <v>0.16872427983539096</v>
      </c>
      <c r="G86" s="20">
        <f t="shared" si="3"/>
        <v>0.14432989690721643</v>
      </c>
      <c r="H86" s="38">
        <f t="shared" si="3"/>
        <v>0.21062033298817417</v>
      </c>
      <c r="I86" s="1"/>
    </row>
    <row r="87" ht="15" customHeight="1">
      <c r="A87" s="1"/>
      <c r="B87" s="62" t="s">
        <v>77</v>
      </c>
      <c r="C87" s="19">
        <f t="shared" si="27"/>
        <v>-15</v>
      </c>
      <c r="D87" s="19">
        <f t="shared" si="4"/>
        <v>12</v>
      </c>
      <c r="E87" s="19"/>
      <c r="F87" s="19">
        <f t="shared" si="11"/>
        <v>-4</v>
      </c>
      <c r="G87" s="19">
        <f t="shared" si="4"/>
        <v>49</v>
      </c>
      <c r="H87" s="43">
        <f t="shared" si="4"/>
        <v>1.1312119047360625</v>
      </c>
      <c r="I87" s="1"/>
    </row>
    <row r="88" ht="15" customHeight="1">
      <c r="A88" s="1"/>
      <c r="B88" s="46" t="s">
        <v>147</v>
      </c>
      <c r="C88" s="20">
        <f t="shared" si="35" ref="C88:H88">IF(AND(ISNUMBER(C84),ISNUMBER(C95)),IF(C95=0,"n.m.",C84/C95),"n.a.")</f>
        <v>0.14190231362467867</v>
      </c>
      <c r="D88" s="20">
        <f t="shared" si="35"/>
        <v>0.13760152890587674</v>
      </c>
      <c r="E88" s="20">
        <f t="shared" si="35"/>
        <v>0.14296875</v>
      </c>
      <c r="F88" s="20">
        <f t="shared" si="35"/>
        <v>0.14387031408308004</v>
      </c>
      <c r="G88" s="20">
        <f t="shared" si="35"/>
        <v>0.1612590799031477</v>
      </c>
      <c r="H88" s="38">
        <f t="shared" si="35"/>
        <v>0.1612590799031477</v>
      </c>
      <c r="I88" s="1"/>
    </row>
    <row r="89" ht="15" customHeight="1">
      <c r="A89" s="1"/>
      <c r="B89" s="46" t="s">
        <v>74</v>
      </c>
      <c r="C89" s="20" t="s">
        <v>39</v>
      </c>
      <c r="D89" s="20" t="s">
        <v>39</v>
      </c>
      <c r="E89" s="20" t="s">
        <v>39</v>
      </c>
      <c r="F89" s="20" t="s">
        <v>39</v>
      </c>
      <c r="G89" s="20" t="s">
        <v>39</v>
      </c>
      <c r="H89" s="38" t="s">
        <v>39</v>
      </c>
      <c r="I89" s="1"/>
    </row>
    <row r="90" ht="15" customHeight="1">
      <c r="A90" s="1"/>
      <c r="B90" s="41" t="s">
        <v>155</v>
      </c>
      <c r="C90" s="19">
        <f t="shared" si="31"/>
        <v>316</v>
      </c>
      <c r="D90" s="19">
        <f t="shared" si="31"/>
        <v>358</v>
      </c>
      <c r="E90" s="19">
        <f t="shared" si="31"/>
        <v>1309</v>
      </c>
      <c r="F90" s="19">
        <f t="shared" si="31"/>
        <v>308</v>
      </c>
      <c r="G90" s="19">
        <f t="shared" si="31"/>
        <v>309</v>
      </c>
      <c r="H90" s="43">
        <f t="shared" si="31"/>
        <v>310.0496831188091</v>
      </c>
      <c r="I90" s="1"/>
    </row>
    <row r="91" ht="15" customHeight="1">
      <c r="A91" s="1"/>
      <c r="B91" s="62" t="s">
        <v>151</v>
      </c>
      <c r="C91" s="19" t="str">
        <f t="shared" si="32"/>
        <v>n.a.</v>
      </c>
      <c r="D91" s="19">
        <f t="shared" si="32"/>
        <v>333</v>
      </c>
      <c r="E91" s="19">
        <f t="shared" si="32"/>
        <v>1255</v>
      </c>
      <c r="F91" s="19">
        <f t="shared" si="32"/>
        <v>293</v>
      </c>
      <c r="G91" s="19">
        <f t="shared" si="32"/>
        <v>342</v>
      </c>
      <c r="H91" s="43">
        <f t="shared" si="32"/>
        <v>316</v>
      </c>
      <c r="I91" s="1"/>
    </row>
    <row r="92" ht="15" customHeight="1">
      <c r="A92" s="1"/>
      <c r="B92" s="46" t="s">
        <v>63</v>
      </c>
      <c r="C92" s="20" t="str">
        <f t="shared" si="3"/>
        <v>n.a.</v>
      </c>
      <c r="D92" s="20">
        <f t="shared" si="3"/>
        <v>0.07507507507507505</v>
      </c>
      <c r="E92" s="20">
        <f t="shared" si="3"/>
        <v>0.04302788844621519</v>
      </c>
      <c r="F92" s="20">
        <f t="shared" si="3"/>
        <v>0.05119453924914685</v>
      </c>
      <c r="G92" s="20">
        <f t="shared" si="3"/>
        <v>-0.0964912280701754</v>
      </c>
      <c r="H92" s="38">
        <f t="shared" si="3"/>
        <v>-0.018830116712629352</v>
      </c>
      <c r="I92" s="1"/>
    </row>
    <row r="93" ht="15" customHeight="1">
      <c r="A93" s="1"/>
      <c r="B93" s="62" t="s">
        <v>77</v>
      </c>
      <c r="C93" s="19">
        <f t="shared" si="27"/>
        <v>-26</v>
      </c>
      <c r="D93" s="19">
        <f t="shared" si="4"/>
        <v>42</v>
      </c>
      <c r="E93" s="19"/>
      <c r="F93" s="19">
        <f t="shared" si="11"/>
        <v>-50</v>
      </c>
      <c r="G93" s="19">
        <f t="shared" si="4"/>
        <v>1</v>
      </c>
      <c r="H93" s="43">
        <f t="shared" si="4"/>
        <v>1.0496831188091278</v>
      </c>
      <c r="I93" s="1"/>
    </row>
    <row r="94" ht="15" customHeight="1">
      <c r="A94" s="1"/>
      <c r="B94" s="46" t="s">
        <v>74</v>
      </c>
      <c r="C94" s="20" t="s">
        <v>39</v>
      </c>
      <c r="D94" s="20" t="s">
        <v>39</v>
      </c>
      <c r="E94" s="20" t="s">
        <v>39</v>
      </c>
      <c r="F94" s="20" t="s">
        <v>39</v>
      </c>
      <c r="G94" s="20" t="s">
        <v>39</v>
      </c>
      <c r="H94" s="38" t="s">
        <v>39</v>
      </c>
      <c r="I94" s="1"/>
    </row>
    <row r="95" ht="15" customHeight="1">
      <c r="A95" s="1"/>
      <c r="B95" s="4" t="s">
        <v>156</v>
      </c>
      <c r="C95" s="49">
        <f t="shared" si="36" ref="C95:G95">C55+C61+C78</f>
        <v>1945</v>
      </c>
      <c r="D95" s="49">
        <f t="shared" si="36"/>
        <v>2093</v>
      </c>
      <c r="E95" s="49">
        <f t="shared" si="36"/>
        <v>7680</v>
      </c>
      <c r="F95" s="49">
        <f t="shared" si="36"/>
        <v>1974</v>
      </c>
      <c r="G95" s="49">
        <f t="shared" si="36"/>
        <v>2065</v>
      </c>
      <c r="H95" s="50">
        <f>H36-H115</f>
        <v>2072.0148726224625</v>
      </c>
      <c r="I95" s="22" t="s">
        <v>157</v>
      </c>
    </row>
    <row r="96" ht="15" customHeight="1">
      <c r="A96" s="1"/>
      <c r="B96" s="41" t="s">
        <v>158</v>
      </c>
      <c r="C96" s="19" t="str">
        <f t="shared" si="37" ref="C96:H96">IF(COUNT(C56,C62,C79)=3,C56+C62+C79,"n.a.")</f>
        <v>n.a.</v>
      </c>
      <c r="D96" s="19">
        <f t="shared" si="37"/>
        <v>1894</v>
      </c>
      <c r="E96" s="19">
        <f t="shared" si="37"/>
        <v>7212</v>
      </c>
      <c r="F96" s="19">
        <f t="shared" si="37"/>
        <v>1711</v>
      </c>
      <c r="G96" s="19">
        <f t="shared" si="37"/>
        <v>1931</v>
      </c>
      <c r="H96" s="43">
        <f t="shared" si="37"/>
        <v>1945</v>
      </c>
      <c r="I96" s="1"/>
    </row>
    <row r="97" ht="15" customHeight="1">
      <c r="A97" s="1"/>
      <c r="B97" s="35" t="s">
        <v>63</v>
      </c>
      <c r="C97" s="20" t="str">
        <f t="shared" si="3"/>
        <v>n.a.</v>
      </c>
      <c r="D97" s="20">
        <f t="shared" si="3"/>
        <v>0.10506863780359033</v>
      </c>
      <c r="E97" s="20">
        <f t="shared" si="3"/>
        <v>0.06489184692179695</v>
      </c>
      <c r="F97" s="20">
        <f t="shared" si="3"/>
        <v>0.15371127995324363</v>
      </c>
      <c r="G97" s="20">
        <f t="shared" si="3"/>
        <v>0.06939409632314852</v>
      </c>
      <c r="H97" s="38">
        <f t="shared" si="3"/>
        <v>0.06530327641257716</v>
      </c>
      <c r="I97" s="1"/>
    </row>
    <row r="98" ht="15" customHeight="1">
      <c r="A98" s="1"/>
      <c r="B98" s="41" t="s">
        <v>77</v>
      </c>
      <c r="C98" s="19">
        <f t="shared" si="27"/>
        <v>14</v>
      </c>
      <c r="D98" s="19">
        <f t="shared" si="4"/>
        <v>148</v>
      </c>
      <c r="E98" s="19"/>
      <c r="F98" s="19">
        <f t="shared" si="11"/>
        <v>-119</v>
      </c>
      <c r="G98" s="19">
        <f t="shared" si="4"/>
        <v>91</v>
      </c>
      <c r="H98" s="43">
        <f t="shared" si="4"/>
        <v>7.0148726224624625</v>
      </c>
      <c r="I98" s="1"/>
    </row>
    <row r="99" ht="15" customHeight="1">
      <c r="A99" s="1"/>
      <c r="B99" s="35" t="s">
        <v>74</v>
      </c>
      <c r="C99" s="20" t="s">
        <v>39</v>
      </c>
      <c r="D99" s="20" t="s">
        <v>39</v>
      </c>
      <c r="E99" s="20" t="s">
        <v>39</v>
      </c>
      <c r="F99" s="20" t="s">
        <v>39</v>
      </c>
      <c r="G99" s="20" t="s">
        <v>39</v>
      </c>
      <c r="H99" s="38" t="s">
        <v>39</v>
      </c>
      <c r="I99" s="1"/>
    </row>
    <row r="100" ht="15" customHeight="1">
      <c r="A100" s="1"/>
      <c r="B100" s="1"/>
      <c r="C100" s="1"/>
      <c r="D100" s="1"/>
      <c r="E100" s="1"/>
      <c r="F100" s="1"/>
      <c r="G100" s="1"/>
      <c r="H100" s="32"/>
      <c r="I100" s="1"/>
    </row>
    <row r="101" ht="15" customHeight="1">
      <c r="A101" s="1"/>
      <c r="B101" s="4" t="s">
        <v>159</v>
      </c>
      <c r="C101" s="1"/>
      <c r="D101" s="1"/>
      <c r="E101" s="1"/>
      <c r="F101" s="1"/>
      <c r="G101" s="1"/>
      <c r="H101" s="32"/>
      <c r="I101" s="1"/>
    </row>
    <row r="102" ht="15" customHeight="1">
      <c r="A102" s="1"/>
      <c r="B102" s="1" t="s">
        <v>160</v>
      </c>
      <c r="C102" s="18">
        <f>E102-D102-Inputs!$D$167</f>
        <v>1639</v>
      </c>
      <c r="D102" s="42">
        <v>1761</v>
      </c>
      <c r="E102" s="42">
        <v>6495</v>
      </c>
      <c r="F102" s="42">
        <v>1685</v>
      </c>
      <c r="G102" s="42">
        <v>1749</v>
      </c>
      <c r="H102" s="43">
        <f>H95*G102/G95</f>
        <v>1754.9414102744245</v>
      </c>
      <c r="I102" s="1"/>
    </row>
    <row r="103" ht="15" customHeight="1">
      <c r="A103" s="1"/>
      <c r="B103" s="41" t="s">
        <v>73</v>
      </c>
      <c r="C103" s="19" t="s">
        <v>39</v>
      </c>
      <c r="D103" s="42">
        <v>1605</v>
      </c>
      <c r="E103" s="42">
        <v>6060</v>
      </c>
      <c r="F103" s="42">
        <v>1456</v>
      </c>
      <c r="G103" s="42">
        <v>1639</v>
      </c>
      <c r="H103" s="43">
        <f t="shared" si="10"/>
        <v>1639</v>
      </c>
      <c r="I103" s="1"/>
    </row>
    <row r="104" ht="15" customHeight="1">
      <c r="A104" s="1"/>
      <c r="B104" s="35" t="s">
        <v>63</v>
      </c>
      <c r="C104" s="20" t="str">
        <f t="shared" si="3"/>
        <v>n.a.</v>
      </c>
      <c r="D104" s="20">
        <f t="shared" si="3"/>
        <v>0.09719626168224305</v>
      </c>
      <c r="E104" s="20">
        <f t="shared" si="3"/>
        <v>0.07178217821782185</v>
      </c>
      <c r="F104" s="20">
        <f t="shared" si="3"/>
        <v>0.1572802197802199</v>
      </c>
      <c r="G104" s="20">
        <f t="shared" si="3"/>
        <v>0.06711409395973145</v>
      </c>
      <c r="H104" s="38">
        <f t="shared" si="3"/>
        <v>0.07073911548165013</v>
      </c>
      <c r="I104" s="1"/>
    </row>
    <row r="105" ht="15" customHeight="1">
      <c r="A105" s="1"/>
      <c r="B105" s="41" t="s">
        <v>77</v>
      </c>
      <c r="C105" s="19">
        <f t="shared" si="27"/>
        <v>0</v>
      </c>
      <c r="D105" s="19">
        <f t="shared" si="4"/>
        <v>122</v>
      </c>
      <c r="E105" s="19"/>
      <c r="F105" s="19">
        <f t="shared" si="11"/>
        <v>-76</v>
      </c>
      <c r="G105" s="19">
        <f t="shared" si="4"/>
        <v>64</v>
      </c>
      <c r="H105" s="43">
        <f t="shared" si="4"/>
        <v>5.94141027442447</v>
      </c>
      <c r="I105" s="1"/>
    </row>
    <row r="106" ht="15" customHeight="1">
      <c r="A106" s="1"/>
      <c r="B106" s="35" t="s">
        <v>147</v>
      </c>
      <c r="C106" s="20">
        <f t="shared" si="38" ref="C106:H106">IF(AND(ISNUMBER(C102),ISNUMBER(C95)),IF(C95=0,"n.m.",C102/C95),"n.a.")</f>
        <v>0.8426735218508997</v>
      </c>
      <c r="D106" s="20">
        <f t="shared" si="38"/>
        <v>0.8413760152890588</v>
      </c>
      <c r="E106" s="20">
        <f t="shared" si="38"/>
        <v>0.845703125</v>
      </c>
      <c r="F106" s="20">
        <f t="shared" si="38"/>
        <v>0.853596757852077</v>
      </c>
      <c r="G106" s="20">
        <f t="shared" si="38"/>
        <v>0.8469733656174334</v>
      </c>
      <c r="H106" s="38">
        <f t="shared" si="38"/>
        <v>0.8469733656174333</v>
      </c>
      <c r="I106" s="1"/>
    </row>
    <row r="107" ht="15" customHeight="1">
      <c r="A107" s="1"/>
      <c r="B107" s="35" t="s">
        <v>74</v>
      </c>
      <c r="C107" s="20" t="s">
        <v>39</v>
      </c>
      <c r="D107" s="20" t="s">
        <v>39</v>
      </c>
      <c r="E107" s="20" t="s">
        <v>39</v>
      </c>
      <c r="F107" s="20" t="s">
        <v>39</v>
      </c>
      <c r="G107" s="20" t="s">
        <v>39</v>
      </c>
      <c r="H107" s="38" t="s">
        <v>39</v>
      </c>
      <c r="I107" s="1"/>
    </row>
    <row r="108" ht="15" customHeight="1">
      <c r="A108" s="1"/>
      <c r="B108" s="1" t="s">
        <v>161</v>
      </c>
      <c r="C108" s="18">
        <f>E108-D108-Inputs!$D$168</f>
        <v>306</v>
      </c>
      <c r="D108" s="42">
        <v>332</v>
      </c>
      <c r="E108" s="42">
        <v>1185</v>
      </c>
      <c r="F108" s="42">
        <v>289</v>
      </c>
      <c r="G108" s="42">
        <v>316</v>
      </c>
      <c r="H108" s="43">
        <f>H95-H102</f>
        <v>317.073462348038</v>
      </c>
      <c r="I108" s="1"/>
    </row>
    <row r="109" ht="15" customHeight="1">
      <c r="A109" s="1"/>
      <c r="B109" s="41" t="s">
        <v>73</v>
      </c>
      <c r="C109" s="19" t="s">
        <v>39</v>
      </c>
      <c r="D109" s="42">
        <v>289</v>
      </c>
      <c r="E109" s="42">
        <v>1152</v>
      </c>
      <c r="F109" s="42">
        <v>255</v>
      </c>
      <c r="G109" s="42">
        <v>292</v>
      </c>
      <c r="H109" s="43">
        <f t="shared" si="10"/>
        <v>306</v>
      </c>
      <c r="I109" s="1"/>
    </row>
    <row r="110" ht="15" customHeight="1">
      <c r="A110" s="1"/>
      <c r="B110" s="35" t="s">
        <v>63</v>
      </c>
      <c r="C110" s="20" t="str">
        <f t="shared" si="3"/>
        <v>n.a.</v>
      </c>
      <c r="D110" s="20">
        <f t="shared" si="3"/>
        <v>0.1487889273356402</v>
      </c>
      <c r="E110" s="20">
        <f t="shared" si="3"/>
        <v>0.02864583333333326</v>
      </c>
      <c r="F110" s="20">
        <f t="shared" si="3"/>
        <v>0.1333333333333333</v>
      </c>
      <c r="G110" s="20">
        <f t="shared" si="3"/>
        <v>0.08219178082191791</v>
      </c>
      <c r="H110" s="38">
        <f t="shared" si="3"/>
        <v>0.03618778545110457</v>
      </c>
      <c r="I110" s="1"/>
    </row>
    <row r="111" ht="15" customHeight="1">
      <c r="A111" s="1"/>
      <c r="B111" s="41" t="s">
        <v>77</v>
      </c>
      <c r="C111" s="19">
        <f t="shared" si="27"/>
        <v>14</v>
      </c>
      <c r="D111" s="19">
        <f t="shared" si="4"/>
        <v>26</v>
      </c>
      <c r="E111" s="19"/>
      <c r="F111" s="19">
        <f t="shared" si="11"/>
        <v>-43</v>
      </c>
      <c r="G111" s="19">
        <f t="shared" si="4"/>
        <v>27</v>
      </c>
      <c r="H111" s="43">
        <f t="shared" si="4"/>
        <v>1.0734623480379923</v>
      </c>
      <c r="I111" s="1"/>
    </row>
    <row r="112" ht="15" customHeight="1">
      <c r="A112" s="1"/>
      <c r="B112" s="35" t="s">
        <v>147</v>
      </c>
      <c r="C112" s="20">
        <f t="shared" si="39" ref="C112:H112">IF(AND(ISNUMBER(C108),ISNUMBER(C95)),IF(C95=0,"n.m.",C108/C95),"n.a.")</f>
        <v>0.15732647814910025</v>
      </c>
      <c r="D112" s="20">
        <f t="shared" si="39"/>
        <v>0.15862398471094125</v>
      </c>
      <c r="E112" s="20">
        <f t="shared" si="39"/>
        <v>0.154296875</v>
      </c>
      <c r="F112" s="20">
        <f t="shared" si="39"/>
        <v>0.146403242147923</v>
      </c>
      <c r="G112" s="20">
        <f t="shared" si="39"/>
        <v>0.15302663438256658</v>
      </c>
      <c r="H112" s="38">
        <f t="shared" si="39"/>
        <v>0.15302663438256667</v>
      </c>
      <c r="I112" s="1"/>
    </row>
    <row r="113" ht="15" customHeight="1">
      <c r="A113" s="1"/>
      <c r="B113" s="35" t="s">
        <v>74</v>
      </c>
      <c r="C113" s="20" t="s">
        <v>39</v>
      </c>
      <c r="D113" s="20" t="s">
        <v>39</v>
      </c>
      <c r="E113" s="20" t="s">
        <v>39</v>
      </c>
      <c r="F113" s="20" t="s">
        <v>39</v>
      </c>
      <c r="G113" s="20" t="s">
        <v>39</v>
      </c>
      <c r="H113" s="38" t="s">
        <v>39</v>
      </c>
      <c r="I113" s="1"/>
    </row>
    <row r="114" ht="15" customHeight="1">
      <c r="A114" s="1"/>
      <c r="B114" s="4" t="s">
        <v>162</v>
      </c>
      <c r="C114" s="49">
        <f t="shared" si="40" ref="C114:H114">C102+C108</f>
        <v>1945</v>
      </c>
      <c r="D114" s="49">
        <f t="shared" si="40"/>
        <v>2093</v>
      </c>
      <c r="E114" s="49">
        <f t="shared" si="40"/>
        <v>7680</v>
      </c>
      <c r="F114" s="49">
        <f t="shared" si="40"/>
        <v>1974</v>
      </c>
      <c r="G114" s="49">
        <f t="shared" si="40"/>
        <v>2065</v>
      </c>
      <c r="H114" s="50">
        <f t="shared" si="40"/>
        <v>2072.0148726224625</v>
      </c>
      <c r="I114" s="1"/>
    </row>
    <row r="115" ht="15" customHeight="1">
      <c r="A115" s="1"/>
      <c r="B115" s="1" t="s">
        <v>163</v>
      </c>
      <c r="C115" s="18">
        <f>E115-D115-Inputs!$D$169</f>
        <v>137</v>
      </c>
      <c r="D115" s="42">
        <v>167</v>
      </c>
      <c r="E115" s="42">
        <v>567</v>
      </c>
      <c r="F115" s="42">
        <v>168</v>
      </c>
      <c r="G115" s="42">
        <v>152</v>
      </c>
      <c r="H115" s="43">
        <f>H36*G115/G36</f>
        <v>152.5163489775372</v>
      </c>
      <c r="I115" s="22" t="s">
        <v>164</v>
      </c>
    </row>
    <row r="116" ht="15" customHeight="1">
      <c r="A116" s="1"/>
      <c r="B116" s="35" t="s">
        <v>65</v>
      </c>
      <c r="C116" s="20">
        <f t="shared" si="41" ref="C116:H116">IF(AND(ISNUMBER(C115),ISNUMBER(C36)),IF(C36=0,"n.m.",C115/C36),"n.a.")</f>
        <v>0.06580211335254563</v>
      </c>
      <c r="D116" s="20">
        <f t="shared" si="41"/>
        <v>0.07389380530973451</v>
      </c>
      <c r="E116" s="20">
        <f t="shared" si="41"/>
        <v>0.06875227355401964</v>
      </c>
      <c r="F116" s="20">
        <f t="shared" si="41"/>
        <v>0.0784313725490196</v>
      </c>
      <c r="G116" s="20">
        <f t="shared" si="41"/>
        <v>0.06856111862877763</v>
      </c>
      <c r="H116" s="38">
        <f t="shared" si="41"/>
        <v>0.06856111862877763</v>
      </c>
      <c r="I116" s="1"/>
    </row>
    <row r="117" ht="15" customHeight="1">
      <c r="A117" s="1"/>
      <c r="B117" s="41" t="s">
        <v>73</v>
      </c>
      <c r="C117" s="19" t="s">
        <v>39</v>
      </c>
      <c r="D117" s="42">
        <v>144</v>
      </c>
      <c r="E117" s="42">
        <v>575</v>
      </c>
      <c r="F117" s="42">
        <v>129</v>
      </c>
      <c r="G117" s="42">
        <v>134</v>
      </c>
      <c r="H117" s="43">
        <f t="shared" si="52" ref="H117:H139">C115</f>
        <v>137</v>
      </c>
      <c r="I117" s="1"/>
    </row>
    <row r="118" ht="15" customHeight="1">
      <c r="A118" s="1"/>
      <c r="B118" s="35" t="s">
        <v>63</v>
      </c>
      <c r="C118" s="20" t="str">
        <f t="shared" si="42" ref="C118:H118">IF(AND(ISNUMBER(C115),ISNUMBER(C117)),IF(C117=0,"n.m.",C115/C117-1),"n.a.")</f>
        <v>n.a.</v>
      </c>
      <c r="D118" s="20">
        <f t="shared" si="42"/>
        <v>0.15972222222222232</v>
      </c>
      <c r="E118" s="20">
        <f t="shared" si="42"/>
        <v>-0.013913043478260834</v>
      </c>
      <c r="F118" s="20">
        <f t="shared" si="42"/>
        <v>0.30232558139534893</v>
      </c>
      <c r="G118" s="20">
        <f t="shared" si="42"/>
        <v>0.13432835820895517</v>
      </c>
      <c r="H118" s="38">
        <f t="shared" si="42"/>
        <v>0.11325802173384814</v>
      </c>
      <c r="I118" s="1"/>
    </row>
    <row r="119" ht="15" customHeight="1">
      <c r="A119" s="1"/>
      <c r="B119" s="41" t="s">
        <v>77</v>
      </c>
      <c r="C119" s="19">
        <f>IF(AND(ISNUMBER(C115),ISNUMBER(G117)),(C115-G117),"n.a.")</f>
        <v>3</v>
      </c>
      <c r="D119" s="19">
        <f t="shared" si="43" ref="D119:H119">IF(AND(ISNUMBER(D115),ISNUMBER(C115)),(D115-C115),"n.a.")</f>
        <v>30</v>
      </c>
      <c r="E119" s="19"/>
      <c r="F119" s="19">
        <f>IF(AND(ISNUMBER(F115),ISNUMBER(D115)),(F115-D115),"n.a.")</f>
        <v>1</v>
      </c>
      <c r="G119" s="19">
        <f t="shared" si="43"/>
        <v>-16</v>
      </c>
      <c r="H119" s="43">
        <f t="shared" si="43"/>
        <v>0.5163489775372057</v>
      </c>
      <c r="I119" s="1"/>
    </row>
    <row r="120" ht="15" customHeight="1">
      <c r="A120" s="1"/>
      <c r="B120" s="35" t="s">
        <v>74</v>
      </c>
      <c r="C120" s="20" t="s">
        <v>39</v>
      </c>
      <c r="D120" s="20" t="s">
        <v>39</v>
      </c>
      <c r="E120" s="20" t="s">
        <v>39</v>
      </c>
      <c r="F120" s="20" t="s">
        <v>39</v>
      </c>
      <c r="G120" s="20" t="s">
        <v>39</v>
      </c>
      <c r="H120" s="38" t="s">
        <v>39</v>
      </c>
      <c r="I120" s="1"/>
    </row>
    <row r="121" ht="15" customHeight="1">
      <c r="A121" s="1"/>
      <c r="B121" s="5" t="s">
        <v>165</v>
      </c>
      <c r="C121" s="63">
        <f t="shared" si="44" ref="C121:H121">C114-C95</f>
        <v>0</v>
      </c>
      <c r="D121" s="63">
        <f t="shared" si="44"/>
        <v>0</v>
      </c>
      <c r="E121" s="63">
        <f t="shared" si="44"/>
        <v>0</v>
      </c>
      <c r="F121" s="63">
        <f t="shared" si="44"/>
        <v>0</v>
      </c>
      <c r="G121" s="63">
        <f t="shared" si="44"/>
        <v>0</v>
      </c>
      <c r="H121" s="64">
        <f t="shared" si="44"/>
        <v>0</v>
      </c>
      <c r="I121" s="22" t="s">
        <v>166</v>
      </c>
    </row>
    <row r="122" ht="15" customHeight="1">
      <c r="A122" s="1"/>
      <c r="B122" s="65" t="s">
        <v>167</v>
      </c>
      <c r="C122" s="63">
        <f t="shared" si="45" ref="C122:H122">C95+C115-C36</f>
        <v>0</v>
      </c>
      <c r="D122" s="63">
        <f t="shared" si="45"/>
        <v>0</v>
      </c>
      <c r="E122" s="63">
        <f t="shared" si="45"/>
        <v>0</v>
      </c>
      <c r="F122" s="63">
        <f t="shared" si="45"/>
        <v>0</v>
      </c>
      <c r="G122" s="63">
        <f t="shared" si="45"/>
        <v>0</v>
      </c>
      <c r="H122" s="64">
        <f t="shared" si="45"/>
        <v>0</v>
      </c>
      <c r="I122" s="22" t="s">
        <v>168</v>
      </c>
    </row>
    <row r="123" ht="15" customHeight="1">
      <c r="A123" s="1"/>
      <c r="B123" s="1"/>
      <c r="C123" s="1"/>
      <c r="D123" s="1"/>
      <c r="E123" s="1"/>
      <c r="F123" s="1"/>
      <c r="G123" s="1"/>
      <c r="H123" s="32"/>
      <c r="I123" s="1"/>
    </row>
    <row r="124" ht="15" customHeight="1">
      <c r="A124" s="1"/>
      <c r="B124" s="4" t="s">
        <v>169</v>
      </c>
      <c r="C124" s="1"/>
      <c r="D124" s="1"/>
      <c r="E124" s="1"/>
      <c r="F124" s="1"/>
      <c r="G124" s="1"/>
      <c r="H124" s="32"/>
      <c r="I124" s="1"/>
    </row>
    <row r="125" ht="15" customHeight="1">
      <c r="A125" s="1"/>
      <c r="B125" s="1" t="s">
        <v>83</v>
      </c>
      <c r="C125" s="19">
        <f t="shared" si="46" ref="C125:H125">C36</f>
        <v>2082</v>
      </c>
      <c r="D125" s="19">
        <f t="shared" si="46"/>
        <v>2260</v>
      </c>
      <c r="E125" s="19">
        <f t="shared" si="46"/>
        <v>8247</v>
      </c>
      <c r="F125" s="19">
        <f t="shared" si="46"/>
        <v>2142</v>
      </c>
      <c r="G125" s="19">
        <f t="shared" si="46"/>
        <v>2217</v>
      </c>
      <c r="H125" s="43">
        <f t="shared" si="46"/>
        <v>2224.5312215999998</v>
      </c>
      <c r="I125" s="1"/>
    </row>
    <row r="126" ht="15" customHeight="1">
      <c r="A126" s="1"/>
      <c r="B126" s="1" t="s">
        <v>170</v>
      </c>
      <c r="C126" s="18">
        <f>E126-D126-Inputs!$D$170</f>
        <v>-1287</v>
      </c>
      <c r="D126" s="42">
        <v>-1433</v>
      </c>
      <c r="E126" s="42">
        <v>-5096</v>
      </c>
      <c r="F126" s="42">
        <v>-1338</v>
      </c>
      <c r="G126" s="42">
        <v>-1388</v>
      </c>
      <c r="H126" s="43">
        <f>-H36*(1-H128)</f>
        <v>-1385.8829510567998</v>
      </c>
      <c r="I126" s="1"/>
    </row>
    <row r="127" ht="15" customHeight="1">
      <c r="A127" s="1"/>
      <c r="B127" s="4" t="s">
        <v>171</v>
      </c>
      <c r="C127" s="49">
        <f t="shared" si="47" ref="C127:H127">C125+C126</f>
        <v>795</v>
      </c>
      <c r="D127" s="49">
        <f t="shared" si="47"/>
        <v>827</v>
      </c>
      <c r="E127" s="49">
        <f t="shared" si="47"/>
        <v>3151</v>
      </c>
      <c r="F127" s="49">
        <f t="shared" si="47"/>
        <v>804</v>
      </c>
      <c r="G127" s="49">
        <f t="shared" si="47"/>
        <v>829</v>
      </c>
      <c r="H127" s="50">
        <f t="shared" si="47"/>
        <v>838.6482705431999</v>
      </c>
      <c r="I127" s="1"/>
    </row>
    <row r="128" ht="15" customHeight="1">
      <c r="A128" s="1"/>
      <c r="B128" s="35" t="s">
        <v>172</v>
      </c>
      <c r="C128" s="20">
        <f t="shared" si="48" ref="C128:G128">IF(AND(ISNUMBER(C127),ISNUMBER(C125)),IF(C125=0,"n.m.",C127/C125),"n.a.")</f>
        <v>0.3818443804034582</v>
      </c>
      <c r="D128" s="20">
        <f t="shared" si="48"/>
        <v>0.365929203539823</v>
      </c>
      <c r="E128" s="20">
        <f t="shared" si="48"/>
        <v>0.3820783315144901</v>
      </c>
      <c r="F128" s="20">
        <f t="shared" si="48"/>
        <v>0.3753501400560224</v>
      </c>
      <c r="G128" s="20">
        <f t="shared" si="48"/>
        <v>0.37392873252142533</v>
      </c>
      <c r="H128" s="45">
        <v>0.377</v>
      </c>
      <c r="I128" s="22" t="s">
        <v>173</v>
      </c>
    </row>
    <row r="129" ht="15" customHeight="1">
      <c r="A129" s="1"/>
      <c r="B129" s="66" t="s">
        <v>174</v>
      </c>
      <c r="C129" s="19" t="s">
        <v>39</v>
      </c>
      <c r="D129" s="42">
        <v>-1302</v>
      </c>
      <c r="E129" s="42">
        <v>-4924</v>
      </c>
      <c r="F129" s="42">
        <v>-1113</v>
      </c>
      <c r="G129" s="42">
        <v>-1263</v>
      </c>
      <c r="H129" s="43">
        <f t="shared" si="61" ref="H129:H148">C126</f>
        <v>-1287</v>
      </c>
      <c r="I129" s="1"/>
    </row>
    <row r="130" ht="15" customHeight="1">
      <c r="A130" s="1"/>
      <c r="B130" s="46" t="s">
        <v>81</v>
      </c>
      <c r="C130" s="47" t="str">
        <f t="shared" si="49" ref="C130:H130">IF(COUNT(C128,C129,C37)=3,(C128-(1+C129/C37))*10000,"n.a.")</f>
        <v>n.a.</v>
      </c>
      <c r="D130" s="47">
        <f t="shared" si="49"/>
        <v>47.90832587909411</v>
      </c>
      <c r="E130" s="47">
        <f t="shared" si="49"/>
        <v>144.14276037412967</v>
      </c>
      <c r="F130" s="47">
        <f t="shared" si="49"/>
        <v>-197.58555596151473</v>
      </c>
      <c r="G130" s="47">
        <f t="shared" si="49"/>
        <v>-144.48991449518945</v>
      </c>
      <c r="H130" s="48">
        <f t="shared" si="49"/>
        <v>-48.443804034582485</v>
      </c>
      <c r="I130" s="1"/>
    </row>
    <row r="131" ht="15" customHeight="1">
      <c r="A131" s="1"/>
      <c r="B131" s="46" t="s">
        <v>82</v>
      </c>
      <c r="C131" s="47" t="s">
        <v>39</v>
      </c>
      <c r="D131" s="47">
        <f t="shared" si="50" ref="D131:H163">IF(AND(ISNUMBER(D128),ISNUMBER(C128)),(D128-C128)*10000,"n.a.")</f>
        <v>-159.15176863635193</v>
      </c>
      <c r="E131" s="47"/>
      <c r="F131" s="47">
        <f t="shared" si="54" ref="F131:F163">IF(AND(ISNUMBER(F128),ISNUMBER(D128)),(F128-D128)*10000,"n.a.")</f>
        <v>94.20936516199407</v>
      </c>
      <c r="G131" s="47">
        <f t="shared" si="50"/>
        <v>-14.214075345970745</v>
      </c>
      <c r="H131" s="48">
        <f t="shared" si="50"/>
        <v>30.712674785746685</v>
      </c>
      <c r="I131" s="1"/>
    </row>
    <row r="132" ht="15" customHeight="1">
      <c r="A132" s="1"/>
      <c r="B132" s="1" t="s">
        <v>175</v>
      </c>
      <c r="C132" s="18">
        <f>E132-D132-Inputs!$D$171</f>
        <v>-313</v>
      </c>
      <c r="D132" s="42">
        <v>-324</v>
      </c>
      <c r="E132" s="42">
        <v>-1240</v>
      </c>
      <c r="F132" s="42">
        <v>-334</v>
      </c>
      <c r="G132" s="42">
        <v>-343</v>
      </c>
      <c r="H132" s="43">
        <f>-H36*H133</f>
        <v>-335.90421446159996</v>
      </c>
      <c r="I132" s="1"/>
    </row>
    <row r="133" ht="15" customHeight="1">
      <c r="A133" s="1"/>
      <c r="B133" s="35" t="s">
        <v>65</v>
      </c>
      <c r="C133" s="20">
        <f t="shared" si="51" ref="C133:G133">IF(AND(ISNUMBER(-C132),ISNUMBER(C125)),IF(C125=0,"n.m.",-C132/C125),"n.a.")</f>
        <v>0.15033621517771373</v>
      </c>
      <c r="D133" s="20">
        <f t="shared" si="51"/>
        <v>0.1433628318584071</v>
      </c>
      <c r="E133" s="20">
        <f t="shared" si="51"/>
        <v>0.15035770583242392</v>
      </c>
      <c r="F133" s="20">
        <f t="shared" si="51"/>
        <v>0.15592903828197946</v>
      </c>
      <c r="G133" s="20">
        <f t="shared" si="51"/>
        <v>0.15471357690572846</v>
      </c>
      <c r="H133" s="45">
        <v>0.151</v>
      </c>
      <c r="I133" s="1"/>
    </row>
    <row r="134" ht="15" customHeight="1">
      <c r="A134" s="1"/>
      <c r="B134" s="66" t="s">
        <v>176</v>
      </c>
      <c r="C134" s="19" t="s">
        <v>39</v>
      </c>
      <c r="D134" s="42">
        <v>-288</v>
      </c>
      <c r="E134" s="42">
        <v>-1087</v>
      </c>
      <c r="F134" s="42">
        <v>-289</v>
      </c>
      <c r="G134" s="42">
        <v>-314</v>
      </c>
      <c r="H134" s="43">
        <f t="shared" si="52"/>
        <v>-313</v>
      </c>
      <c r="I134" s="1"/>
    </row>
    <row r="135" ht="15" customHeight="1">
      <c r="A135" s="1"/>
      <c r="B135" s="46" t="s">
        <v>81</v>
      </c>
      <c r="C135" s="47" t="str">
        <f t="shared" si="53" ref="C135:H135">IF(COUNT(C133,C134,C37)=3,(C133-(-C134/C37))*10000,"n.a.")</f>
        <v>n.a.</v>
      </c>
      <c r="D135" s="47">
        <f t="shared" si="53"/>
        <v>20.478171380930444</v>
      </c>
      <c r="E135" s="47">
        <f t="shared" si="53"/>
        <v>107.66078761664966</v>
      </c>
      <c r="F135" s="47">
        <f t="shared" si="53"/>
        <v>-11.361791093248975</v>
      </c>
      <c r="G135" s="47">
        <f t="shared" si="53"/>
        <v>26.55465525583184</v>
      </c>
      <c r="H135" s="48">
        <f t="shared" si="53"/>
        <v>6.637848222862674</v>
      </c>
      <c r="I135" s="1"/>
    </row>
    <row r="136" ht="15" customHeight="1">
      <c r="A136" s="1"/>
      <c r="B136" s="46" t="s">
        <v>82</v>
      </c>
      <c r="C136" s="47" t="s">
        <v>39</v>
      </c>
      <c r="D136" s="47">
        <f t="shared" si="50"/>
        <v>-69.73383319306636</v>
      </c>
      <c r="E136" s="47"/>
      <c r="F136" s="47">
        <f t="shared" si="54"/>
        <v>125.66206423572368</v>
      </c>
      <c r="G136" s="47">
        <f t="shared" si="50"/>
        <v>-12.154613762510035</v>
      </c>
      <c r="H136" s="48">
        <f t="shared" si="50"/>
        <v>-37.135769057284605</v>
      </c>
      <c r="I136" s="1"/>
    </row>
    <row r="137" ht="15" customHeight="1">
      <c r="A137" s="1"/>
      <c r="B137" s="1" t="s">
        <v>177</v>
      </c>
      <c r="C137" s="18">
        <f>E137-D137-Inputs!$D$172</f>
        <v>-79</v>
      </c>
      <c r="D137" s="42">
        <v>-89</v>
      </c>
      <c r="E137" s="42">
        <v>-319</v>
      </c>
      <c r="F137" s="42">
        <v>-84</v>
      </c>
      <c r="G137" s="42">
        <v>-93</v>
      </c>
      <c r="H137" s="43">
        <f>-H36*H138</f>
        <v>-91.2057800856</v>
      </c>
      <c r="I137" s="1"/>
    </row>
    <row r="138" ht="15" customHeight="1">
      <c r="A138" s="1"/>
      <c r="B138" s="35" t="s">
        <v>65</v>
      </c>
      <c r="C138" s="20">
        <f t="shared" si="55" ref="C138:G138">IF(AND(ISNUMBER(-C137),ISNUMBER(C125)),IF(C125=0,"n.m.",-C137/C125),"n.a.")</f>
        <v>0.037944284341978864</v>
      </c>
      <c r="D138" s="20">
        <f t="shared" si="55"/>
        <v>0.03938053097345133</v>
      </c>
      <c r="E138" s="20">
        <f t="shared" si="55"/>
        <v>0.03868073238753486</v>
      </c>
      <c r="F138" s="20">
        <f t="shared" si="55"/>
        <v>0.0392156862745098</v>
      </c>
      <c r="G138" s="20">
        <f t="shared" si="55"/>
        <v>0.04194857916102842</v>
      </c>
      <c r="H138" s="45">
        <v>0.041</v>
      </c>
      <c r="I138" s="1"/>
    </row>
    <row r="139" ht="15" customHeight="1">
      <c r="A139" s="1"/>
      <c r="B139" s="66" t="s">
        <v>178</v>
      </c>
      <c r="C139" s="19" t="s">
        <v>39</v>
      </c>
      <c r="D139" s="42">
        <v>-84</v>
      </c>
      <c r="E139" s="42">
        <v>-310</v>
      </c>
      <c r="F139" s="42">
        <v>-73</v>
      </c>
      <c r="G139" s="42">
        <v>-78</v>
      </c>
      <c r="H139" s="43">
        <f t="shared" si="52"/>
        <v>-79</v>
      </c>
      <c r="I139" s="1"/>
    </row>
    <row r="140" ht="15" customHeight="1">
      <c r="A140" s="1"/>
      <c r="B140" s="46" t="s">
        <v>81</v>
      </c>
      <c r="C140" s="47" t="str">
        <f t="shared" si="56" ref="C140:H140">IF(COUNT(C138,C139,C37)=3,(C138-(-C139/C37))*10000,"n.a.")</f>
        <v>n.a.</v>
      </c>
      <c r="D140" s="47">
        <f t="shared" si="56"/>
        <v>-18.363483199735978</v>
      </c>
      <c r="E140" s="47">
        <f t="shared" si="56"/>
        <v>-11.292072554598755</v>
      </c>
      <c r="F140" s="47">
        <f t="shared" si="56"/>
        <v>-4.582267689684574</v>
      </c>
      <c r="G140" s="47">
        <f t="shared" si="56"/>
        <v>41.7618206659743</v>
      </c>
      <c r="H140" s="48">
        <f t="shared" si="56"/>
        <v>30.55715658021138</v>
      </c>
      <c r="I140" s="1"/>
    </row>
    <row r="141" ht="15" customHeight="1">
      <c r="A141" s="1"/>
      <c r="B141" s="46" t="s">
        <v>82</v>
      </c>
      <c r="C141" s="47" t="s">
        <v>39</v>
      </c>
      <c r="D141" s="47">
        <f t="shared" si="50"/>
        <v>14.362466314724667</v>
      </c>
      <c r="E141" s="47"/>
      <c r="F141" s="47">
        <f t="shared" si="54"/>
        <v>-1.6484469894152698</v>
      </c>
      <c r="G141" s="47">
        <f t="shared" si="50"/>
        <v>27.32892886518616</v>
      </c>
      <c r="H141" s="48">
        <f t="shared" si="50"/>
        <v>-9.485791610284178</v>
      </c>
      <c r="I141" s="1"/>
    </row>
    <row r="142" ht="15" customHeight="1">
      <c r="A142" s="1"/>
      <c r="B142" s="1" t="s">
        <v>179</v>
      </c>
      <c r="C142" s="18">
        <f>E142-D142-Inputs!$D$173</f>
        <v>18</v>
      </c>
      <c r="D142" s="42">
        <v>-2</v>
      </c>
      <c r="E142" s="42">
        <v>8</v>
      </c>
      <c r="F142" s="42">
        <v>12</v>
      </c>
      <c r="G142" s="42">
        <v>20</v>
      </c>
      <c r="H142" s="56">
        <v>15</v>
      </c>
      <c r="I142" s="1"/>
    </row>
    <row r="143" ht="15" customHeight="1">
      <c r="A143" s="1"/>
      <c r="B143" s="41" t="s">
        <v>107</v>
      </c>
      <c r="C143" s="19" t="s">
        <v>39</v>
      </c>
      <c r="D143" s="19" t="s">
        <v>39</v>
      </c>
      <c r="E143" s="19" t="s">
        <v>39</v>
      </c>
      <c r="F143" s="19" t="s">
        <v>39</v>
      </c>
      <c r="G143" s="19" t="s">
        <v>39</v>
      </c>
      <c r="H143" s="43">
        <f t="shared" si="57"/>
        <v>-3</v>
      </c>
      <c r="I143" s="1"/>
    </row>
    <row r="144" ht="15" customHeight="1">
      <c r="A144" s="1"/>
      <c r="B144" s="41" t="s">
        <v>77</v>
      </c>
      <c r="C144" s="19" t="s">
        <v>39</v>
      </c>
      <c r="D144" s="19">
        <f t="shared" si="8"/>
        <v>-20</v>
      </c>
      <c r="E144" s="19"/>
      <c r="F144" s="19">
        <f t="shared" si="58"/>
        <v>14</v>
      </c>
      <c r="G144" s="19">
        <f t="shared" si="8"/>
        <v>8</v>
      </c>
      <c r="H144" s="43">
        <f t="shared" si="8"/>
        <v>-5</v>
      </c>
      <c r="I144" s="1"/>
    </row>
    <row r="145" ht="15" customHeight="1">
      <c r="A145" s="1"/>
      <c r="B145" s="4" t="s">
        <v>38</v>
      </c>
      <c r="C145" s="49">
        <f t="shared" si="59" ref="C145:H145">C127+C132+C137+C142</f>
        <v>421</v>
      </c>
      <c r="D145" s="49">
        <f t="shared" si="59"/>
        <v>412</v>
      </c>
      <c r="E145" s="49">
        <f t="shared" si="59"/>
        <v>1600</v>
      </c>
      <c r="F145" s="49">
        <f t="shared" si="59"/>
        <v>398</v>
      </c>
      <c r="G145" s="49">
        <f t="shared" si="59"/>
        <v>413</v>
      </c>
      <c r="H145" s="50">
        <f t="shared" si="59"/>
        <v>426.538275996</v>
      </c>
      <c r="I145" s="1"/>
    </row>
    <row r="146" ht="15" customHeight="1">
      <c r="A146" s="1"/>
      <c r="B146" s="41" t="s">
        <v>180</v>
      </c>
      <c r="C146" s="18">
        <f>E146-D146-Inputs!$D$174</f>
        <v>421</v>
      </c>
      <c r="D146" s="42">
        <v>412</v>
      </c>
      <c r="E146" s="42">
        <v>1600</v>
      </c>
      <c r="F146" s="42">
        <v>398</v>
      </c>
      <c r="G146" s="42">
        <v>413</v>
      </c>
      <c r="H146" s="43" t="s">
        <v>39</v>
      </c>
      <c r="I146" s="1"/>
    </row>
    <row r="147" ht="15" customHeight="1">
      <c r="A147" s="1"/>
      <c r="B147" s="35" t="s">
        <v>181</v>
      </c>
      <c r="C147" s="63">
        <f t="shared" si="60" ref="C147:G147">C145-C146</f>
        <v>0</v>
      </c>
      <c r="D147" s="63">
        <f t="shared" si="60"/>
        <v>0</v>
      </c>
      <c r="E147" s="63">
        <f t="shared" si="60"/>
        <v>0</v>
      </c>
      <c r="F147" s="63">
        <f t="shared" si="60"/>
        <v>0</v>
      </c>
      <c r="G147" s="63">
        <f t="shared" si="60"/>
        <v>0</v>
      </c>
      <c r="H147" s="64" t="s">
        <v>39</v>
      </c>
      <c r="I147" s="1"/>
    </row>
    <row r="148" ht="15" customHeight="1">
      <c r="A148" s="1"/>
      <c r="B148" s="41" t="s">
        <v>182</v>
      </c>
      <c r="C148" s="42">
        <v>404</v>
      </c>
      <c r="D148" s="42">
        <v>383</v>
      </c>
      <c r="E148" s="42">
        <v>1518</v>
      </c>
      <c r="F148" s="42">
        <v>360</v>
      </c>
      <c r="G148" s="42">
        <v>407</v>
      </c>
      <c r="H148" s="43">
        <f t="shared" si="61"/>
        <v>421</v>
      </c>
      <c r="I148" s="1"/>
    </row>
    <row r="149" ht="15" customHeight="1">
      <c r="A149" s="1"/>
      <c r="B149" s="35" t="s">
        <v>63</v>
      </c>
      <c r="C149" s="20">
        <f t="shared" si="62" ref="C149:H149">IF(AND(ISNUMBER(C145),ISNUMBER(C148)),IF(C148=0,"n.m.",C145/C148-1),"n.a.")</f>
        <v>0.04207920792079212</v>
      </c>
      <c r="D149" s="20">
        <f t="shared" si="62"/>
        <v>0.07571801566579639</v>
      </c>
      <c r="E149" s="20">
        <f t="shared" si="62"/>
        <v>0.05401844532279321</v>
      </c>
      <c r="F149" s="20">
        <f t="shared" si="62"/>
        <v>0.10555555555555562</v>
      </c>
      <c r="G149" s="20">
        <f t="shared" si="62"/>
        <v>0.014742014742014753</v>
      </c>
      <c r="H149" s="38">
        <f t="shared" si="62"/>
        <v>0.013155049871733882</v>
      </c>
      <c r="I149" s="1"/>
    </row>
    <row r="150" ht="15" customHeight="1">
      <c r="A150" s="1"/>
      <c r="B150" s="41" t="s">
        <v>77</v>
      </c>
      <c r="C150" s="19">
        <f>IF(AND(ISNUMBER(C145),ISNUMBER(G148)),(C145-G148),"n.a.")</f>
        <v>14</v>
      </c>
      <c r="D150" s="19">
        <f t="shared" si="63" ref="D150:H150">IF(AND(ISNUMBER(D145),ISNUMBER(C145)),(D145-C145),"n.a.")</f>
        <v>-9</v>
      </c>
      <c r="E150" s="19"/>
      <c r="F150" s="19">
        <f>IF(AND(ISNUMBER(F145),ISNUMBER(D145)),(F145-D145),"n.a.")</f>
        <v>-14</v>
      </c>
      <c r="G150" s="19">
        <f t="shared" si="63"/>
        <v>15</v>
      </c>
      <c r="H150" s="43">
        <f t="shared" si="63"/>
        <v>13.538275995999982</v>
      </c>
      <c r="I150" s="1"/>
    </row>
    <row r="151" ht="15" customHeight="1">
      <c r="A151" s="1"/>
      <c r="B151" s="35" t="s">
        <v>183</v>
      </c>
      <c r="C151" s="20">
        <f t="shared" si="64" ref="C151:H151">IF(AND(ISNUMBER(C145),ISNUMBER(C125)),IF(C125=0,"n.m.",C145/C125),"n.a.")</f>
        <v>0.202209414024976</v>
      </c>
      <c r="D151" s="20">
        <f t="shared" si="64"/>
        <v>0.18230088495575222</v>
      </c>
      <c r="E151" s="20">
        <f t="shared" si="64"/>
        <v>0.19400994300957924</v>
      </c>
      <c r="F151" s="20">
        <f t="shared" si="64"/>
        <v>0.1858076563958917</v>
      </c>
      <c r="G151" s="20">
        <f t="shared" si="64"/>
        <v>0.18628777627424448</v>
      </c>
      <c r="H151" s="38">
        <f t="shared" si="64"/>
        <v>0.19174299369429</v>
      </c>
      <c r="I151" s="1"/>
    </row>
    <row r="152" ht="15" customHeight="1">
      <c r="A152" s="1"/>
      <c r="B152" s="46" t="s">
        <v>81</v>
      </c>
      <c r="C152" s="47">
        <f t="shared" si="65" ref="C152:H152">IF(COUNT(C148,C37)=2,(C151-C148/C37)*10000,"n.a.")</f>
        <v>-29.708805407934193</v>
      </c>
      <c r="D152" s="47">
        <f t="shared" si="65"/>
        <v>-56.28457536887621</v>
      </c>
      <c r="E152" s="47">
        <f t="shared" si="65"/>
        <v>-9.303420809562702</v>
      </c>
      <c r="F152" s="47">
        <f t="shared" si="65"/>
        <v>-98.4451751715179</v>
      </c>
      <c r="G152" s="47">
        <f t="shared" si="65"/>
        <v>-108.06654718491599</v>
      </c>
      <c r="H152" s="48">
        <f t="shared" si="65"/>
        <v>-104.6642033068601</v>
      </c>
      <c r="I152" s="1"/>
    </row>
    <row r="153" ht="15" customHeight="1">
      <c r="A153" s="1"/>
      <c r="B153" s="46" t="s">
        <v>82</v>
      </c>
      <c r="C153" s="47" t="s">
        <v>39</v>
      </c>
      <c r="D153" s="47">
        <f t="shared" si="21"/>
        <v>-199.08529069223775</v>
      </c>
      <c r="E153" s="47"/>
      <c r="F153" s="47">
        <f t="shared" si="24"/>
        <v>35.067714401394724</v>
      </c>
      <c r="G153" s="47">
        <f t="shared" si="21"/>
        <v>4.801198783527805</v>
      </c>
      <c r="H153" s="48">
        <f t="shared" si="21"/>
        <v>54.552174200455106</v>
      </c>
      <c r="I153" s="1"/>
    </row>
    <row r="154" ht="15" customHeight="1">
      <c r="A154" s="1"/>
      <c r="B154" s="1" t="s">
        <v>184</v>
      </c>
      <c r="C154" s="18">
        <f>E154-D154-Inputs!$D$175</f>
        <v>9</v>
      </c>
      <c r="D154" s="42">
        <v>-4</v>
      </c>
      <c r="E154" s="42">
        <v>-6</v>
      </c>
      <c r="F154" s="42">
        <v>4</v>
      </c>
      <c r="G154" s="42">
        <v>18</v>
      </c>
      <c r="H154" s="56">
        <v>0</v>
      </c>
      <c r="I154" s="22" t="s">
        <v>185</v>
      </c>
    </row>
    <row r="155" ht="15" customHeight="1">
      <c r="A155" s="1"/>
      <c r="B155" s="41" t="s">
        <v>107</v>
      </c>
      <c r="C155" s="19" t="s">
        <v>39</v>
      </c>
      <c r="D155" s="19" t="s">
        <v>39</v>
      </c>
      <c r="E155" s="19" t="s">
        <v>39</v>
      </c>
      <c r="F155" s="19" t="s">
        <v>39</v>
      </c>
      <c r="G155" s="19" t="s">
        <v>39</v>
      </c>
      <c r="H155" s="43">
        <f t="shared" si="57"/>
        <v>-9</v>
      </c>
      <c r="I155" s="1"/>
    </row>
    <row r="156" ht="15" customHeight="1">
      <c r="A156" s="1"/>
      <c r="B156" s="41" t="s">
        <v>77</v>
      </c>
      <c r="C156" s="19" t="s">
        <v>39</v>
      </c>
      <c r="D156" s="19">
        <f t="shared" si="8"/>
        <v>-13</v>
      </c>
      <c r="E156" s="19"/>
      <c r="F156" s="19">
        <f t="shared" si="58"/>
        <v>8</v>
      </c>
      <c r="G156" s="19">
        <f t="shared" si="8"/>
        <v>14</v>
      </c>
      <c r="H156" s="43">
        <f t="shared" si="8"/>
        <v>-18</v>
      </c>
      <c r="I156" s="1"/>
    </row>
    <row r="157" ht="15" customHeight="1">
      <c r="A157" s="1"/>
      <c r="B157" s="4" t="s">
        <v>186</v>
      </c>
      <c r="C157" s="49">
        <f t="shared" si="66" ref="C157:H157">C36+C154</f>
        <v>2091</v>
      </c>
      <c r="D157" s="49">
        <f t="shared" si="66"/>
        <v>2256</v>
      </c>
      <c r="E157" s="49">
        <f t="shared" si="66"/>
        <v>8241</v>
      </c>
      <c r="F157" s="49">
        <f t="shared" si="66"/>
        <v>2146</v>
      </c>
      <c r="G157" s="49">
        <f t="shared" si="66"/>
        <v>2235</v>
      </c>
      <c r="H157" s="50">
        <f t="shared" si="66"/>
        <v>2224.5312215999998</v>
      </c>
      <c r="I157" s="1"/>
    </row>
    <row r="158" ht="15" customHeight="1">
      <c r="A158" s="1"/>
      <c r="B158" s="35" t="s">
        <v>63</v>
      </c>
      <c r="C158" s="20">
        <f t="shared" si="67" ref="C158:H158">IF(AND(ISNUMBER(C157),ISNUMBER(C161)),IF(C161=0,"n.m.",C157/C161-1),"n.a.")</f>
        <v>0.0690184049079754</v>
      </c>
      <c r="D158" s="20">
        <f t="shared" si="67"/>
        <v>0.10102489019033678</v>
      </c>
      <c r="E158" s="20">
        <f t="shared" si="67"/>
        <v>0.05464550806245194</v>
      </c>
      <c r="F158" s="20">
        <f t="shared" si="67"/>
        <v>0.1682090364725095</v>
      </c>
      <c r="G158" s="20">
        <f t="shared" si="67"/>
        <v>0.08653378706854653</v>
      </c>
      <c r="H158" s="38">
        <f t="shared" si="67"/>
        <v>0.06385998163558093</v>
      </c>
      <c r="I158" s="1"/>
    </row>
    <row r="159" ht="23.25" customHeight="1">
      <c r="A159" s="1"/>
      <c r="B159" s="44" t="s">
        <v>187</v>
      </c>
      <c r="C159" s="20" t="s">
        <v>39</v>
      </c>
      <c r="D159" s="20" t="s">
        <v>39</v>
      </c>
      <c r="E159" s="20" t="s">
        <v>39</v>
      </c>
      <c r="F159" s="20" t="s">
        <v>39</v>
      </c>
      <c r="G159" s="20" t="s">
        <v>39</v>
      </c>
      <c r="H159" s="38" t="s">
        <v>39</v>
      </c>
      <c r="I159" s="1"/>
    </row>
    <row r="160" ht="15" customHeight="1">
      <c r="A160" s="1"/>
      <c r="B160" s="67" t="s">
        <v>188</v>
      </c>
      <c r="C160" s="26">
        <f t="shared" si="68" ref="C160:H160">IF(AND(ISNUMBER(C145),ISNUMBER(C157)),IF(C157=0,"n.m.",C145/C157),"n.a.")</f>
        <v>0.20133907221425154</v>
      </c>
      <c r="D160" s="26">
        <f t="shared" si="68"/>
        <v>0.18262411347517732</v>
      </c>
      <c r="E160" s="26">
        <f t="shared" si="68"/>
        <v>0.19415119524329572</v>
      </c>
      <c r="F160" s="26">
        <f t="shared" si="68"/>
        <v>0.18546132339235788</v>
      </c>
      <c r="G160" s="26">
        <f t="shared" si="68"/>
        <v>0.18478747203579418</v>
      </c>
      <c r="H160" s="68">
        <f t="shared" si="68"/>
        <v>0.19174299369429</v>
      </c>
      <c r="I160" s="1"/>
    </row>
    <row r="161" ht="15" customHeight="1">
      <c r="A161" s="1"/>
      <c r="B161" s="41" t="s">
        <v>189</v>
      </c>
      <c r="C161" s="42">
        <v>1956</v>
      </c>
      <c r="D161" s="42">
        <v>2049</v>
      </c>
      <c r="E161" s="42">
        <v>7814</v>
      </c>
      <c r="F161" s="42">
        <v>1837</v>
      </c>
      <c r="G161" s="42">
        <v>2057</v>
      </c>
      <c r="H161" s="43">
        <f>C157</f>
        <v>2091</v>
      </c>
      <c r="I161" s="1"/>
    </row>
    <row r="162" ht="15" customHeight="1">
      <c r="A162" s="1"/>
      <c r="B162" s="46" t="s">
        <v>81</v>
      </c>
      <c r="C162" s="47">
        <f t="shared" si="69" ref="C162:H162">IF(COUNT(C160,C148,C161)=3,(C160-(C148/C161))*10000,"n.a.")</f>
        <v>-52.048950659120685</v>
      </c>
      <c r="D162" s="47">
        <f t="shared" si="69"/>
        <v>-42.963355243346435</v>
      </c>
      <c r="E162" s="47">
        <f t="shared" si="69"/>
        <v>-1.1550555015193975</v>
      </c>
      <c r="F162" s="47">
        <f t="shared" si="69"/>
        <v>-105.10369585323114</v>
      </c>
      <c r="G162" s="47">
        <f t="shared" si="69"/>
        <v>-130.73490531050751</v>
      </c>
      <c r="H162" s="48">
        <f t="shared" si="69"/>
        <v>-95.96078519961554</v>
      </c>
      <c r="I162" s="1"/>
    </row>
    <row r="163" ht="15" customHeight="1">
      <c r="A163" s="1"/>
      <c r="B163" s="46" t="s">
        <v>82</v>
      </c>
      <c r="C163" s="47" t="s">
        <v>39</v>
      </c>
      <c r="D163" s="47">
        <f t="shared" si="50"/>
        <v>-187.14958739074223</v>
      </c>
      <c r="E163" s="47"/>
      <c r="F163" s="47">
        <f t="shared" si="54"/>
        <v>28.37209917180561</v>
      </c>
      <c r="G163" s="47">
        <f t="shared" si="50"/>
        <v>-6.738513565636984</v>
      </c>
      <c r="H163" s="48">
        <f t="shared" si="50"/>
        <v>69.55521658495806</v>
      </c>
      <c r="I163" s="1"/>
    </row>
    <row r="164" ht="15" customHeight="1">
      <c r="A164" s="1"/>
      <c r="B164" s="23" t="s">
        <v>190</v>
      </c>
      <c r="C164" s="19">
        <f t="shared" si="70" ref="C164:G164">C146-C167</f>
        <v>19</v>
      </c>
      <c r="D164" s="19">
        <f t="shared" si="70"/>
        <v>4</v>
      </c>
      <c r="E164" s="19">
        <f t="shared" si="70"/>
        <v>36</v>
      </c>
      <c r="F164" s="19">
        <f t="shared" si="70"/>
        <v>87</v>
      </c>
      <c r="G164" s="19">
        <f t="shared" si="70"/>
        <v>37</v>
      </c>
      <c r="H164" s="56">
        <v>25</v>
      </c>
      <c r="I164" s="22" t="s">
        <v>191</v>
      </c>
    </row>
    <row r="165" ht="15" customHeight="1">
      <c r="A165" s="1"/>
      <c r="B165" s="41" t="s">
        <v>107</v>
      </c>
      <c r="C165" s="19" t="s">
        <v>39</v>
      </c>
      <c r="D165" s="19" t="s">
        <v>39</v>
      </c>
      <c r="E165" s="19" t="s">
        <v>39</v>
      </c>
      <c r="F165" s="19" t="s">
        <v>39</v>
      </c>
      <c r="G165" s="19" t="s">
        <v>39</v>
      </c>
      <c r="H165" s="43">
        <f t="shared" si="57"/>
        <v>6</v>
      </c>
      <c r="I165" s="1"/>
    </row>
    <row r="166" ht="15" customHeight="1">
      <c r="A166" s="1"/>
      <c r="B166" s="41" t="s">
        <v>77</v>
      </c>
      <c r="C166" s="19" t="s">
        <v>39</v>
      </c>
      <c r="D166" s="19">
        <f t="shared" si="8"/>
        <v>-15</v>
      </c>
      <c r="E166" s="19"/>
      <c r="F166" s="19">
        <f t="shared" si="58"/>
        <v>83</v>
      </c>
      <c r="G166" s="19">
        <f t="shared" si="8"/>
        <v>-50</v>
      </c>
      <c r="H166" s="43">
        <f t="shared" si="8"/>
        <v>-12</v>
      </c>
      <c r="I166" s="1"/>
    </row>
    <row r="167" ht="15" customHeight="1">
      <c r="A167" s="1"/>
      <c r="B167" s="4" t="s">
        <v>192</v>
      </c>
      <c r="C167" s="69">
        <f>E167-D167-Inputs!$D$176</f>
        <v>402</v>
      </c>
      <c r="D167" s="59">
        <v>408</v>
      </c>
      <c r="E167" s="59">
        <v>1564</v>
      </c>
      <c r="F167" s="59">
        <v>311</v>
      </c>
      <c r="G167" s="59">
        <v>376</v>
      </c>
      <c r="H167" s="50">
        <f>H145-H164</f>
        <v>401.538275996</v>
      </c>
      <c r="I167" s="1"/>
    </row>
    <row r="168" ht="15" customHeight="1">
      <c r="A168" s="1"/>
      <c r="B168" s="35" t="s">
        <v>193</v>
      </c>
      <c r="C168" s="20">
        <f t="shared" si="71" ref="C168:H168">IF(AND(ISNUMBER(C167),ISNUMBER(C36)),IF(C36=0,"n.m.",C167/C36),"n.a.")</f>
        <v>0.1930835734870317</v>
      </c>
      <c r="D168" s="20">
        <f t="shared" si="71"/>
        <v>0.18053097345132743</v>
      </c>
      <c r="E168" s="20">
        <f t="shared" si="71"/>
        <v>0.18964471929186372</v>
      </c>
      <c r="F168" s="20">
        <f t="shared" si="71"/>
        <v>0.14519140989729226</v>
      </c>
      <c r="G168" s="20">
        <f t="shared" si="71"/>
        <v>0.16959855660802886</v>
      </c>
      <c r="H168" s="38">
        <f t="shared" si="71"/>
        <v>0.18050467087047337</v>
      </c>
      <c r="I168" s="1"/>
    </row>
    <row r="169" ht="15" customHeight="1">
      <c r="A169" s="1"/>
      <c r="B169" s="46" t="s">
        <v>81</v>
      </c>
      <c r="C169" s="47" t="s">
        <v>39</v>
      </c>
      <c r="D169" s="47" t="s">
        <v>39</v>
      </c>
      <c r="E169" s="47" t="s">
        <v>39</v>
      </c>
      <c r="F169" s="47" t="s">
        <v>39</v>
      </c>
      <c r="G169" s="47" t="s">
        <v>39</v>
      </c>
      <c r="H169" s="48">
        <f t="shared" si="23"/>
        <v>-125.78902616558335</v>
      </c>
      <c r="I169" s="1"/>
    </row>
    <row r="170" ht="15" customHeight="1">
      <c r="A170" s="1"/>
      <c r="B170" s="46" t="s">
        <v>82</v>
      </c>
      <c r="C170" s="47" t="s">
        <v>39</v>
      </c>
      <c r="D170" s="47">
        <f t="shared" si="21"/>
        <v>-125.5260003570427</v>
      </c>
      <c r="E170" s="47"/>
      <c r="F170" s="47">
        <f t="shared" si="24"/>
        <v>-353.3956355403517</v>
      </c>
      <c r="G170" s="47">
        <f t="shared" si="21"/>
        <v>244.071467107366</v>
      </c>
      <c r="H170" s="48">
        <f t="shared" si="21"/>
        <v>109.06114262444505</v>
      </c>
      <c r="I170" s="1"/>
    </row>
    <row r="171" ht="15" customHeight="1">
      <c r="A171" s="1"/>
      <c r="B171" s="1"/>
      <c r="C171" s="1"/>
      <c r="D171" s="1"/>
      <c r="E171" s="1"/>
      <c r="F171" s="1"/>
      <c r="G171" s="1"/>
      <c r="H171" s="32"/>
      <c r="I171" s="1"/>
    </row>
    <row r="172" ht="1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ht="15" customHeight="1">
      <c r="A173" s="1"/>
      <c r="B173" s="1"/>
      <c r="C173" s="1"/>
      <c r="D173" s="1"/>
      <c r="E173" s="1"/>
      <c r="F173" s="1"/>
      <c r="G173" s="1"/>
      <c r="H173" s="1"/>
      <c r="I17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C7BE1E8-F048-A3F4-F658-C451CE22F85C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196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124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125</v>
      </c>
      <c r="C11" s="19">
        <f>G24</f>
        <v>9450</v>
      </c>
      <c r="D11" s="19" t="str">
        <f t="shared" si="2" ref="D11:H11">C23</f>
        <v>n.a.</v>
      </c>
      <c r="E11" s="19">
        <f>D24</f>
        <v>7631</v>
      </c>
      <c r="F11" s="19">
        <f>D23</f>
        <v>10133</v>
      </c>
      <c r="G11" s="19">
        <f t="shared" si="2"/>
        <v>10350</v>
      </c>
      <c r="H11" s="43">
        <f t="shared" si="2"/>
        <v>10544</v>
      </c>
      <c r="I11" s="1"/>
    </row>
    <row r="12" ht="15" customHeight="1">
      <c r="A12" s="1"/>
      <c r="B12" s="1" t="s">
        <v>126</v>
      </c>
      <c r="C12" s="18">
        <f>E12-D12-Inputs!$D$177</f>
        <v>2100</v>
      </c>
      <c r="D12" s="42">
        <v>2817</v>
      </c>
      <c r="E12" s="42">
        <v>9928</v>
      </c>
      <c r="F12" s="42">
        <v>2464</v>
      </c>
      <c r="G12" s="42">
        <v>2454</v>
      </c>
      <c r="H12" s="43">
        <f>C12*(1+H16)*(1+H45)*(1+H48)</f>
        <v>2305.38</v>
      </c>
      <c r="I12" s="22" t="s">
        <v>127</v>
      </c>
    </row>
    <row r="13" ht="15" customHeight="1">
      <c r="A13" s="1"/>
      <c r="B13" s="41" t="s">
        <v>111</v>
      </c>
      <c r="C13" s="19" t="s">
        <v>39</v>
      </c>
      <c r="D13" s="42">
        <v>1893</v>
      </c>
      <c r="E13" s="42">
        <v>7485</v>
      </c>
      <c r="F13" s="42">
        <v>2197</v>
      </c>
      <c r="G13" s="42">
        <v>2814</v>
      </c>
      <c r="H13" s="43">
        <f t="shared" si="10" ref="H13:H109">C12</f>
        <v>2100</v>
      </c>
      <c r="I13" s="1"/>
    </row>
    <row r="14" ht="15" customHeight="1">
      <c r="A14" s="1"/>
      <c r="B14" s="35" t="s">
        <v>63</v>
      </c>
      <c r="C14" s="20" t="str">
        <f t="shared" si="3" ref="C14:H110">IF(AND(ISNUMBER(C12),ISNUMBER(C13)),IF(C13=0,"n.m.",C12/C13-1),"n.a.")</f>
        <v>n.a.</v>
      </c>
      <c r="D14" s="20">
        <f t="shared" si="3"/>
        <v>0.48811410459587945</v>
      </c>
      <c r="E14" s="20">
        <f t="shared" si="3"/>
        <v>0.32638610554442216</v>
      </c>
      <c r="F14" s="20">
        <f t="shared" si="3"/>
        <v>0.12152935821574884</v>
      </c>
      <c r="G14" s="20">
        <f t="shared" si="3"/>
        <v>-0.1279317697228145</v>
      </c>
      <c r="H14" s="38">
        <f t="shared" si="3"/>
        <v>0.09780000000000011</v>
      </c>
      <c r="I14" s="1"/>
    </row>
    <row r="15" ht="15" customHeight="1">
      <c r="A15" s="1"/>
      <c r="B15" s="41" t="s">
        <v>77</v>
      </c>
      <c r="C15" s="19">
        <f t="shared" si="27" ref="C15:C111">IF(AND(ISNUMBER(C12),ISNUMBER(G13)),(C12-G13),"n.a.")</f>
        <v>-714</v>
      </c>
      <c r="D15" s="19">
        <f t="shared" si="4" ref="D15:H111">IF(AND(ISNUMBER(D12),ISNUMBER(C12)),(D12-C12),"n.a.")</f>
        <v>717</v>
      </c>
      <c r="E15" s="19"/>
      <c r="F15" s="19">
        <f t="shared" si="11" ref="F15:F111">IF(AND(ISNUMBER(F12),ISNUMBER(D12)),(F12-D12),"n.a.")</f>
        <v>-353</v>
      </c>
      <c r="G15" s="19">
        <f t="shared" si="4"/>
        <v>-10</v>
      </c>
      <c r="H15" s="43">
        <f t="shared" si="4"/>
        <v>-148.6199999999999</v>
      </c>
      <c r="I15" s="1"/>
    </row>
    <row r="16" ht="15" customHeight="1">
      <c r="A16" s="1"/>
      <c r="B16" s="35" t="s">
        <v>128</v>
      </c>
      <c r="C16" s="20" t="s">
        <v>39</v>
      </c>
      <c r="D16" s="51">
        <v>0.41</v>
      </c>
      <c r="E16" s="51">
        <v>0.3</v>
      </c>
      <c r="F16" s="51">
        <v>0.05</v>
      </c>
      <c r="G16" s="51">
        <v>-0.14</v>
      </c>
      <c r="H16" s="45">
        <v>0.1</v>
      </c>
      <c r="I16" s="22" t="s">
        <v>195</v>
      </c>
    </row>
    <row r="17" ht="15" customHeight="1">
      <c r="A17" s="1"/>
      <c r="B17" s="46" t="s">
        <v>82</v>
      </c>
      <c r="C17" s="47" t="s">
        <v>39</v>
      </c>
      <c r="D17" s="47" t="str">
        <f t="shared" si="5" ref="D17:H43">IF(AND(ISNUMBER(D16),ISNUMBER(C16)),(D16-C16)*10000,"n.a.")</f>
        <v>n.a.</v>
      </c>
      <c r="E17" s="47"/>
      <c r="F17" s="47">
        <f t="shared" si="17" ref="F17:F43">IF(AND(ISNUMBER(F16),ISNUMBER(D16)),(F16-D16)*10000,"n.a.")</f>
        <v>-3600</v>
      </c>
      <c r="G17" s="47">
        <f t="shared" si="5"/>
        <v>-1900</v>
      </c>
      <c r="H17" s="48">
        <f t="shared" si="5"/>
        <v>2400</v>
      </c>
      <c r="I17" s="1"/>
    </row>
    <row r="18" ht="15" customHeight="1">
      <c r="A18" s="1"/>
      <c r="B18" s="46" t="s">
        <v>81</v>
      </c>
      <c r="C18" s="47" t="s">
        <v>39</v>
      </c>
      <c r="D18" s="47" t="s">
        <v>39</v>
      </c>
      <c r="E18" s="47" t="s">
        <v>39</v>
      </c>
      <c r="F18" s="47" t="s">
        <v>39</v>
      </c>
      <c r="G18" s="47" t="s">
        <v>39</v>
      </c>
      <c r="H18" s="48" t="str">
        <f t="shared" si="18" ref="H18:H44">IF(AND(ISNUMBER(H16),ISNUMBER(C16)),(H16-C16)*10000,"n.a.")</f>
        <v>n.a.</v>
      </c>
      <c r="I18" s="1"/>
    </row>
    <row r="19" ht="15" customHeight="1">
      <c r="A19" s="1"/>
      <c r="B19" s="1" t="s">
        <v>130</v>
      </c>
      <c r="C19" s="19">
        <f t="shared" si="6" ref="C19:H19">-C36</f>
        <v>-2013</v>
      </c>
      <c r="D19" s="19">
        <f t="shared" si="6"/>
        <v>-2243</v>
      </c>
      <c r="E19" s="19">
        <f t="shared" si="6"/>
        <v>-8084</v>
      </c>
      <c r="F19" s="19">
        <f t="shared" si="6"/>
        <v>-2147</v>
      </c>
      <c r="G19" s="19">
        <f t="shared" si="6"/>
        <v>-2193</v>
      </c>
      <c r="H19" s="43">
        <f t="shared" si="6"/>
        <v>-2149.6021800000003</v>
      </c>
      <c r="I19" s="1"/>
    </row>
    <row r="20" ht="15" customHeight="1">
      <c r="A20" s="1"/>
      <c r="B20" s="23" t="s">
        <v>131</v>
      </c>
      <c r="C20" s="19" t="str">
        <f t="shared" si="7" ref="C20:G20">IF(COUNT(C23,C11,C12,C19)=4,C23-C11-C12-C19,"n.a.")</f>
        <v>n.a.</v>
      </c>
      <c r="D20" s="19" t="str">
        <f t="shared" si="7"/>
        <v>n.a.</v>
      </c>
      <c r="E20" s="19">
        <f t="shared" si="7"/>
        <v>658</v>
      </c>
      <c r="F20" s="19">
        <f t="shared" si="7"/>
        <v>-100</v>
      </c>
      <c r="G20" s="19">
        <f t="shared" si="7"/>
        <v>-67</v>
      </c>
      <c r="H20" s="56">
        <v>0</v>
      </c>
      <c r="I20" s="22" t="s">
        <v>132</v>
      </c>
    </row>
    <row r="21" ht="15" customHeight="1">
      <c r="A21" s="1"/>
      <c r="B21" s="41" t="s">
        <v>107</v>
      </c>
      <c r="C21" s="19" t="s">
        <v>39</v>
      </c>
      <c r="D21" s="19" t="s">
        <v>39</v>
      </c>
      <c r="E21" s="19" t="s">
        <v>39</v>
      </c>
      <c r="F21" s="19" t="s">
        <v>39</v>
      </c>
      <c r="G21" s="19" t="s">
        <v>39</v>
      </c>
      <c r="H21" s="43" t="str">
        <f t="shared" si="57" ref="H21:H165">IF(AND(ISNUMBER(H20),ISNUMBER(C20)),(H20-C20),"n.a.")</f>
        <v>n.a.</v>
      </c>
      <c r="I21" s="1"/>
    </row>
    <row r="22" ht="15" customHeight="1">
      <c r="A22" s="1"/>
      <c r="B22" s="41" t="s">
        <v>77</v>
      </c>
      <c r="C22" s="19" t="s">
        <v>39</v>
      </c>
      <c r="D22" s="19" t="str">
        <f t="shared" si="8" ref="D22:H166">IF(AND(ISNUMBER(D20),ISNUMBER(C20)),(D20-C20),"n.a.")</f>
        <v>n.a.</v>
      </c>
      <c r="E22" s="19"/>
      <c r="F22" s="19" t="str">
        <f t="shared" si="58" ref="F22:F166">IF(AND(ISNUMBER(F20),ISNUMBER(D20)),(F20-D20),"n.a.")</f>
        <v>n.a.</v>
      </c>
      <c r="G22" s="19">
        <f t="shared" si="8"/>
        <v>33</v>
      </c>
      <c r="H22" s="43">
        <f t="shared" si="8"/>
        <v>67</v>
      </c>
      <c r="I22" s="1"/>
    </row>
    <row r="23" ht="15" customHeight="1">
      <c r="A23" s="1"/>
      <c r="B23" s="4" t="s">
        <v>133</v>
      </c>
      <c r="C23" s="49" t="s">
        <v>39</v>
      </c>
      <c r="D23" s="59">
        <v>10133</v>
      </c>
      <c r="E23" s="49">
        <f t="shared" si="9" ref="E23:E24">D23</f>
        <v>10133</v>
      </c>
      <c r="F23" s="59">
        <v>10350</v>
      </c>
      <c r="G23" s="59">
        <v>10544</v>
      </c>
      <c r="H23" s="50">
        <f>H11+H12+H19+H20</f>
        <v>10699.777820000001</v>
      </c>
      <c r="I23" s="1"/>
    </row>
    <row r="24" ht="15" customHeight="1">
      <c r="A24" s="1"/>
      <c r="B24" s="41" t="s">
        <v>134</v>
      </c>
      <c r="C24" s="19" t="s">
        <v>39</v>
      </c>
      <c r="D24" s="42">
        <v>7631</v>
      </c>
      <c r="E24" s="19">
        <f t="shared" si="9"/>
        <v>7631</v>
      </c>
      <c r="F24" s="42">
        <v>8261</v>
      </c>
      <c r="G24" s="42">
        <v>9450</v>
      </c>
      <c r="H24" s="43" t="str">
        <f t="shared" si="10"/>
        <v>n.a.</v>
      </c>
      <c r="I24" s="1"/>
    </row>
    <row r="25" ht="15" customHeight="1">
      <c r="A25" s="1"/>
      <c r="B25" s="35" t="s">
        <v>63</v>
      </c>
      <c r="C25" s="20" t="str">
        <f t="shared" si="3"/>
        <v>n.a.</v>
      </c>
      <c r="D25" s="20">
        <f t="shared" si="3"/>
        <v>0.3278731489975102</v>
      </c>
      <c r="E25" s="20">
        <f t="shared" si="3"/>
        <v>0.3278731489975102</v>
      </c>
      <c r="F25" s="20">
        <f t="shared" si="3"/>
        <v>0.25287495460597986</v>
      </c>
      <c r="G25" s="20">
        <f t="shared" si="3"/>
        <v>0.11576719576719574</v>
      </c>
      <c r="H25" s="38" t="str">
        <f t="shared" si="3"/>
        <v>n.a.</v>
      </c>
      <c r="I25" s="1"/>
    </row>
    <row r="26" ht="15" customHeight="1">
      <c r="A26" s="1"/>
      <c r="B26" s="41" t="s">
        <v>77</v>
      </c>
      <c r="C26" s="19" t="str">
        <f>IF(AND(ISNUMBER(C23),ISNUMBER(C11)),(C23-C11),"n.a.")</f>
        <v>n.a.</v>
      </c>
      <c r="D26" s="19" t="str">
        <f t="shared" si="4"/>
        <v>n.a.</v>
      </c>
      <c r="E26" s="19"/>
      <c r="F26" s="19">
        <f t="shared" si="11"/>
        <v>217</v>
      </c>
      <c r="G26" s="19">
        <f t="shared" si="4"/>
        <v>194</v>
      </c>
      <c r="H26" s="43">
        <f t="shared" si="4"/>
        <v>155.77782000000116</v>
      </c>
      <c r="I26" s="1"/>
    </row>
    <row r="27" ht="15" customHeight="1">
      <c r="A27" s="1"/>
      <c r="B27" s="1" t="s">
        <v>135</v>
      </c>
      <c r="C27" s="19" t="str">
        <f t="shared" si="12" ref="C27:H27">IF(COUNT(C11,C23)=2,AVERAGE(C11,C23),"n.a.")</f>
        <v>n.a.</v>
      </c>
      <c r="D27" s="19" t="str">
        <f t="shared" si="12"/>
        <v>n.a.</v>
      </c>
      <c r="E27" s="19">
        <f t="shared" si="12"/>
        <v>8882</v>
      </c>
      <c r="F27" s="19">
        <f t="shared" si="12"/>
        <v>10241.5</v>
      </c>
      <c r="G27" s="19">
        <f t="shared" si="12"/>
        <v>10447</v>
      </c>
      <c r="H27" s="43">
        <f t="shared" si="12"/>
        <v>10621.888910000001</v>
      </c>
      <c r="I27" s="1"/>
    </row>
    <row r="28" ht="15" customHeight="1">
      <c r="A28" s="1"/>
      <c r="B28" s="1" t="s">
        <v>136</v>
      </c>
      <c r="C28" s="57">
        <f t="shared" si="13" ref="C28:H28">IF(AND(ISNUMBER(C12),ISNUMBER(C36)),IF(C36=0,"n.m.",C12/C36),"n.a.")</f>
        <v>1.0432190760059612</v>
      </c>
      <c r="D28" s="57">
        <f t="shared" si="13"/>
        <v>1.255907267053054</v>
      </c>
      <c r="E28" s="57">
        <f t="shared" si="13"/>
        <v>1.2281048985650669</v>
      </c>
      <c r="F28" s="57">
        <f t="shared" si="13"/>
        <v>1.1476478807638566</v>
      </c>
      <c r="G28" s="57">
        <f t="shared" si="13"/>
        <v>1.119015047879617</v>
      </c>
      <c r="H28" s="58">
        <f t="shared" si="13"/>
        <v>1.0724682089780908</v>
      </c>
      <c r="I28" s="1"/>
    </row>
    <row r="29" ht="15" customHeight="1">
      <c r="A29" s="1"/>
      <c r="B29" s="41" t="s">
        <v>114</v>
      </c>
      <c r="C29" s="57" t="s">
        <v>39</v>
      </c>
      <c r="D29" s="57">
        <f t="shared" si="14" ref="D29:H29">IF(AND(ISNUMBER(D28),ISNUMBER(C28)),(D28-C28),"n.a.")</f>
        <v>0.2126881910470928</v>
      </c>
      <c r="E29" s="57"/>
      <c r="F29" s="57">
        <f>IF(AND(ISNUMBER(F28),ISNUMBER(D28)),(F28-D28),"n.a.")</f>
        <v>-0.1082593862891974</v>
      </c>
      <c r="G29" s="57">
        <f t="shared" si="14"/>
        <v>-0.028632832884239567</v>
      </c>
      <c r="H29" s="58">
        <f t="shared" si="14"/>
        <v>-0.04654683890152622</v>
      </c>
      <c r="I29" s="1"/>
    </row>
    <row r="30" ht="15" customHeight="1">
      <c r="A30" s="1"/>
      <c r="B30" s="41" t="s">
        <v>115</v>
      </c>
      <c r="C30" s="57" t="str">
        <f t="shared" si="15" ref="C30:H30">IF(COUNT(C28,C13,C37)=3,C28-C13/C37,"n.a.")</f>
        <v>n.a.</v>
      </c>
      <c r="D30" s="57">
        <f t="shared" si="15"/>
        <v>0.2935280093001308</v>
      </c>
      <c r="E30" s="57">
        <f t="shared" si="15"/>
        <v>0.25501597500812456</v>
      </c>
      <c r="F30" s="57">
        <f t="shared" si="15"/>
        <v>-0.060822966320851934</v>
      </c>
      <c r="G30" s="57">
        <f t="shared" si="15"/>
        <v>-0.2809849521203829</v>
      </c>
      <c r="H30" s="58">
        <f t="shared" si="15"/>
        <v>0.02924913297212961</v>
      </c>
      <c r="I30" s="1"/>
    </row>
    <row r="31" ht="15" customHeight="1">
      <c r="A31" s="1"/>
      <c r="B31" s="5" t="s">
        <v>137</v>
      </c>
      <c r="C31" s="20">
        <f t="shared" si="16" ref="C31:H31">IF(AND(ISNUMBER(C36),ISNUMBER(C11)),IF(C11=0,"n.m.",C36/C11),"n.a.")</f>
        <v>0.21301587301587302</v>
      </c>
      <c r="D31" s="20" t="str">
        <f t="shared" si="16"/>
        <v>n.a.</v>
      </c>
      <c r="E31" s="60">
        <f t="shared" si="16"/>
        <v>1.0593631240990695</v>
      </c>
      <c r="F31" s="20">
        <f t="shared" si="16"/>
        <v>0.2118819698016382</v>
      </c>
      <c r="G31" s="20">
        <f t="shared" si="16"/>
        <v>0.2118840579710145</v>
      </c>
      <c r="H31" s="38">
        <f t="shared" si="16"/>
        <v>0.20386970599393023</v>
      </c>
      <c r="I31" s="22" t="s">
        <v>138</v>
      </c>
    </row>
    <row r="32" ht="15" customHeight="1">
      <c r="A32" s="1"/>
      <c r="B32" s="46" t="s">
        <v>82</v>
      </c>
      <c r="C32" s="47" t="s">
        <v>39</v>
      </c>
      <c r="D32" s="47" t="str">
        <f t="shared" si="5"/>
        <v>n.a.</v>
      </c>
      <c r="E32" s="47"/>
      <c r="F32" s="47" t="str">
        <f t="shared" si="17"/>
        <v>n.a.</v>
      </c>
      <c r="G32" s="47">
        <f t="shared" si="5"/>
        <v>0.020881693763019626</v>
      </c>
      <c r="H32" s="48">
        <f t="shared" si="5"/>
        <v>-80.14351977084277</v>
      </c>
      <c r="I32" s="1"/>
    </row>
    <row r="33" ht="15" customHeight="1">
      <c r="A33" s="1"/>
      <c r="B33" s="46" t="s">
        <v>81</v>
      </c>
      <c r="C33" s="47" t="s">
        <v>39</v>
      </c>
      <c r="D33" s="47" t="s">
        <v>39</v>
      </c>
      <c r="E33" s="47" t="s">
        <v>39</v>
      </c>
      <c r="F33" s="47" t="s">
        <v>39</v>
      </c>
      <c r="G33" s="47" t="s">
        <v>39</v>
      </c>
      <c r="H33" s="48">
        <f t="shared" si="18"/>
        <v>-91.46167021942792</v>
      </c>
      <c r="I33" s="1"/>
    </row>
    <row r="34" ht="15" customHeight="1">
      <c r="A34" s="1"/>
      <c r="B34" s="1"/>
      <c r="C34" s="1"/>
      <c r="D34" s="1"/>
      <c r="E34" s="1"/>
      <c r="F34" s="1"/>
      <c r="G34" s="1"/>
      <c r="H34" s="32"/>
      <c r="I34" s="1"/>
    </row>
    <row r="35" ht="15" customHeight="1">
      <c r="A35" s="1"/>
      <c r="B35" s="4" t="s">
        <v>139</v>
      </c>
      <c r="C35" s="1"/>
      <c r="D35" s="1"/>
      <c r="E35" s="1"/>
      <c r="F35" s="1"/>
      <c r="G35" s="1"/>
      <c r="H35" s="32"/>
      <c r="I35" s="1"/>
    </row>
    <row r="36" ht="15" customHeight="1">
      <c r="A36" s="1"/>
      <c r="B36" s="4" t="s">
        <v>140</v>
      </c>
      <c r="C36" s="33">
        <f>E36-D36-Inputs!$D$178</f>
        <v>2013</v>
      </c>
      <c r="D36" s="39">
        <v>2243</v>
      </c>
      <c r="E36" s="39">
        <v>8084</v>
      </c>
      <c r="F36" s="39">
        <v>2147</v>
      </c>
      <c r="G36" s="39">
        <v>2193</v>
      </c>
      <c r="H36" s="61">
        <f>C36*(1+H42)*(1+H45)*(1+H48)</f>
        <v>2149.6021800000003</v>
      </c>
      <c r="I36" s="22" t="s">
        <v>141</v>
      </c>
    </row>
    <row r="37" ht="15" customHeight="1">
      <c r="A37" s="1"/>
      <c r="B37" s="41" t="s">
        <v>73</v>
      </c>
      <c r="C37" s="19" t="s">
        <v>39</v>
      </c>
      <c r="D37" s="42">
        <v>1967</v>
      </c>
      <c r="E37" s="42">
        <v>7692</v>
      </c>
      <c r="F37" s="42">
        <v>1818</v>
      </c>
      <c r="G37" s="42">
        <v>2010</v>
      </c>
      <c r="H37" s="43">
        <f t="shared" si="10"/>
        <v>2013</v>
      </c>
      <c r="I37" s="1"/>
    </row>
    <row r="38" ht="15" customHeight="1">
      <c r="A38" s="1"/>
      <c r="B38" s="35" t="s">
        <v>63</v>
      </c>
      <c r="C38" s="20" t="str">
        <f t="shared" si="3"/>
        <v>n.a.</v>
      </c>
      <c r="D38" s="20">
        <f t="shared" si="3"/>
        <v>0.14031520081342141</v>
      </c>
      <c r="E38" s="20">
        <f t="shared" si="3"/>
        <v>0.05096203848153924</v>
      </c>
      <c r="F38" s="20">
        <f t="shared" si="3"/>
        <v>0.18096809680968096</v>
      </c>
      <c r="G38" s="20">
        <f t="shared" si="3"/>
        <v>0.09104477611940309</v>
      </c>
      <c r="H38" s="38">
        <f t="shared" si="3"/>
        <v>0.06786000000000025</v>
      </c>
      <c r="I38" s="1"/>
    </row>
    <row r="39" ht="15" customHeight="1">
      <c r="A39" s="1"/>
      <c r="B39" s="35" t="s">
        <v>64</v>
      </c>
      <c r="C39" s="20">
        <f>IF(AND(ISNUMBER(C36),ISNUMBER(G37)),IF(G37=0,"n.m.",C36/G37-1),"n.a.")</f>
        <v>0.0014925373134329067</v>
      </c>
      <c r="D39" s="20">
        <f t="shared" si="19" ref="D39:H39">IF(AND(ISNUMBER(D36),ISNUMBER(C36)),IF(C36=0,"n.m.",D36/C36-1),"n.a.")</f>
        <v>0.1142573273720815</v>
      </c>
      <c r="E39" s="20"/>
      <c r="F39" s="20">
        <f>IF(AND(ISNUMBER(F36),ISNUMBER(D36)),IF(D36=0,"n.m.",F36/D36-1),"n.a.")</f>
        <v>-0.0427998216674097</v>
      </c>
      <c r="G39" s="20">
        <f t="shared" si="19"/>
        <v>0.021425244527247367</v>
      </c>
      <c r="H39" s="38">
        <f t="shared" si="19"/>
        <v>-0.019789247606018967</v>
      </c>
      <c r="I39" s="1"/>
    </row>
    <row r="40" ht="15" customHeight="1">
      <c r="A40" s="1"/>
      <c r="B40" s="35" t="s">
        <v>142</v>
      </c>
      <c r="C40" s="36">
        <f>IF(AND(ISNUMBER(C36),ISNUMBER('Revenue summary'!C46)),IF('Revenue summary'!C46=0,"n.m.",C36/'Revenue summary'!C46),"n.a.")</f>
        <v>0.23707454952302437</v>
      </c>
      <c r="D40" s="36">
        <f>IF(AND(ISNUMBER(D36),ISNUMBER('Revenue summary'!D46)),IF('Revenue summary'!D46=0,"n.m.",D36/'Revenue summary'!D46),"n.a.")</f>
        <v>0.24779054352629254</v>
      </c>
      <c r="E40" s="36">
        <f>IF(AND(ISNUMBER(E36),ISNUMBER('Revenue summary'!E46)),IF('Revenue summary'!E46=0,"n.m.",E36/'Revenue summary'!E46),"n.a.")</f>
        <v>0.24334738109572546</v>
      </c>
      <c r="F40" s="36">
        <f>IF(AND(ISNUMBER(F36),ISNUMBER('Revenue summary'!F46)),IF('Revenue summary'!F46=0,"n.m.",F36/'Revenue summary'!F46),"n.a.")</f>
        <v>0.2458209297000229</v>
      </c>
      <c r="G40" s="36">
        <f>IF(AND(ISNUMBER(G36),ISNUMBER('Revenue summary'!G46)),IF('Revenue summary'!G46=0,"n.m.",G36/'Revenue summary'!G46),"n.a.")</f>
        <v>0.23145118733509235</v>
      </c>
      <c r="H40" s="37">
        <f>IF(AND(ISNUMBER(H36),ISNUMBER('Revenue summary'!H46)),IF('Revenue summary'!H46=0,"n.m.",H36/'Revenue summary'!H46),"n.a.")</f>
        <v>0.2220867918943972</v>
      </c>
      <c r="I40" s="1"/>
    </row>
    <row r="41" ht="15" customHeight="1">
      <c r="A41" s="1"/>
      <c r="B41" s="35" t="s">
        <v>84</v>
      </c>
      <c r="C41" s="20" t="s">
        <v>39</v>
      </c>
      <c r="D41" s="51">
        <v>0.09</v>
      </c>
      <c r="E41" s="51">
        <v>0.03</v>
      </c>
      <c r="F41" s="51">
        <v>0.1</v>
      </c>
      <c r="G41" s="51">
        <v>0.07</v>
      </c>
      <c r="H41" s="38">
        <f>(1+H42)*(1+H45)-1</f>
        <v>0.07000000000000006</v>
      </c>
      <c r="I41" s="1"/>
    </row>
    <row r="42" ht="15" customHeight="1">
      <c r="A42" s="1"/>
      <c r="B42" s="44" t="s">
        <v>85</v>
      </c>
      <c r="C42" s="20" t="s">
        <v>39</v>
      </c>
      <c r="D42" s="51">
        <v>0.09</v>
      </c>
      <c r="E42" s="51">
        <v>0.03</v>
      </c>
      <c r="F42" s="51">
        <v>0.1</v>
      </c>
      <c r="G42" s="51">
        <v>0.07</v>
      </c>
      <c r="H42" s="45">
        <v>0.07</v>
      </c>
      <c r="I42" s="22" t="s">
        <v>143</v>
      </c>
    </row>
    <row r="43" ht="15" customHeight="1">
      <c r="A43" s="1"/>
      <c r="B43" s="46" t="s">
        <v>82</v>
      </c>
      <c r="C43" s="47" t="s">
        <v>39</v>
      </c>
      <c r="D43" s="47" t="str">
        <f t="shared" si="5"/>
        <v>n.a.</v>
      </c>
      <c r="E43" s="47"/>
      <c r="F43" s="47">
        <f t="shared" si="17"/>
        <v>100.00000000000009</v>
      </c>
      <c r="G43" s="47">
        <f t="shared" si="5"/>
        <v>-300</v>
      </c>
      <c r="H43" s="48">
        <f t="shared" si="5"/>
        <v>0</v>
      </c>
      <c r="I43" s="1"/>
    </row>
    <row r="44" ht="15" customHeight="1">
      <c r="A44" s="1"/>
      <c r="B44" s="46" t="s">
        <v>81</v>
      </c>
      <c r="C44" s="47" t="s">
        <v>39</v>
      </c>
      <c r="D44" s="47" t="s">
        <v>39</v>
      </c>
      <c r="E44" s="47" t="s">
        <v>39</v>
      </c>
      <c r="F44" s="47" t="s">
        <v>39</v>
      </c>
      <c r="G44" s="47" t="s">
        <v>39</v>
      </c>
      <c r="H44" s="48" t="str">
        <f t="shared" si="18"/>
        <v>n.a.</v>
      </c>
      <c r="I44" s="1"/>
    </row>
    <row r="45" ht="15" customHeight="1">
      <c r="A45" s="1"/>
      <c r="B45" s="35" t="s">
        <v>67</v>
      </c>
      <c r="C45" s="20" t="str">
        <f t="shared" si="20" ref="C45:G45">IF(AND(ISNUMBER(C41),ISNUMBER(C42)),(1+C41)/(1+C42)-1,"n.a.")</f>
        <v>n.a.</v>
      </c>
      <c r="D45" s="20">
        <f t="shared" si="20"/>
        <v>0</v>
      </c>
      <c r="E45" s="20">
        <f t="shared" si="20"/>
        <v>0</v>
      </c>
      <c r="F45" s="20">
        <f t="shared" si="20"/>
        <v>0</v>
      </c>
      <c r="G45" s="20">
        <f t="shared" si="20"/>
        <v>0</v>
      </c>
      <c r="H45" s="45">
        <v>0</v>
      </c>
      <c r="I45" s="1"/>
    </row>
    <row r="46" ht="15" customHeight="1">
      <c r="A46" s="1"/>
      <c r="B46" s="46" t="s">
        <v>81</v>
      </c>
      <c r="C46" s="47" t="s">
        <v>39</v>
      </c>
      <c r="D46" s="47" t="s">
        <v>39</v>
      </c>
      <c r="E46" s="47" t="s">
        <v>39</v>
      </c>
      <c r="F46" s="47" t="s">
        <v>39</v>
      </c>
      <c r="G46" s="47" t="s">
        <v>39</v>
      </c>
      <c r="H46" s="48" t="str">
        <f t="shared" si="23" ref="H46:H169">IF(AND(ISNUMBER(H45),ISNUMBER(C45)),(H45-C45)*10000,"n.a.")</f>
        <v>n.a.</v>
      </c>
      <c r="I46" s="1"/>
    </row>
    <row r="47" ht="15" customHeight="1">
      <c r="A47" s="1"/>
      <c r="B47" s="46" t="s">
        <v>82</v>
      </c>
      <c r="C47" s="47" t="s">
        <v>39</v>
      </c>
      <c r="D47" s="47" t="str">
        <f t="shared" si="21" ref="D47:H170">IF(AND(ISNUMBER(D45),ISNUMBER(C45)),(D45-C45)*10000,"n.a.")</f>
        <v>n.a.</v>
      </c>
      <c r="E47" s="47"/>
      <c r="F47" s="47">
        <f t="shared" si="24" ref="F47:F170">IF(AND(ISNUMBER(F45),ISNUMBER(D45)),(F45-D45)*10000,"n.a.")</f>
        <v>0</v>
      </c>
      <c r="G47" s="47">
        <f t="shared" si="21"/>
        <v>0</v>
      </c>
      <c r="H47" s="48">
        <f t="shared" si="21"/>
        <v>0</v>
      </c>
      <c r="I47" s="1"/>
    </row>
    <row r="48" ht="15" customHeight="1">
      <c r="A48" s="1"/>
      <c r="B48" s="35" t="s">
        <v>68</v>
      </c>
      <c r="C48" s="20" t="str">
        <f t="shared" si="22" ref="C48:G48">IF(AND(ISNUMBER(C38),ISNUMBER(C41)),(1+C38)/(1+C41)-1,"n.a.")</f>
        <v>n.a.</v>
      </c>
      <c r="D48" s="20">
        <f t="shared" si="22"/>
        <v>0.04616073469121229</v>
      </c>
      <c r="E48" s="20">
        <f t="shared" si="22"/>
        <v>0.020351493671397325</v>
      </c>
      <c r="F48" s="20">
        <f t="shared" si="22"/>
        <v>0.07360736073607343</v>
      </c>
      <c r="G48" s="20">
        <f t="shared" si="22"/>
        <v>0.01966801506486271</v>
      </c>
      <c r="H48" s="37">
        <f>'Revenue summary'!H57</f>
        <v>-0.002</v>
      </c>
      <c r="I48" s="1"/>
    </row>
    <row r="49" ht="15" customHeight="1">
      <c r="A49" s="1"/>
      <c r="B49" s="46" t="s">
        <v>81</v>
      </c>
      <c r="C49" s="47" t="s">
        <v>39</v>
      </c>
      <c r="D49" s="47" t="s">
        <v>39</v>
      </c>
      <c r="E49" s="47" t="s">
        <v>39</v>
      </c>
      <c r="F49" s="47" t="s">
        <v>39</v>
      </c>
      <c r="G49" s="47" t="s">
        <v>39</v>
      </c>
      <c r="H49" s="48" t="str">
        <f t="shared" si="23"/>
        <v>n.a.</v>
      </c>
      <c r="I49" s="1"/>
    </row>
    <row r="50" ht="15" customHeight="1">
      <c r="A50" s="1"/>
      <c r="B50" s="46" t="s">
        <v>82</v>
      </c>
      <c r="C50" s="47" t="s">
        <v>39</v>
      </c>
      <c r="D50" s="47" t="str">
        <f t="shared" si="21"/>
        <v>n.a.</v>
      </c>
      <c r="E50" s="47"/>
      <c r="F50" s="47">
        <f t="shared" si="24"/>
        <v>274.4662604486114</v>
      </c>
      <c r="G50" s="47">
        <f t="shared" si="21"/>
        <v>-539.3934567121073</v>
      </c>
      <c r="H50" s="48">
        <f t="shared" si="21"/>
        <v>-216.68015064862712</v>
      </c>
      <c r="I50" s="1"/>
    </row>
    <row r="51" ht="15" customHeight="1">
      <c r="A51" s="1"/>
      <c r="B51" s="35" t="s">
        <v>88</v>
      </c>
      <c r="C51" s="20" t="str">
        <f t="shared" si="25" ref="C51:H51">IF(COUNT(C38,C45,C48)=3,(1+C38)/((1+C45)*(1+C48))-1,"n.a.")</f>
        <v>n.a.</v>
      </c>
      <c r="D51" s="20">
        <f t="shared" si="25"/>
        <v>0.09000000000000008</v>
      </c>
      <c r="E51" s="20">
        <f t="shared" si="25"/>
        <v>0.030000000000000027</v>
      </c>
      <c r="F51" s="20">
        <f t="shared" si="25"/>
        <v>0.10000000000000009</v>
      </c>
      <c r="G51" s="20">
        <f t="shared" si="25"/>
        <v>0.07000000000000006</v>
      </c>
      <c r="H51" s="38">
        <f t="shared" si="25"/>
        <v>0.07000000000000028</v>
      </c>
      <c r="I51" s="1"/>
    </row>
    <row r="52" ht="15" customHeight="1">
      <c r="A52" s="1"/>
      <c r="B52" s="41" t="s">
        <v>77</v>
      </c>
      <c r="C52" s="19">
        <f>IF(AND(ISNUMBER(C36),ISNUMBER(G37)),(C36-G37),"n.a.")</f>
        <v>3</v>
      </c>
      <c r="D52" s="19">
        <f t="shared" si="26" ref="D52:H52">IF(AND(ISNUMBER(D36),ISNUMBER(C36)),(D36-C36),"n.a.")</f>
        <v>230</v>
      </c>
      <c r="E52" s="19"/>
      <c r="F52" s="19">
        <f>IF(AND(ISNUMBER(F36),ISNUMBER(D36)),(F36-D36),"n.a.")</f>
        <v>-96</v>
      </c>
      <c r="G52" s="19">
        <f t="shared" si="26"/>
        <v>46</v>
      </c>
      <c r="H52" s="43">
        <f t="shared" si="26"/>
        <v>-43.39781999999968</v>
      </c>
      <c r="I52" s="1"/>
    </row>
    <row r="53" ht="15" customHeight="1">
      <c r="A53" s="1"/>
      <c r="B53" s="1"/>
      <c r="C53" s="1"/>
      <c r="D53" s="1"/>
      <c r="E53" s="1"/>
      <c r="F53" s="1"/>
      <c r="G53" s="1"/>
      <c r="H53" s="32"/>
      <c r="I53" s="1"/>
    </row>
    <row r="54" ht="15" customHeight="1">
      <c r="A54" s="1"/>
      <c r="B54" s="4" t="s">
        <v>144</v>
      </c>
      <c r="C54" s="1"/>
      <c r="D54" s="1"/>
      <c r="E54" s="1"/>
      <c r="F54" s="1"/>
      <c r="G54" s="1"/>
      <c r="H54" s="32"/>
      <c r="I54" s="1"/>
    </row>
    <row r="55" ht="15" customHeight="1">
      <c r="A55" s="1"/>
      <c r="B55" s="1" t="s">
        <v>145</v>
      </c>
      <c r="C55" s="18">
        <f>E55-D55-Inputs!$D$179</f>
        <v>853</v>
      </c>
      <c r="D55" s="42">
        <v>937</v>
      </c>
      <c r="E55" s="42">
        <v>3438</v>
      </c>
      <c r="F55" s="42">
        <v>967</v>
      </c>
      <c r="G55" s="42">
        <v>918</v>
      </c>
      <c r="H55" s="43">
        <f>H95*G55/G95</f>
        <v>899.8334706976746</v>
      </c>
      <c r="I55" s="22" t="s">
        <v>146</v>
      </c>
    </row>
    <row r="56" ht="15" customHeight="1">
      <c r="A56" s="1"/>
      <c r="B56" s="41" t="s">
        <v>73</v>
      </c>
      <c r="C56" s="19" t="s">
        <v>39</v>
      </c>
      <c r="D56" s="42">
        <v>767</v>
      </c>
      <c r="E56" s="42">
        <v>3110</v>
      </c>
      <c r="F56" s="42">
        <v>815</v>
      </c>
      <c r="G56" s="42">
        <v>833</v>
      </c>
      <c r="H56" s="43">
        <f t="shared" si="10"/>
        <v>853</v>
      </c>
      <c r="I56" s="1"/>
    </row>
    <row r="57" ht="15" customHeight="1">
      <c r="A57" s="1"/>
      <c r="B57" s="35" t="s">
        <v>63</v>
      </c>
      <c r="C57" s="20" t="str">
        <f t="shared" si="3"/>
        <v>n.a.</v>
      </c>
      <c r="D57" s="20">
        <f t="shared" si="3"/>
        <v>0.2216427640156453</v>
      </c>
      <c r="E57" s="20">
        <f t="shared" si="3"/>
        <v>0.10546623794212229</v>
      </c>
      <c r="F57" s="20">
        <f t="shared" si="3"/>
        <v>0.1865030674846626</v>
      </c>
      <c r="G57" s="20">
        <f t="shared" si="3"/>
        <v>0.1020408163265305</v>
      </c>
      <c r="H57" s="38">
        <f t="shared" si="3"/>
        <v>0.054904420513100405</v>
      </c>
      <c r="I57" s="1"/>
    </row>
    <row r="58" ht="15" customHeight="1">
      <c r="A58" s="1"/>
      <c r="B58" s="41" t="s">
        <v>77</v>
      </c>
      <c r="C58" s="19">
        <f t="shared" si="27"/>
        <v>20</v>
      </c>
      <c r="D58" s="19">
        <f t="shared" si="4"/>
        <v>84</v>
      </c>
      <c r="E58" s="19"/>
      <c r="F58" s="19">
        <f t="shared" si="11"/>
        <v>30</v>
      </c>
      <c r="G58" s="19">
        <f t="shared" si="4"/>
        <v>-49</v>
      </c>
      <c r="H58" s="43">
        <f t="shared" si="4"/>
        <v>-18.166529302325443</v>
      </c>
      <c r="I58" s="1"/>
    </row>
    <row r="59" ht="15" customHeight="1">
      <c r="A59" s="1"/>
      <c r="B59" s="35" t="s">
        <v>147</v>
      </c>
      <c r="C59" s="20">
        <f t="shared" si="28" ref="C59:H59">IF(AND(ISNUMBER(C55),ISNUMBER(C95)),IF(C95=0,"n.m.",C55/C95),"n.a.")</f>
        <v>0.42671335667833915</v>
      </c>
      <c r="D59" s="20">
        <f t="shared" si="28"/>
        <v>0.42131294964028776</v>
      </c>
      <c r="E59" s="20">
        <f t="shared" si="28"/>
        <v>0.42809114680612625</v>
      </c>
      <c r="F59" s="20">
        <f t="shared" si="28"/>
        <v>0.4529274004683841</v>
      </c>
      <c r="G59" s="20">
        <f t="shared" si="28"/>
        <v>0.41994510521500455</v>
      </c>
      <c r="H59" s="38">
        <f t="shared" si="28"/>
        <v>0.41994510521500455</v>
      </c>
      <c r="I59" s="1"/>
    </row>
    <row r="60" ht="15" customHeight="1">
      <c r="A60" s="1"/>
      <c r="B60" s="35" t="s">
        <v>74</v>
      </c>
      <c r="C60" s="20" t="s">
        <v>39</v>
      </c>
      <c r="D60" s="20" t="s">
        <v>39</v>
      </c>
      <c r="E60" s="20" t="s">
        <v>39</v>
      </c>
      <c r="F60" s="20" t="s">
        <v>39</v>
      </c>
      <c r="G60" s="20" t="s">
        <v>39</v>
      </c>
      <c r="H60" s="38" t="s">
        <v>39</v>
      </c>
      <c r="I60" s="1"/>
    </row>
    <row r="61" ht="15" customHeight="1">
      <c r="A61" s="1"/>
      <c r="B61" s="1" t="s">
        <v>148</v>
      </c>
      <c r="C61" s="18">
        <f>E61-D61-Inputs!$D$180</f>
        <v>493</v>
      </c>
      <c r="D61" s="42">
        <v>547</v>
      </c>
      <c r="E61" s="42">
        <v>2024</v>
      </c>
      <c r="F61" s="42">
        <v>514</v>
      </c>
      <c r="G61" s="42">
        <v>541</v>
      </c>
      <c r="H61" s="43">
        <f>H95*G61/G95</f>
        <v>530.2940170451437</v>
      </c>
      <c r="I61" s="22" t="s">
        <v>146</v>
      </c>
    </row>
    <row r="62" ht="15" customHeight="1">
      <c r="A62" s="1"/>
      <c r="B62" s="41" t="s">
        <v>73</v>
      </c>
      <c r="C62" s="19" t="s">
        <v>39</v>
      </c>
      <c r="D62" s="42">
        <v>505</v>
      </c>
      <c r="E62" s="42">
        <v>1970</v>
      </c>
      <c r="F62" s="42">
        <v>453</v>
      </c>
      <c r="G62" s="42">
        <v>531</v>
      </c>
      <c r="H62" s="43">
        <f t="shared" si="10"/>
        <v>493</v>
      </c>
      <c r="I62" s="1"/>
    </row>
    <row r="63" ht="15" customHeight="1">
      <c r="A63" s="1"/>
      <c r="B63" s="35" t="s">
        <v>63</v>
      </c>
      <c r="C63" s="20" t="str">
        <f t="shared" si="3"/>
        <v>n.a.</v>
      </c>
      <c r="D63" s="20">
        <f t="shared" si="3"/>
        <v>0.08316831683168324</v>
      </c>
      <c r="E63" s="20">
        <f t="shared" si="3"/>
        <v>0.02741116751269046</v>
      </c>
      <c r="F63" s="20">
        <f t="shared" si="3"/>
        <v>0.13465783664459163</v>
      </c>
      <c r="G63" s="20">
        <f t="shared" si="3"/>
        <v>0.01883239171374762</v>
      </c>
      <c r="H63" s="38">
        <f t="shared" si="3"/>
        <v>0.07564709339785747</v>
      </c>
      <c r="I63" s="1"/>
    </row>
    <row r="64" ht="15" customHeight="1">
      <c r="A64" s="1"/>
      <c r="B64" s="41" t="s">
        <v>77</v>
      </c>
      <c r="C64" s="19">
        <f t="shared" si="27"/>
        <v>-38</v>
      </c>
      <c r="D64" s="19">
        <f t="shared" si="4"/>
        <v>54</v>
      </c>
      <c r="E64" s="19"/>
      <c r="F64" s="19">
        <f t="shared" si="11"/>
        <v>-33</v>
      </c>
      <c r="G64" s="19">
        <f t="shared" si="4"/>
        <v>27</v>
      </c>
      <c r="H64" s="43">
        <f t="shared" si="4"/>
        <v>-10.705982954856267</v>
      </c>
      <c r="I64" s="1"/>
    </row>
    <row r="65" ht="15" customHeight="1">
      <c r="A65" s="1"/>
      <c r="B65" s="35" t="s">
        <v>147</v>
      </c>
      <c r="C65" s="20">
        <f t="shared" si="29" ref="C65:H65">IF(AND(ISNUMBER(C61),ISNUMBER(C95)),IF(C95=0,"n.m.",C61/C95),"n.a.")</f>
        <v>0.2466233116558279</v>
      </c>
      <c r="D65" s="20">
        <f t="shared" si="29"/>
        <v>0.24595323741007194</v>
      </c>
      <c r="E65" s="20">
        <f t="shared" si="29"/>
        <v>0.25202340928900513</v>
      </c>
      <c r="F65" s="20">
        <f t="shared" si="29"/>
        <v>0.24074941451990634</v>
      </c>
      <c r="G65" s="20">
        <f t="shared" si="29"/>
        <v>0.247483989021043</v>
      </c>
      <c r="H65" s="38">
        <f t="shared" si="29"/>
        <v>0.247483989021043</v>
      </c>
      <c r="I65" s="1"/>
    </row>
    <row r="66" ht="15" customHeight="1">
      <c r="A66" s="1"/>
      <c r="B66" s="35" t="s">
        <v>74</v>
      </c>
      <c r="C66" s="20" t="s">
        <v>39</v>
      </c>
      <c r="D66" s="20" t="s">
        <v>39</v>
      </c>
      <c r="E66" s="20" t="s">
        <v>39</v>
      </c>
      <c r="F66" s="20" t="s">
        <v>39</v>
      </c>
      <c r="G66" s="20" t="s">
        <v>39</v>
      </c>
      <c r="H66" s="38" t="s">
        <v>39</v>
      </c>
      <c r="I66" s="1"/>
    </row>
    <row r="67" ht="15" customHeight="1">
      <c r="A67" s="1"/>
      <c r="B67" s="41" t="s">
        <v>149</v>
      </c>
      <c r="C67" s="18">
        <f>E67-D67-Inputs!$D$181</f>
        <v>319</v>
      </c>
      <c r="D67" s="42">
        <v>350</v>
      </c>
      <c r="E67" s="42">
        <v>1306</v>
      </c>
      <c r="F67" s="42">
        <v>335</v>
      </c>
      <c r="G67" s="42">
        <v>362</v>
      </c>
      <c r="H67" s="43">
        <f t="shared" si="34" ref="H67:H84">H61*G67/G61</f>
        <v>354.83629236662114</v>
      </c>
      <c r="I67" s="22" t="s">
        <v>146</v>
      </c>
    </row>
    <row r="68" ht="15" customHeight="1">
      <c r="A68" s="1"/>
      <c r="B68" s="62" t="s">
        <v>73</v>
      </c>
      <c r="C68" s="19" t="s">
        <v>39</v>
      </c>
      <c r="D68" s="42">
        <v>315</v>
      </c>
      <c r="E68" s="42">
        <v>1232</v>
      </c>
      <c r="F68" s="42">
        <v>296</v>
      </c>
      <c r="G68" s="42">
        <v>341</v>
      </c>
      <c r="H68" s="43">
        <f t="shared" si="10"/>
        <v>319</v>
      </c>
      <c r="I68" s="1"/>
    </row>
    <row r="69" ht="15" customHeight="1">
      <c r="A69" s="1"/>
      <c r="B69" s="46" t="s">
        <v>63</v>
      </c>
      <c r="C69" s="20" t="str">
        <f t="shared" si="3"/>
        <v>n.a.</v>
      </c>
      <c r="D69" s="20">
        <f t="shared" si="3"/>
        <v>0.11111111111111116</v>
      </c>
      <c r="E69" s="20">
        <f t="shared" si="3"/>
        <v>0.060064935064935154</v>
      </c>
      <c r="F69" s="20">
        <f t="shared" si="3"/>
        <v>0.1317567567567568</v>
      </c>
      <c r="G69" s="20">
        <f t="shared" si="3"/>
        <v>0.061583577712609916</v>
      </c>
      <c r="H69" s="38">
        <f t="shared" si="3"/>
        <v>0.11233947450351445</v>
      </c>
      <c r="I69" s="1"/>
    </row>
    <row r="70" ht="15" customHeight="1">
      <c r="A70" s="1"/>
      <c r="B70" s="62" t="s">
        <v>77</v>
      </c>
      <c r="C70" s="19">
        <f t="shared" si="27"/>
        <v>-22</v>
      </c>
      <c r="D70" s="19">
        <f t="shared" si="4"/>
        <v>31</v>
      </c>
      <c r="E70" s="19"/>
      <c r="F70" s="19">
        <f t="shared" si="11"/>
        <v>-15</v>
      </c>
      <c r="G70" s="19">
        <f t="shared" si="4"/>
        <v>27</v>
      </c>
      <c r="H70" s="43">
        <f t="shared" si="4"/>
        <v>-7.163707633378863</v>
      </c>
      <c r="I70" s="1"/>
    </row>
    <row r="71" ht="15" customHeight="1">
      <c r="A71" s="1"/>
      <c r="B71" s="46" t="s">
        <v>147</v>
      </c>
      <c r="C71" s="20">
        <f t="shared" si="30" ref="C71:H71">IF(AND(ISNUMBER(C67),ISNUMBER(C95)),IF(C95=0,"n.m.",C67/C95),"n.a.")</f>
        <v>0.15957978989494748</v>
      </c>
      <c r="D71" s="20">
        <f t="shared" si="30"/>
        <v>0.15737410071942445</v>
      </c>
      <c r="E71" s="20">
        <f t="shared" si="30"/>
        <v>0.16261984808865645</v>
      </c>
      <c r="F71" s="20">
        <f t="shared" si="30"/>
        <v>0.15690866510538642</v>
      </c>
      <c r="G71" s="20">
        <f t="shared" si="30"/>
        <v>0.1655992680695334</v>
      </c>
      <c r="H71" s="38">
        <f t="shared" si="30"/>
        <v>0.1655992680695334</v>
      </c>
      <c r="I71" s="1"/>
    </row>
    <row r="72" ht="15" customHeight="1">
      <c r="A72" s="1"/>
      <c r="B72" s="46" t="s">
        <v>74</v>
      </c>
      <c r="C72" s="20" t="s">
        <v>39</v>
      </c>
      <c r="D72" s="20" t="s">
        <v>39</v>
      </c>
      <c r="E72" s="20" t="s">
        <v>39</v>
      </c>
      <c r="F72" s="20" t="s">
        <v>39</v>
      </c>
      <c r="G72" s="20" t="s">
        <v>39</v>
      </c>
      <c r="H72" s="38" t="s">
        <v>39</v>
      </c>
      <c r="I72" s="1"/>
    </row>
    <row r="73" ht="15" customHeight="1">
      <c r="A73" s="1"/>
      <c r="B73" s="41" t="s">
        <v>150</v>
      </c>
      <c r="C73" s="19">
        <f t="shared" si="31" ref="C73:H90">C61-C67</f>
        <v>174</v>
      </c>
      <c r="D73" s="19">
        <f t="shared" si="31"/>
        <v>197</v>
      </c>
      <c r="E73" s="19">
        <f t="shared" si="31"/>
        <v>718</v>
      </c>
      <c r="F73" s="19">
        <f t="shared" si="31"/>
        <v>179</v>
      </c>
      <c r="G73" s="19">
        <f t="shared" si="31"/>
        <v>179</v>
      </c>
      <c r="H73" s="43">
        <f t="shared" si="31"/>
        <v>175.4577246785226</v>
      </c>
      <c r="I73" s="1"/>
    </row>
    <row r="74" ht="15" customHeight="1">
      <c r="A74" s="1"/>
      <c r="B74" s="62" t="s">
        <v>151</v>
      </c>
      <c r="C74" s="19" t="str">
        <f t="shared" si="32" ref="C74:H91">IF(COUNT(C62,C68)=2,C62-C68,"n.a.")</f>
        <v>n.a.</v>
      </c>
      <c r="D74" s="19">
        <f t="shared" si="32"/>
        <v>190</v>
      </c>
      <c r="E74" s="19">
        <f t="shared" si="32"/>
        <v>738</v>
      </c>
      <c r="F74" s="19">
        <f t="shared" si="32"/>
        <v>157</v>
      </c>
      <c r="G74" s="19">
        <f t="shared" si="32"/>
        <v>190</v>
      </c>
      <c r="H74" s="43">
        <f t="shared" si="32"/>
        <v>174</v>
      </c>
      <c r="I74" s="1"/>
    </row>
    <row r="75" ht="15" customHeight="1">
      <c r="A75" s="1"/>
      <c r="B75" s="46" t="s">
        <v>63</v>
      </c>
      <c r="C75" s="20" t="str">
        <f t="shared" si="3"/>
        <v>n.a.</v>
      </c>
      <c r="D75" s="20">
        <f t="shared" si="3"/>
        <v>0.03684210526315779</v>
      </c>
      <c r="E75" s="20">
        <f t="shared" si="3"/>
        <v>-0.027100271002710064</v>
      </c>
      <c r="F75" s="20">
        <f t="shared" si="3"/>
        <v>0.14012738853503182</v>
      </c>
      <c r="G75" s="20">
        <f t="shared" si="3"/>
        <v>-0.05789473684210522</v>
      </c>
      <c r="H75" s="38">
        <f t="shared" si="3"/>
        <v>0.008377728037486154</v>
      </c>
      <c r="I75" s="1"/>
    </row>
    <row r="76" ht="15" customHeight="1">
      <c r="A76" s="1"/>
      <c r="B76" s="62" t="s">
        <v>77</v>
      </c>
      <c r="C76" s="19">
        <f t="shared" si="27"/>
        <v>-16</v>
      </c>
      <c r="D76" s="19">
        <f t="shared" si="4"/>
        <v>23</v>
      </c>
      <c r="E76" s="19"/>
      <c r="F76" s="19">
        <f t="shared" si="11"/>
        <v>-18</v>
      </c>
      <c r="G76" s="19">
        <f t="shared" si="4"/>
        <v>0</v>
      </c>
      <c r="H76" s="43">
        <f t="shared" si="4"/>
        <v>-3.5422753214774048</v>
      </c>
      <c r="I76" s="1"/>
    </row>
    <row r="77" ht="15" customHeight="1">
      <c r="A77" s="1"/>
      <c r="B77" s="46" t="s">
        <v>74</v>
      </c>
      <c r="C77" s="20" t="s">
        <v>39</v>
      </c>
      <c r="D77" s="20" t="s">
        <v>39</v>
      </c>
      <c r="E77" s="20" t="s">
        <v>39</v>
      </c>
      <c r="F77" s="20" t="s">
        <v>39</v>
      </c>
      <c r="G77" s="20" t="s">
        <v>39</v>
      </c>
      <c r="H77" s="38" t="s">
        <v>39</v>
      </c>
      <c r="I77" s="1"/>
    </row>
    <row r="78" ht="15" customHeight="1">
      <c r="A78" s="1"/>
      <c r="B78" s="1" t="s">
        <v>152</v>
      </c>
      <c r="C78" s="18">
        <f>E78-D78-Inputs!$D$182</f>
        <v>653</v>
      </c>
      <c r="D78" s="42">
        <v>740</v>
      </c>
      <c r="E78" s="42">
        <v>2569</v>
      </c>
      <c r="F78" s="42">
        <v>654</v>
      </c>
      <c r="G78" s="42">
        <v>727</v>
      </c>
      <c r="H78" s="43">
        <f>H95-H55-H61</f>
        <v>712.6132169904243</v>
      </c>
      <c r="I78" s="22" t="s">
        <v>153</v>
      </c>
    </row>
    <row r="79" ht="15" customHeight="1">
      <c r="A79" s="1"/>
      <c r="B79" s="41" t="s">
        <v>73</v>
      </c>
      <c r="C79" s="19" t="s">
        <v>39</v>
      </c>
      <c r="D79" s="42">
        <v>681</v>
      </c>
      <c r="E79" s="42">
        <v>2577</v>
      </c>
      <c r="F79" s="42">
        <v>541</v>
      </c>
      <c r="G79" s="42">
        <v>635</v>
      </c>
      <c r="H79" s="43">
        <f t="shared" si="10"/>
        <v>653</v>
      </c>
      <c r="I79" s="1"/>
    </row>
    <row r="80" ht="15" customHeight="1">
      <c r="A80" s="1"/>
      <c r="B80" s="35" t="s">
        <v>63</v>
      </c>
      <c r="C80" s="20" t="str">
        <f t="shared" si="3"/>
        <v>n.a.</v>
      </c>
      <c r="D80" s="20">
        <f t="shared" si="3"/>
        <v>0.08663729809104259</v>
      </c>
      <c r="E80" s="20">
        <f t="shared" si="3"/>
        <v>-0.0031043849437329962</v>
      </c>
      <c r="F80" s="20">
        <f t="shared" si="3"/>
        <v>0.20887245841035118</v>
      </c>
      <c r="G80" s="20">
        <f t="shared" si="3"/>
        <v>0.14488188976377958</v>
      </c>
      <c r="H80" s="38">
        <f t="shared" si="3"/>
        <v>0.09129129707568806</v>
      </c>
      <c r="I80" s="1"/>
    </row>
    <row r="81" ht="15" customHeight="1">
      <c r="A81" s="1"/>
      <c r="B81" s="41" t="s">
        <v>77</v>
      </c>
      <c r="C81" s="19">
        <f t="shared" si="27"/>
        <v>18</v>
      </c>
      <c r="D81" s="19">
        <f t="shared" si="4"/>
        <v>87</v>
      </c>
      <c r="E81" s="19"/>
      <c r="F81" s="19">
        <f t="shared" si="11"/>
        <v>-86</v>
      </c>
      <c r="G81" s="19">
        <f t="shared" si="4"/>
        <v>73</v>
      </c>
      <c r="H81" s="43">
        <f t="shared" si="4"/>
        <v>-14.386783009575652</v>
      </c>
      <c r="I81" s="1"/>
    </row>
    <row r="82" ht="15" customHeight="1">
      <c r="A82" s="1"/>
      <c r="B82" s="35" t="s">
        <v>147</v>
      </c>
      <c r="C82" s="20">
        <f t="shared" si="33" ref="C82:H82">IF(AND(ISNUMBER(C78),ISNUMBER(C95)),IF(C95=0,"n.m.",C78/C95),"n.a.")</f>
        <v>0.3266633316658329</v>
      </c>
      <c r="D82" s="20">
        <f t="shared" si="33"/>
        <v>0.3327338129496403</v>
      </c>
      <c r="E82" s="20">
        <f t="shared" si="33"/>
        <v>0.3198854439048686</v>
      </c>
      <c r="F82" s="20">
        <f t="shared" si="33"/>
        <v>0.3063231850117096</v>
      </c>
      <c r="G82" s="20">
        <f t="shared" si="33"/>
        <v>0.33257090576395243</v>
      </c>
      <c r="H82" s="38">
        <f t="shared" si="33"/>
        <v>0.3325709057639525</v>
      </c>
      <c r="I82" s="1"/>
    </row>
    <row r="83" ht="15" customHeight="1">
      <c r="A83" s="1"/>
      <c r="B83" s="35" t="s">
        <v>74</v>
      </c>
      <c r="C83" s="20" t="s">
        <v>39</v>
      </c>
      <c r="D83" s="20" t="s">
        <v>39</v>
      </c>
      <c r="E83" s="20" t="s">
        <v>39</v>
      </c>
      <c r="F83" s="20" t="s">
        <v>39</v>
      </c>
      <c r="G83" s="20" t="s">
        <v>39</v>
      </c>
      <c r="H83" s="38" t="s">
        <v>39</v>
      </c>
      <c r="I83" s="1"/>
    </row>
    <row r="84" ht="15" customHeight="1">
      <c r="A84" s="1"/>
      <c r="B84" s="41" t="s">
        <v>154</v>
      </c>
      <c r="C84" s="18">
        <f>E84-D84-Inputs!$D$183</f>
        <v>190</v>
      </c>
      <c r="D84" s="42">
        <v>213</v>
      </c>
      <c r="E84" s="42">
        <v>742</v>
      </c>
      <c r="F84" s="42">
        <v>195</v>
      </c>
      <c r="G84" s="42">
        <v>219</v>
      </c>
      <c r="H84" s="43">
        <f t="shared" si="34"/>
        <v>214.6661547742819</v>
      </c>
      <c r="I84" s="22" t="s">
        <v>146</v>
      </c>
    </row>
    <row r="85" ht="15" customHeight="1">
      <c r="A85" s="1"/>
      <c r="B85" s="62" t="s">
        <v>73</v>
      </c>
      <c r="C85" s="19" t="s">
        <v>39</v>
      </c>
      <c r="D85" s="42">
        <v>202</v>
      </c>
      <c r="E85" s="42">
        <v>808</v>
      </c>
      <c r="F85" s="42">
        <v>154</v>
      </c>
      <c r="G85" s="42">
        <v>185</v>
      </c>
      <c r="H85" s="43">
        <f t="shared" si="10"/>
        <v>190</v>
      </c>
      <c r="I85" s="1"/>
    </row>
    <row r="86" ht="15" customHeight="1">
      <c r="A86" s="1"/>
      <c r="B86" s="46" t="s">
        <v>63</v>
      </c>
      <c r="C86" s="20" t="str">
        <f t="shared" si="3"/>
        <v>n.a.</v>
      </c>
      <c r="D86" s="20">
        <f t="shared" si="3"/>
        <v>0.054455445544554504</v>
      </c>
      <c r="E86" s="20">
        <f t="shared" si="3"/>
        <v>-0.08168316831683164</v>
      </c>
      <c r="F86" s="20">
        <f t="shared" si="3"/>
        <v>0.26623376623376616</v>
      </c>
      <c r="G86" s="20">
        <f t="shared" si="3"/>
        <v>0.18378378378378368</v>
      </c>
      <c r="H86" s="38">
        <f t="shared" si="3"/>
        <v>0.12982186723306266</v>
      </c>
      <c r="I86" s="1"/>
    </row>
    <row r="87" ht="15" customHeight="1">
      <c r="A87" s="1"/>
      <c r="B87" s="62" t="s">
        <v>77</v>
      </c>
      <c r="C87" s="19">
        <f t="shared" si="27"/>
        <v>5</v>
      </c>
      <c r="D87" s="19">
        <f t="shared" si="4"/>
        <v>23</v>
      </c>
      <c r="E87" s="19"/>
      <c r="F87" s="19">
        <f t="shared" si="11"/>
        <v>-18</v>
      </c>
      <c r="G87" s="19">
        <f t="shared" si="4"/>
        <v>24</v>
      </c>
      <c r="H87" s="43">
        <f t="shared" si="4"/>
        <v>-4.3338452257181075</v>
      </c>
      <c r="I87" s="1"/>
    </row>
    <row r="88" ht="15" customHeight="1">
      <c r="A88" s="1"/>
      <c r="B88" s="46" t="s">
        <v>147</v>
      </c>
      <c r="C88" s="20">
        <f t="shared" si="35" ref="C88:H88">IF(AND(ISNUMBER(C84),ISNUMBER(C95)),IF(C95=0,"n.m.",C84/C95),"n.a.")</f>
        <v>0.09504752376188094</v>
      </c>
      <c r="D88" s="20">
        <f t="shared" si="35"/>
        <v>0.09577338129496403</v>
      </c>
      <c r="E88" s="20">
        <f t="shared" si="35"/>
        <v>0.0923919810733408</v>
      </c>
      <c r="F88" s="20">
        <f t="shared" si="35"/>
        <v>0.09133489461358314</v>
      </c>
      <c r="G88" s="20">
        <f t="shared" si="35"/>
        <v>0.10018298261665141</v>
      </c>
      <c r="H88" s="38">
        <f t="shared" si="35"/>
        <v>0.10018298261665144</v>
      </c>
      <c r="I88" s="1"/>
    </row>
    <row r="89" ht="15" customHeight="1">
      <c r="A89" s="1"/>
      <c r="B89" s="46" t="s">
        <v>74</v>
      </c>
      <c r="C89" s="20" t="s">
        <v>39</v>
      </c>
      <c r="D89" s="20" t="s">
        <v>39</v>
      </c>
      <c r="E89" s="20" t="s">
        <v>39</v>
      </c>
      <c r="F89" s="20" t="s">
        <v>39</v>
      </c>
      <c r="G89" s="20" t="s">
        <v>39</v>
      </c>
      <c r="H89" s="38" t="s">
        <v>39</v>
      </c>
      <c r="I89" s="1"/>
    </row>
    <row r="90" ht="15" customHeight="1">
      <c r="A90" s="1"/>
      <c r="B90" s="41" t="s">
        <v>155</v>
      </c>
      <c r="C90" s="19">
        <f t="shared" si="31"/>
        <v>463</v>
      </c>
      <c r="D90" s="19">
        <f t="shared" si="31"/>
        <v>527</v>
      </c>
      <c r="E90" s="19">
        <f t="shared" si="31"/>
        <v>1827</v>
      </c>
      <c r="F90" s="19">
        <f t="shared" si="31"/>
        <v>459</v>
      </c>
      <c r="G90" s="19">
        <f t="shared" si="31"/>
        <v>508</v>
      </c>
      <c r="H90" s="43">
        <f t="shared" si="31"/>
        <v>497.94706221614246</v>
      </c>
      <c r="I90" s="1"/>
    </row>
    <row r="91" ht="15" customHeight="1">
      <c r="A91" s="1"/>
      <c r="B91" s="62" t="s">
        <v>151</v>
      </c>
      <c r="C91" s="19" t="str">
        <f t="shared" si="32"/>
        <v>n.a.</v>
      </c>
      <c r="D91" s="19">
        <f t="shared" si="32"/>
        <v>479</v>
      </c>
      <c r="E91" s="19">
        <f t="shared" si="32"/>
        <v>1769</v>
      </c>
      <c r="F91" s="19">
        <f t="shared" si="32"/>
        <v>387</v>
      </c>
      <c r="G91" s="19">
        <f t="shared" si="32"/>
        <v>450</v>
      </c>
      <c r="H91" s="43">
        <f t="shared" si="32"/>
        <v>463</v>
      </c>
      <c r="I91" s="1"/>
    </row>
    <row r="92" ht="15" customHeight="1">
      <c r="A92" s="1"/>
      <c r="B92" s="46" t="s">
        <v>63</v>
      </c>
      <c r="C92" s="20" t="str">
        <f t="shared" si="3"/>
        <v>n.a.</v>
      </c>
      <c r="D92" s="20">
        <f t="shared" si="3"/>
        <v>0.10020876826722347</v>
      </c>
      <c r="E92" s="20">
        <f t="shared" si="3"/>
        <v>0.032786885245901676</v>
      </c>
      <c r="F92" s="20">
        <f t="shared" si="3"/>
        <v>0.18604651162790709</v>
      </c>
      <c r="G92" s="20">
        <f t="shared" si="3"/>
        <v>0.12888888888888883</v>
      </c>
      <c r="H92" s="38">
        <f t="shared" si="3"/>
        <v>0.07547961601758635</v>
      </c>
      <c r="I92" s="1"/>
    </row>
    <row r="93" ht="15" customHeight="1">
      <c r="A93" s="1"/>
      <c r="B93" s="62" t="s">
        <v>77</v>
      </c>
      <c r="C93" s="19">
        <f t="shared" si="27"/>
        <v>13</v>
      </c>
      <c r="D93" s="19">
        <f t="shared" si="4"/>
        <v>64</v>
      </c>
      <c r="E93" s="19"/>
      <c r="F93" s="19">
        <f t="shared" si="11"/>
        <v>-68</v>
      </c>
      <c r="G93" s="19">
        <f t="shared" si="4"/>
        <v>49</v>
      </c>
      <c r="H93" s="43">
        <f t="shared" si="4"/>
        <v>-10.052937783857544</v>
      </c>
      <c r="I93" s="1"/>
    </row>
    <row r="94" ht="15" customHeight="1">
      <c r="A94" s="1"/>
      <c r="B94" s="46" t="s">
        <v>74</v>
      </c>
      <c r="C94" s="20" t="s">
        <v>39</v>
      </c>
      <c r="D94" s="20" t="s">
        <v>39</v>
      </c>
      <c r="E94" s="20" t="s">
        <v>39</v>
      </c>
      <c r="F94" s="20" t="s">
        <v>39</v>
      </c>
      <c r="G94" s="20" t="s">
        <v>39</v>
      </c>
      <c r="H94" s="38" t="s">
        <v>39</v>
      </c>
      <c r="I94" s="1"/>
    </row>
    <row r="95" ht="15" customHeight="1">
      <c r="A95" s="1"/>
      <c r="B95" s="4" t="s">
        <v>156</v>
      </c>
      <c r="C95" s="49">
        <f t="shared" si="36" ref="C95:G95">C55+C61+C78</f>
        <v>1999</v>
      </c>
      <c r="D95" s="49">
        <f t="shared" si="36"/>
        <v>2224</v>
      </c>
      <c r="E95" s="49">
        <f t="shared" si="36"/>
        <v>8031</v>
      </c>
      <c r="F95" s="49">
        <f t="shared" si="36"/>
        <v>2135</v>
      </c>
      <c r="G95" s="49">
        <f t="shared" si="36"/>
        <v>2186</v>
      </c>
      <c r="H95" s="50">
        <f>H36-H115</f>
        <v>2142.7407047332426</v>
      </c>
      <c r="I95" s="22" t="s">
        <v>157</v>
      </c>
    </row>
    <row r="96" ht="15" customHeight="1">
      <c r="A96" s="1"/>
      <c r="B96" s="41" t="s">
        <v>158</v>
      </c>
      <c r="C96" s="19" t="str">
        <f t="shared" si="37" ref="C96:H96">IF(COUNT(C56,C62,C79)=3,C56+C62+C79,"n.a.")</f>
        <v>n.a.</v>
      </c>
      <c r="D96" s="19">
        <f t="shared" si="37"/>
        <v>1953</v>
      </c>
      <c r="E96" s="19">
        <f t="shared" si="37"/>
        <v>7657</v>
      </c>
      <c r="F96" s="19">
        <f t="shared" si="37"/>
        <v>1809</v>
      </c>
      <c r="G96" s="19">
        <f t="shared" si="37"/>
        <v>1999</v>
      </c>
      <c r="H96" s="43">
        <f t="shared" si="37"/>
        <v>1999</v>
      </c>
      <c r="I96" s="1"/>
    </row>
    <row r="97" ht="15" customHeight="1">
      <c r="A97" s="1"/>
      <c r="B97" s="35" t="s">
        <v>63</v>
      </c>
      <c r="C97" s="20" t="str">
        <f t="shared" si="3"/>
        <v>n.a.</v>
      </c>
      <c r="D97" s="20">
        <f t="shared" si="3"/>
        <v>0.1387608806963645</v>
      </c>
      <c r="E97" s="20">
        <f t="shared" si="3"/>
        <v>0.04884419485438163</v>
      </c>
      <c r="F97" s="20">
        <f t="shared" si="3"/>
        <v>0.1802100608070758</v>
      </c>
      <c r="G97" s="20">
        <f t="shared" si="3"/>
        <v>0.09354677338669326</v>
      </c>
      <c r="H97" s="38">
        <f t="shared" si="3"/>
        <v>0.07190630551938093</v>
      </c>
      <c r="I97" s="1"/>
    </row>
    <row r="98" ht="15" customHeight="1">
      <c r="A98" s="1"/>
      <c r="B98" s="41" t="s">
        <v>77</v>
      </c>
      <c r="C98" s="19">
        <f t="shared" si="27"/>
        <v>0</v>
      </c>
      <c r="D98" s="19">
        <f t="shared" si="4"/>
        <v>225</v>
      </c>
      <c r="E98" s="19"/>
      <c r="F98" s="19">
        <f t="shared" si="11"/>
        <v>-89</v>
      </c>
      <c r="G98" s="19">
        <f t="shared" si="4"/>
        <v>51</v>
      </c>
      <c r="H98" s="43">
        <f t="shared" si="4"/>
        <v>-43.25929526675736</v>
      </c>
      <c r="I98" s="1"/>
    </row>
    <row r="99" ht="15" customHeight="1">
      <c r="A99" s="1"/>
      <c r="B99" s="35" t="s">
        <v>74</v>
      </c>
      <c r="C99" s="20" t="s">
        <v>39</v>
      </c>
      <c r="D99" s="20" t="s">
        <v>39</v>
      </c>
      <c r="E99" s="20" t="s">
        <v>39</v>
      </c>
      <c r="F99" s="20" t="s">
        <v>39</v>
      </c>
      <c r="G99" s="20" t="s">
        <v>39</v>
      </c>
      <c r="H99" s="38" t="s">
        <v>39</v>
      </c>
      <c r="I99" s="1"/>
    </row>
    <row r="100" ht="15" customHeight="1">
      <c r="A100" s="1"/>
      <c r="B100" s="1"/>
      <c r="C100" s="1"/>
      <c r="D100" s="1"/>
      <c r="E100" s="1"/>
      <c r="F100" s="1"/>
      <c r="G100" s="1"/>
      <c r="H100" s="32"/>
      <c r="I100" s="1"/>
    </row>
    <row r="101" ht="15" customHeight="1">
      <c r="A101" s="1"/>
      <c r="B101" s="4" t="s">
        <v>159</v>
      </c>
      <c r="C101" s="1"/>
      <c r="D101" s="1"/>
      <c r="E101" s="1"/>
      <c r="F101" s="1"/>
      <c r="G101" s="1"/>
      <c r="H101" s="32"/>
      <c r="I101" s="1"/>
    </row>
    <row r="102" ht="15" customHeight="1">
      <c r="A102" s="1"/>
      <c r="B102" s="1" t="s">
        <v>160</v>
      </c>
      <c r="C102" s="18">
        <f>E102-D102-Inputs!$D$184</f>
        <v>1274</v>
      </c>
      <c r="D102" s="42">
        <v>1391</v>
      </c>
      <c r="E102" s="42">
        <v>5013</v>
      </c>
      <c r="F102" s="42">
        <v>1339</v>
      </c>
      <c r="G102" s="42">
        <v>1368</v>
      </c>
      <c r="H102" s="43">
        <f>H95*G102/G95</f>
        <v>1340.928309274966</v>
      </c>
      <c r="I102" s="1"/>
    </row>
    <row r="103" ht="15" customHeight="1">
      <c r="A103" s="1"/>
      <c r="B103" s="41" t="s">
        <v>73</v>
      </c>
      <c r="C103" s="19" t="s">
        <v>39</v>
      </c>
      <c r="D103" s="42">
        <v>1188</v>
      </c>
      <c r="E103" s="42">
        <v>4865</v>
      </c>
      <c r="F103" s="42">
        <v>1108</v>
      </c>
      <c r="G103" s="42">
        <v>1240</v>
      </c>
      <c r="H103" s="43">
        <f t="shared" si="10"/>
        <v>1274</v>
      </c>
      <c r="I103" s="1"/>
    </row>
    <row r="104" ht="15" customHeight="1">
      <c r="A104" s="1"/>
      <c r="B104" s="35" t="s">
        <v>63</v>
      </c>
      <c r="C104" s="20" t="str">
        <f t="shared" si="3"/>
        <v>n.a.</v>
      </c>
      <c r="D104" s="20">
        <f t="shared" si="3"/>
        <v>0.17087542087542085</v>
      </c>
      <c r="E104" s="20">
        <f t="shared" si="3"/>
        <v>0.030421377183967202</v>
      </c>
      <c r="F104" s="20">
        <f t="shared" si="3"/>
        <v>0.20848375451263546</v>
      </c>
      <c r="G104" s="20">
        <f t="shared" si="3"/>
        <v>0.10322580645161294</v>
      </c>
      <c r="H104" s="38">
        <f t="shared" si="3"/>
        <v>0.052533994721323474</v>
      </c>
      <c r="I104" s="1"/>
    </row>
    <row r="105" ht="15" customHeight="1">
      <c r="A105" s="1"/>
      <c r="B105" s="41" t="s">
        <v>77</v>
      </c>
      <c r="C105" s="19">
        <f t="shared" si="27"/>
        <v>34</v>
      </c>
      <c r="D105" s="19">
        <f t="shared" si="4"/>
        <v>117</v>
      </c>
      <c r="E105" s="19"/>
      <c r="F105" s="19">
        <f t="shared" si="11"/>
        <v>-52</v>
      </c>
      <c r="G105" s="19">
        <f t="shared" si="4"/>
        <v>29</v>
      </c>
      <c r="H105" s="43">
        <f t="shared" si="4"/>
        <v>-27.071690725033932</v>
      </c>
      <c r="I105" s="1"/>
    </row>
    <row r="106" ht="15" customHeight="1">
      <c r="A106" s="1"/>
      <c r="B106" s="35" t="s">
        <v>147</v>
      </c>
      <c r="C106" s="20">
        <f t="shared" si="38" ref="C106:H106">IF(AND(ISNUMBER(C102),ISNUMBER(C95)),IF(C95=0,"n.m.",C102/C95),"n.a.")</f>
        <v>0.6373186593296648</v>
      </c>
      <c r="D106" s="20">
        <f t="shared" si="38"/>
        <v>0.6254496402877698</v>
      </c>
      <c r="E106" s="20">
        <f t="shared" si="38"/>
        <v>0.6242062009712365</v>
      </c>
      <c r="F106" s="20">
        <f t="shared" si="38"/>
        <v>0.6271662763466043</v>
      </c>
      <c r="G106" s="20">
        <f t="shared" si="38"/>
        <v>0.62580054894785</v>
      </c>
      <c r="H106" s="38">
        <f t="shared" si="38"/>
        <v>0.62580054894785</v>
      </c>
      <c r="I106" s="1"/>
    </row>
    <row r="107" ht="15" customHeight="1">
      <c r="A107" s="1"/>
      <c r="B107" s="35" t="s">
        <v>74</v>
      </c>
      <c r="C107" s="20" t="s">
        <v>39</v>
      </c>
      <c r="D107" s="20" t="s">
        <v>39</v>
      </c>
      <c r="E107" s="20" t="s">
        <v>39</v>
      </c>
      <c r="F107" s="20" t="s">
        <v>39</v>
      </c>
      <c r="G107" s="20" t="s">
        <v>39</v>
      </c>
      <c r="H107" s="38" t="s">
        <v>39</v>
      </c>
      <c r="I107" s="1"/>
    </row>
    <row r="108" ht="15" customHeight="1">
      <c r="A108" s="1"/>
      <c r="B108" s="1" t="s">
        <v>161</v>
      </c>
      <c r="C108" s="18">
        <f>E108-D108-Inputs!$D$185</f>
        <v>725</v>
      </c>
      <c r="D108" s="42">
        <v>833</v>
      </c>
      <c r="E108" s="42">
        <v>3018</v>
      </c>
      <c r="F108" s="42">
        <v>796</v>
      </c>
      <c r="G108" s="42">
        <v>818</v>
      </c>
      <c r="H108" s="43">
        <f>H95-H102</f>
        <v>801.8123954582766</v>
      </c>
      <c r="I108" s="1"/>
    </row>
    <row r="109" ht="15" customHeight="1">
      <c r="A109" s="1"/>
      <c r="B109" s="41" t="s">
        <v>73</v>
      </c>
      <c r="C109" s="19" t="s">
        <v>39</v>
      </c>
      <c r="D109" s="42">
        <v>765</v>
      </c>
      <c r="E109" s="42">
        <v>2792</v>
      </c>
      <c r="F109" s="42">
        <v>701</v>
      </c>
      <c r="G109" s="42">
        <v>759</v>
      </c>
      <c r="H109" s="43">
        <f t="shared" si="10"/>
        <v>725</v>
      </c>
      <c r="I109" s="1"/>
    </row>
    <row r="110" ht="15" customHeight="1">
      <c r="A110" s="1"/>
      <c r="B110" s="35" t="s">
        <v>63</v>
      </c>
      <c r="C110" s="20" t="str">
        <f t="shared" si="3"/>
        <v>n.a.</v>
      </c>
      <c r="D110" s="20">
        <f t="shared" si="3"/>
        <v>0.0888888888888888</v>
      </c>
      <c r="E110" s="20">
        <f t="shared" si="3"/>
        <v>0.08094555873925491</v>
      </c>
      <c r="F110" s="20">
        <f t="shared" si="3"/>
        <v>0.13552068473609125</v>
      </c>
      <c r="G110" s="20">
        <f t="shared" si="3"/>
        <v>0.07773386034255592</v>
      </c>
      <c r="H110" s="38">
        <f t="shared" si="3"/>
        <v>0.10594813166658845</v>
      </c>
      <c r="I110" s="1"/>
    </row>
    <row r="111" ht="15" customHeight="1">
      <c r="A111" s="1"/>
      <c r="B111" s="41" t="s">
        <v>77</v>
      </c>
      <c r="C111" s="19">
        <f t="shared" si="27"/>
        <v>-34</v>
      </c>
      <c r="D111" s="19">
        <f t="shared" si="4"/>
        <v>108</v>
      </c>
      <c r="E111" s="19"/>
      <c r="F111" s="19">
        <f t="shared" si="11"/>
        <v>-37</v>
      </c>
      <c r="G111" s="19">
        <f t="shared" si="4"/>
        <v>22</v>
      </c>
      <c r="H111" s="43">
        <f t="shared" si="4"/>
        <v>-16.18760454172343</v>
      </c>
      <c r="I111" s="1"/>
    </row>
    <row r="112" ht="15" customHeight="1">
      <c r="A112" s="1"/>
      <c r="B112" s="35" t="s">
        <v>147</v>
      </c>
      <c r="C112" s="20">
        <f t="shared" si="39" ref="C112:H112">IF(AND(ISNUMBER(C108),ISNUMBER(C95)),IF(C95=0,"n.m.",C108/C95),"n.a.")</f>
        <v>0.3626813406703352</v>
      </c>
      <c r="D112" s="20">
        <f t="shared" si="39"/>
        <v>0.3745503597122302</v>
      </c>
      <c r="E112" s="20">
        <f t="shared" si="39"/>
        <v>0.37579379902876353</v>
      </c>
      <c r="F112" s="20">
        <f t="shared" si="39"/>
        <v>0.3728337236533958</v>
      </c>
      <c r="G112" s="20">
        <f t="shared" si="39"/>
        <v>0.37419945105215</v>
      </c>
      <c r="H112" s="38">
        <f t="shared" si="39"/>
        <v>0.3741994510521501</v>
      </c>
      <c r="I112" s="1"/>
    </row>
    <row r="113" ht="15" customHeight="1">
      <c r="A113" s="1"/>
      <c r="B113" s="35" t="s">
        <v>74</v>
      </c>
      <c r="C113" s="20" t="s">
        <v>39</v>
      </c>
      <c r="D113" s="20" t="s">
        <v>39</v>
      </c>
      <c r="E113" s="20" t="s">
        <v>39</v>
      </c>
      <c r="F113" s="20" t="s">
        <v>39</v>
      </c>
      <c r="G113" s="20" t="s">
        <v>39</v>
      </c>
      <c r="H113" s="38" t="s">
        <v>39</v>
      </c>
      <c r="I113" s="1"/>
    </row>
    <row r="114" ht="15" customHeight="1">
      <c r="A114" s="1"/>
      <c r="B114" s="4" t="s">
        <v>162</v>
      </c>
      <c r="C114" s="49">
        <f t="shared" si="40" ref="C114:H114">C102+C108</f>
        <v>1999</v>
      </c>
      <c r="D114" s="49">
        <f t="shared" si="40"/>
        <v>2224</v>
      </c>
      <c r="E114" s="49">
        <f t="shared" si="40"/>
        <v>8031</v>
      </c>
      <c r="F114" s="49">
        <f t="shared" si="40"/>
        <v>2135</v>
      </c>
      <c r="G114" s="49">
        <f t="shared" si="40"/>
        <v>2186</v>
      </c>
      <c r="H114" s="50">
        <f t="shared" si="40"/>
        <v>2142.7407047332426</v>
      </c>
      <c r="I114" s="1"/>
    </row>
    <row r="115" ht="15" customHeight="1">
      <c r="A115" s="1"/>
      <c r="B115" s="1" t="s">
        <v>163</v>
      </c>
      <c r="C115" s="18">
        <f>E115-D115-Inputs!$D$186</f>
        <v>14</v>
      </c>
      <c r="D115" s="42">
        <v>19</v>
      </c>
      <c r="E115" s="42">
        <v>53</v>
      </c>
      <c r="F115" s="42">
        <v>12</v>
      </c>
      <c r="G115" s="42">
        <v>7</v>
      </c>
      <c r="H115" s="43">
        <f>H36*G115/G36</f>
        <v>6.861475266757867</v>
      </c>
      <c r="I115" s="22" t="s">
        <v>164</v>
      </c>
    </row>
    <row r="116" ht="15" customHeight="1">
      <c r="A116" s="1"/>
      <c r="B116" s="35" t="s">
        <v>65</v>
      </c>
      <c r="C116" s="20">
        <f t="shared" si="41" ref="C116:H116">IF(AND(ISNUMBER(C115),ISNUMBER(C36)),IF(C36=0,"n.m.",C115/C36),"n.a.")</f>
        <v>0.006954793840039742</v>
      </c>
      <c r="D116" s="20">
        <f t="shared" si="41"/>
        <v>0.008470798038341507</v>
      </c>
      <c r="E116" s="20">
        <f t="shared" si="41"/>
        <v>0.006556160316674914</v>
      </c>
      <c r="F116" s="20">
        <f t="shared" si="41"/>
        <v>0.0055891942244993015</v>
      </c>
      <c r="G116" s="20">
        <f t="shared" si="41"/>
        <v>0.0031919744642042863</v>
      </c>
      <c r="H116" s="38">
        <f t="shared" si="41"/>
        <v>0.0031919744642042863</v>
      </c>
      <c r="I116" s="1"/>
    </row>
    <row r="117" ht="15" customHeight="1">
      <c r="A117" s="1"/>
      <c r="B117" s="41" t="s">
        <v>73</v>
      </c>
      <c r="C117" s="19" t="s">
        <v>39</v>
      </c>
      <c r="D117" s="42">
        <v>14</v>
      </c>
      <c r="E117" s="42">
        <v>35</v>
      </c>
      <c r="F117" s="42">
        <v>9</v>
      </c>
      <c r="G117" s="42">
        <v>11</v>
      </c>
      <c r="H117" s="43">
        <f t="shared" si="52" ref="H117:H139">C115</f>
        <v>14</v>
      </c>
      <c r="I117" s="1"/>
    </row>
    <row r="118" ht="15" customHeight="1">
      <c r="A118" s="1"/>
      <c r="B118" s="35" t="s">
        <v>63</v>
      </c>
      <c r="C118" s="20" t="str">
        <f t="shared" si="42" ref="C118:H118">IF(AND(ISNUMBER(C115),ISNUMBER(C117)),IF(C117=0,"n.m.",C115/C117-1),"n.a.")</f>
        <v>n.a.</v>
      </c>
      <c r="D118" s="20">
        <f t="shared" si="42"/>
        <v>0.3571428571428572</v>
      </c>
      <c r="E118" s="20">
        <f t="shared" si="42"/>
        <v>0.5142857142857142</v>
      </c>
      <c r="F118" s="20">
        <f t="shared" si="42"/>
        <v>0.33333333333333326</v>
      </c>
      <c r="G118" s="20">
        <f t="shared" si="42"/>
        <v>-0.36363636363636365</v>
      </c>
      <c r="H118" s="38">
        <f t="shared" si="42"/>
        <v>-0.5098946238030095</v>
      </c>
      <c r="I118" s="1"/>
    </row>
    <row r="119" ht="15" customHeight="1">
      <c r="A119" s="1"/>
      <c r="B119" s="41" t="s">
        <v>77</v>
      </c>
      <c r="C119" s="19">
        <f>IF(AND(ISNUMBER(C115),ISNUMBER(G117)),(C115-G117),"n.a.")</f>
        <v>3</v>
      </c>
      <c r="D119" s="19">
        <f t="shared" si="43" ref="D119:H119">IF(AND(ISNUMBER(D115),ISNUMBER(C115)),(D115-C115),"n.a.")</f>
        <v>5</v>
      </c>
      <c r="E119" s="19"/>
      <c r="F119" s="19">
        <f>IF(AND(ISNUMBER(F115),ISNUMBER(D115)),(F115-D115),"n.a.")</f>
        <v>-7</v>
      </c>
      <c r="G119" s="19">
        <f t="shared" si="43"/>
        <v>-5</v>
      </c>
      <c r="H119" s="43">
        <f t="shared" si="43"/>
        <v>-0.1385247332421331</v>
      </c>
      <c r="I119" s="1"/>
    </row>
    <row r="120" ht="15" customHeight="1">
      <c r="A120" s="1"/>
      <c r="B120" s="35" t="s">
        <v>74</v>
      </c>
      <c r="C120" s="20" t="s">
        <v>39</v>
      </c>
      <c r="D120" s="20" t="s">
        <v>39</v>
      </c>
      <c r="E120" s="20" t="s">
        <v>39</v>
      </c>
      <c r="F120" s="20" t="s">
        <v>39</v>
      </c>
      <c r="G120" s="20" t="s">
        <v>39</v>
      </c>
      <c r="H120" s="38" t="s">
        <v>39</v>
      </c>
      <c r="I120" s="1"/>
    </row>
    <row r="121" ht="15" customHeight="1">
      <c r="A121" s="1"/>
      <c r="B121" s="5" t="s">
        <v>165</v>
      </c>
      <c r="C121" s="63">
        <f t="shared" si="44" ref="C121:H121">C114-C95</f>
        <v>0</v>
      </c>
      <c r="D121" s="63">
        <f t="shared" si="44"/>
        <v>0</v>
      </c>
      <c r="E121" s="63">
        <f t="shared" si="44"/>
        <v>0</v>
      </c>
      <c r="F121" s="63">
        <f t="shared" si="44"/>
        <v>0</v>
      </c>
      <c r="G121" s="63">
        <f t="shared" si="44"/>
        <v>0</v>
      </c>
      <c r="H121" s="64">
        <f t="shared" si="44"/>
        <v>0</v>
      </c>
      <c r="I121" s="22" t="s">
        <v>166</v>
      </c>
    </row>
    <row r="122" ht="15" customHeight="1">
      <c r="A122" s="1"/>
      <c r="B122" s="65" t="s">
        <v>167</v>
      </c>
      <c r="C122" s="63">
        <f t="shared" si="45" ref="C122:H122">C95+C115-C36</f>
        <v>0</v>
      </c>
      <c r="D122" s="63">
        <f t="shared" si="45"/>
        <v>0</v>
      </c>
      <c r="E122" s="63">
        <f t="shared" si="45"/>
        <v>0</v>
      </c>
      <c r="F122" s="63">
        <f t="shared" si="45"/>
        <v>0</v>
      </c>
      <c r="G122" s="63">
        <f t="shared" si="45"/>
        <v>0</v>
      </c>
      <c r="H122" s="64">
        <f t="shared" si="45"/>
        <v>0</v>
      </c>
      <c r="I122" s="22" t="s">
        <v>168</v>
      </c>
    </row>
    <row r="123" ht="15" customHeight="1">
      <c r="A123" s="1"/>
      <c r="B123" s="1"/>
      <c r="C123" s="1"/>
      <c r="D123" s="1"/>
      <c r="E123" s="1"/>
      <c r="F123" s="1"/>
      <c r="G123" s="1"/>
      <c r="H123" s="32"/>
      <c r="I123" s="1"/>
    </row>
    <row r="124" ht="15" customHeight="1">
      <c r="A124" s="1"/>
      <c r="B124" s="4" t="s">
        <v>169</v>
      </c>
      <c r="C124" s="1"/>
      <c r="D124" s="1"/>
      <c r="E124" s="1"/>
      <c r="F124" s="1"/>
      <c r="G124" s="1"/>
      <c r="H124" s="32"/>
      <c r="I124" s="1"/>
    </row>
    <row r="125" ht="15" customHeight="1">
      <c r="A125" s="1"/>
      <c r="B125" s="1" t="s">
        <v>83</v>
      </c>
      <c r="C125" s="19">
        <f t="shared" si="46" ref="C125:H125">C36</f>
        <v>2013</v>
      </c>
      <c r="D125" s="19">
        <f t="shared" si="46"/>
        <v>2243</v>
      </c>
      <c r="E125" s="19">
        <f t="shared" si="46"/>
        <v>8084</v>
      </c>
      <c r="F125" s="19">
        <f t="shared" si="46"/>
        <v>2147</v>
      </c>
      <c r="G125" s="19">
        <f t="shared" si="46"/>
        <v>2193</v>
      </c>
      <c r="H125" s="43">
        <f t="shared" si="46"/>
        <v>2149.6021800000003</v>
      </c>
      <c r="I125" s="1"/>
    </row>
    <row r="126" ht="15" customHeight="1">
      <c r="A126" s="1"/>
      <c r="B126" s="1" t="s">
        <v>170</v>
      </c>
      <c r="C126" s="18">
        <f>E126-D126-Inputs!$D$187</f>
        <v>-1231</v>
      </c>
      <c r="D126" s="42">
        <v>-1387</v>
      </c>
      <c r="E126" s="42">
        <v>-4946</v>
      </c>
      <c r="F126" s="42">
        <v>-1322</v>
      </c>
      <c r="G126" s="42">
        <v>-1354</v>
      </c>
      <c r="H126" s="43">
        <f>-H36*(1-H128)</f>
        <v>-1326.3045450600002</v>
      </c>
      <c r="I126" s="1"/>
    </row>
    <row r="127" ht="15" customHeight="1">
      <c r="A127" s="1"/>
      <c r="B127" s="4" t="s">
        <v>171</v>
      </c>
      <c r="C127" s="49">
        <f t="shared" si="47" ref="C127:H127">C125+C126</f>
        <v>782</v>
      </c>
      <c r="D127" s="49">
        <f t="shared" si="47"/>
        <v>856</v>
      </c>
      <c r="E127" s="49">
        <f t="shared" si="47"/>
        <v>3138</v>
      </c>
      <c r="F127" s="49">
        <f t="shared" si="47"/>
        <v>825</v>
      </c>
      <c r="G127" s="49">
        <f t="shared" si="47"/>
        <v>839</v>
      </c>
      <c r="H127" s="50">
        <f t="shared" si="47"/>
        <v>823.2976349400001</v>
      </c>
      <c r="I127" s="1"/>
    </row>
    <row r="128" ht="15" customHeight="1">
      <c r="A128" s="1"/>
      <c r="B128" s="35" t="s">
        <v>172</v>
      </c>
      <c r="C128" s="20">
        <f t="shared" si="48" ref="C128:G128">IF(AND(ISNUMBER(C127),ISNUMBER(C125)),IF(C125=0,"n.m.",C127/C125),"n.a.")</f>
        <v>0.388474913065077</v>
      </c>
      <c r="D128" s="20">
        <f t="shared" si="48"/>
        <v>0.38163174320107</v>
      </c>
      <c r="E128" s="20">
        <f t="shared" si="48"/>
        <v>0.3881741712023751</v>
      </c>
      <c r="F128" s="20">
        <f t="shared" si="48"/>
        <v>0.38425710293432697</v>
      </c>
      <c r="G128" s="20">
        <f t="shared" si="48"/>
        <v>0.38258093935248516</v>
      </c>
      <c r="H128" s="45">
        <v>0.383</v>
      </c>
      <c r="I128" s="22" t="s">
        <v>173</v>
      </c>
    </row>
    <row r="129" ht="15" customHeight="1">
      <c r="A129" s="1"/>
      <c r="B129" s="66" t="s">
        <v>174</v>
      </c>
      <c r="C129" s="19" t="s">
        <v>39</v>
      </c>
      <c r="D129" s="42">
        <v>-1237</v>
      </c>
      <c r="E129" s="42">
        <v>-4803</v>
      </c>
      <c r="F129" s="42">
        <v>-1088</v>
      </c>
      <c r="G129" s="42">
        <v>-1240</v>
      </c>
      <c r="H129" s="43">
        <f t="shared" si="61" ref="H129:H148">C126</f>
        <v>-1231</v>
      </c>
      <c r="I129" s="1"/>
    </row>
    <row r="130" ht="15" customHeight="1">
      <c r="A130" s="1"/>
      <c r="B130" s="46" t="s">
        <v>81</v>
      </c>
      <c r="C130" s="47" t="str">
        <f t="shared" si="49" ref="C130:H130">IF(COUNT(C128,C129,C37)=3,(C128-(1+C129/C37))*10000,"n.a.")</f>
        <v>n.a.</v>
      </c>
      <c r="D130" s="47">
        <f t="shared" si="49"/>
        <v>105.08204817745114</v>
      </c>
      <c r="E130" s="47">
        <f t="shared" si="49"/>
        <v>125.89147801439049</v>
      </c>
      <c r="F130" s="47">
        <f t="shared" si="49"/>
        <v>-172.83051081074586</v>
      </c>
      <c r="G130" s="47">
        <f t="shared" si="49"/>
        <v>-5.0363776194273235</v>
      </c>
      <c r="H130" s="48">
        <f t="shared" si="49"/>
        <v>-54.74913065076969</v>
      </c>
      <c r="I130" s="1"/>
    </row>
    <row r="131" ht="15" customHeight="1">
      <c r="A131" s="1"/>
      <c r="B131" s="46" t="s">
        <v>82</v>
      </c>
      <c r="C131" s="47" t="s">
        <v>39</v>
      </c>
      <c r="D131" s="47">
        <f t="shared" si="50" ref="D131:H163">IF(AND(ISNUMBER(D128),ISNUMBER(C128)),(D128-C128)*10000,"n.a.")</f>
        <v>-68.4316986400696</v>
      </c>
      <c r="E131" s="47"/>
      <c r="F131" s="47">
        <f t="shared" si="54" ref="F131:F163">IF(AND(ISNUMBER(F128),ISNUMBER(D128)),(F128-D128)*10000,"n.a.")</f>
        <v>26.25359733256949</v>
      </c>
      <c r="G131" s="47">
        <f t="shared" si="50"/>
        <v>-16.761635818418053</v>
      </c>
      <c r="H131" s="48">
        <f t="shared" si="50"/>
        <v>4.190606475148462</v>
      </c>
      <c r="I131" s="1"/>
    </row>
    <row r="132" ht="15" customHeight="1">
      <c r="A132" s="1"/>
      <c r="B132" s="1" t="s">
        <v>175</v>
      </c>
      <c r="C132" s="18">
        <f>E132-D132-Inputs!$D$188</f>
        <v>-390</v>
      </c>
      <c r="D132" s="42">
        <v>-414</v>
      </c>
      <c r="E132" s="42">
        <v>-1561</v>
      </c>
      <c r="F132" s="42">
        <v>-380</v>
      </c>
      <c r="G132" s="42">
        <v>-404</v>
      </c>
      <c r="H132" s="43">
        <f>-H36*H133</f>
        <v>-393.37719894</v>
      </c>
      <c r="I132" s="1"/>
    </row>
    <row r="133" ht="15" customHeight="1">
      <c r="A133" s="1"/>
      <c r="B133" s="35" t="s">
        <v>65</v>
      </c>
      <c r="C133" s="20">
        <f t="shared" si="51" ref="C133:G133">IF(AND(ISNUMBER(-C132),ISNUMBER(C125)),IF(C125=0,"n.m.",-C132/C125),"n.a.")</f>
        <v>0.19374068554396423</v>
      </c>
      <c r="D133" s="20">
        <f t="shared" si="51"/>
        <v>0.1845742309407044</v>
      </c>
      <c r="E133" s="20">
        <f t="shared" si="51"/>
        <v>0.19309747649678377</v>
      </c>
      <c r="F133" s="20">
        <f t="shared" si="51"/>
        <v>0.17699115044247787</v>
      </c>
      <c r="G133" s="20">
        <f t="shared" si="51"/>
        <v>0.18422252621979024</v>
      </c>
      <c r="H133" s="45">
        <v>0.183</v>
      </c>
      <c r="I133" s="1"/>
    </row>
    <row r="134" ht="15" customHeight="1">
      <c r="A134" s="1"/>
      <c r="B134" s="66" t="s">
        <v>176</v>
      </c>
      <c r="C134" s="19" t="s">
        <v>39</v>
      </c>
      <c r="D134" s="42">
        <v>-372</v>
      </c>
      <c r="E134" s="42">
        <v>-1418</v>
      </c>
      <c r="F134" s="42">
        <v>-361</v>
      </c>
      <c r="G134" s="42">
        <v>-396</v>
      </c>
      <c r="H134" s="43">
        <f t="shared" si="52"/>
        <v>-390</v>
      </c>
      <c r="I134" s="1"/>
    </row>
    <row r="135" ht="15" customHeight="1">
      <c r="A135" s="1"/>
      <c r="B135" s="46" t="s">
        <v>81</v>
      </c>
      <c r="C135" s="47" t="str">
        <f t="shared" si="53" ref="C135:H135">IF(COUNT(C133,C134,C37)=3,(C133-(-C134/C37))*10000,"n.a.")</f>
        <v>n.a.</v>
      </c>
      <c r="D135" s="47">
        <f t="shared" si="53"/>
        <v>-45.46257112167995</v>
      </c>
      <c r="E135" s="47">
        <f t="shared" si="53"/>
        <v>87.50102601827986</v>
      </c>
      <c r="F135" s="47">
        <f t="shared" si="53"/>
        <v>-215.78706543220693</v>
      </c>
      <c r="G135" s="47">
        <f t="shared" si="53"/>
        <v>-127.92399153344097</v>
      </c>
      <c r="H135" s="48">
        <f t="shared" si="53"/>
        <v>-107.40685543964234</v>
      </c>
      <c r="I135" s="1"/>
    </row>
    <row r="136" ht="15" customHeight="1">
      <c r="A136" s="1"/>
      <c r="B136" s="46" t="s">
        <v>82</v>
      </c>
      <c r="C136" s="47" t="s">
        <v>39</v>
      </c>
      <c r="D136" s="47">
        <f t="shared" si="50"/>
        <v>-91.66454603259821</v>
      </c>
      <c r="E136" s="47"/>
      <c r="F136" s="47">
        <f t="shared" si="54"/>
        <v>-75.83080498226535</v>
      </c>
      <c r="G136" s="47">
        <f t="shared" si="50"/>
        <v>72.31375777312365</v>
      </c>
      <c r="H136" s="48">
        <f t="shared" si="50"/>
        <v>-12.225262197902431</v>
      </c>
      <c r="I136" s="1"/>
    </row>
    <row r="137" ht="15" customHeight="1">
      <c r="A137" s="1"/>
      <c r="B137" s="1" t="s">
        <v>177</v>
      </c>
      <c r="C137" s="18">
        <f>E137-D137-Inputs!$D$189</f>
        <v>-104</v>
      </c>
      <c r="D137" s="42">
        <v>-113</v>
      </c>
      <c r="E137" s="42">
        <v>-414</v>
      </c>
      <c r="F137" s="42">
        <v>-103</v>
      </c>
      <c r="G137" s="42">
        <v>-115</v>
      </c>
      <c r="H137" s="43">
        <f>-H36*H138</f>
        <v>-111.77931336000002</v>
      </c>
      <c r="I137" s="1"/>
    </row>
    <row r="138" ht="15" customHeight="1">
      <c r="A138" s="1"/>
      <c r="B138" s="35" t="s">
        <v>65</v>
      </c>
      <c r="C138" s="20">
        <f t="shared" si="55" ref="C138:G138">IF(AND(ISNUMBER(-C137),ISNUMBER(C125)),IF(C125=0,"n.m.",-C137/C125),"n.a.")</f>
        <v>0.051664182811723795</v>
      </c>
      <c r="D138" s="20">
        <f t="shared" si="55"/>
        <v>0.05037895675434686</v>
      </c>
      <c r="E138" s="20">
        <f t="shared" si="55"/>
        <v>0.0512122711528946</v>
      </c>
      <c r="F138" s="20">
        <f t="shared" si="55"/>
        <v>0.047973917093619006</v>
      </c>
      <c r="G138" s="20">
        <f t="shared" si="55"/>
        <v>0.05243958048335613</v>
      </c>
      <c r="H138" s="45">
        <v>0.052</v>
      </c>
      <c r="I138" s="1"/>
    </row>
    <row r="139" ht="15" customHeight="1">
      <c r="A139" s="1"/>
      <c r="B139" s="66" t="s">
        <v>178</v>
      </c>
      <c r="C139" s="19" t="s">
        <v>39</v>
      </c>
      <c r="D139" s="42">
        <v>-115</v>
      </c>
      <c r="E139" s="42">
        <v>-400</v>
      </c>
      <c r="F139" s="42">
        <v>-97</v>
      </c>
      <c r="G139" s="42">
        <v>-100</v>
      </c>
      <c r="H139" s="43">
        <f t="shared" si="52"/>
        <v>-104</v>
      </c>
      <c r="I139" s="1"/>
    </row>
    <row r="140" ht="15" customHeight="1">
      <c r="A140" s="1"/>
      <c r="B140" s="46" t="s">
        <v>81</v>
      </c>
      <c r="C140" s="47" t="str">
        <f t="shared" si="56" ref="C140:H140">IF(COUNT(C138,C139,C37)=3,(C138-(-C139/C37))*10000,"n.a.")</f>
        <v>n.a.</v>
      </c>
      <c r="D140" s="47">
        <f t="shared" si="56"/>
        <v>-80.85710251245416</v>
      </c>
      <c r="E140" s="47">
        <f t="shared" si="56"/>
        <v>-7.898089303087219</v>
      </c>
      <c r="F140" s="47">
        <f t="shared" si="56"/>
        <v>-53.81418439934352</v>
      </c>
      <c r="G140" s="47">
        <f t="shared" si="56"/>
        <v>26.883367022616024</v>
      </c>
      <c r="H140" s="48">
        <f t="shared" si="56"/>
        <v>3.358171882762023</v>
      </c>
      <c r="I140" s="1"/>
    </row>
    <row r="141" ht="15" customHeight="1">
      <c r="A141" s="1"/>
      <c r="B141" s="46" t="s">
        <v>82</v>
      </c>
      <c r="C141" s="47" t="s">
        <v>39</v>
      </c>
      <c r="D141" s="47">
        <f t="shared" si="50"/>
        <v>-12.85226057376937</v>
      </c>
      <c r="E141" s="47"/>
      <c r="F141" s="47">
        <f t="shared" si="54"/>
        <v>-24.050396607278522</v>
      </c>
      <c r="G141" s="47">
        <f t="shared" si="50"/>
        <v>44.656633897371265</v>
      </c>
      <c r="H141" s="48">
        <f t="shared" si="50"/>
        <v>-4.395804833561348</v>
      </c>
      <c r="I141" s="1"/>
    </row>
    <row r="142" ht="15" customHeight="1">
      <c r="A142" s="1"/>
      <c r="B142" s="1" t="s">
        <v>179</v>
      </c>
      <c r="C142" s="18">
        <f>E142-D142-Inputs!$D$190</f>
        <v>-10</v>
      </c>
      <c r="D142" s="42">
        <v>-18</v>
      </c>
      <c r="E142" s="42">
        <v>-31</v>
      </c>
      <c r="F142" s="42">
        <v>-31</v>
      </c>
      <c r="G142" s="42">
        <v>18</v>
      </c>
      <c r="H142" s="56">
        <v>5</v>
      </c>
      <c r="I142" s="1"/>
    </row>
    <row r="143" ht="15" customHeight="1">
      <c r="A143" s="1"/>
      <c r="B143" s="41" t="s">
        <v>107</v>
      </c>
      <c r="C143" s="19" t="s">
        <v>39</v>
      </c>
      <c r="D143" s="19" t="s">
        <v>39</v>
      </c>
      <c r="E143" s="19" t="s">
        <v>39</v>
      </c>
      <c r="F143" s="19" t="s">
        <v>39</v>
      </c>
      <c r="G143" s="19" t="s">
        <v>39</v>
      </c>
      <c r="H143" s="43">
        <f t="shared" si="57"/>
        <v>15</v>
      </c>
      <c r="I143" s="1"/>
    </row>
    <row r="144" ht="15" customHeight="1">
      <c r="A144" s="1"/>
      <c r="B144" s="41" t="s">
        <v>77</v>
      </c>
      <c r="C144" s="19" t="s">
        <v>39</v>
      </c>
      <c r="D144" s="19">
        <f t="shared" si="8"/>
        <v>-8</v>
      </c>
      <c r="E144" s="19"/>
      <c r="F144" s="19">
        <f t="shared" si="58"/>
        <v>-13</v>
      </c>
      <c r="G144" s="19">
        <f t="shared" si="8"/>
        <v>49</v>
      </c>
      <c r="H144" s="43">
        <f t="shared" si="8"/>
        <v>-13</v>
      </c>
      <c r="I144" s="1"/>
    </row>
    <row r="145" ht="15" customHeight="1">
      <c r="A145" s="1"/>
      <c r="B145" s="4" t="s">
        <v>38</v>
      </c>
      <c r="C145" s="49">
        <f t="shared" si="59" ref="C145:H145">C127+C132+C137+C142</f>
        <v>278</v>
      </c>
      <c r="D145" s="49">
        <f t="shared" si="59"/>
        <v>311</v>
      </c>
      <c r="E145" s="49">
        <f t="shared" si="59"/>
        <v>1132</v>
      </c>
      <c r="F145" s="49">
        <f t="shared" si="59"/>
        <v>311</v>
      </c>
      <c r="G145" s="49">
        <f t="shared" si="59"/>
        <v>338</v>
      </c>
      <c r="H145" s="50">
        <f t="shared" si="59"/>
        <v>323.14112264000005</v>
      </c>
      <c r="I145" s="1"/>
    </row>
    <row r="146" ht="15" customHeight="1">
      <c r="A146" s="1"/>
      <c r="B146" s="41" t="s">
        <v>180</v>
      </c>
      <c r="C146" s="18">
        <f>E146-D146-Inputs!$D$191</f>
        <v>278</v>
      </c>
      <c r="D146" s="42">
        <v>311</v>
      </c>
      <c r="E146" s="42">
        <v>1132</v>
      </c>
      <c r="F146" s="42">
        <v>311</v>
      </c>
      <c r="G146" s="42">
        <v>338</v>
      </c>
      <c r="H146" s="43" t="s">
        <v>39</v>
      </c>
      <c r="I146" s="1"/>
    </row>
    <row r="147" ht="15" customHeight="1">
      <c r="A147" s="1"/>
      <c r="B147" s="35" t="s">
        <v>181</v>
      </c>
      <c r="C147" s="63">
        <f t="shared" si="60" ref="C147:G147">C145-C146</f>
        <v>0</v>
      </c>
      <c r="D147" s="63">
        <f t="shared" si="60"/>
        <v>0</v>
      </c>
      <c r="E147" s="63">
        <f t="shared" si="60"/>
        <v>0</v>
      </c>
      <c r="F147" s="63">
        <f t="shared" si="60"/>
        <v>0</v>
      </c>
      <c r="G147" s="63">
        <f t="shared" si="60"/>
        <v>0</v>
      </c>
      <c r="H147" s="64" t="s">
        <v>39</v>
      </c>
      <c r="I147" s="1"/>
    </row>
    <row r="148" ht="15" customHeight="1">
      <c r="A148" s="1"/>
      <c r="B148" s="41" t="s">
        <v>182</v>
      </c>
      <c r="C148" s="19" t="s">
        <v>39</v>
      </c>
      <c r="D148" s="42">
        <v>244</v>
      </c>
      <c r="E148" s="42">
        <v>1080</v>
      </c>
      <c r="F148" s="42">
        <v>255</v>
      </c>
      <c r="G148" s="42">
        <v>288</v>
      </c>
      <c r="H148" s="43">
        <f t="shared" si="61"/>
        <v>278</v>
      </c>
      <c r="I148" s="1"/>
    </row>
    <row r="149" ht="15" customHeight="1">
      <c r="A149" s="1"/>
      <c r="B149" s="35" t="s">
        <v>63</v>
      </c>
      <c r="C149" s="20" t="str">
        <f t="shared" si="62" ref="C149:H149">IF(AND(ISNUMBER(C145),ISNUMBER(C148)),IF(C148=0,"n.m.",C145/C148-1),"n.a.")</f>
        <v>n.a.</v>
      </c>
      <c r="D149" s="20">
        <f t="shared" si="62"/>
        <v>0.27459016393442615</v>
      </c>
      <c r="E149" s="20">
        <f t="shared" si="62"/>
        <v>0.04814814814814805</v>
      </c>
      <c r="F149" s="20">
        <f t="shared" si="62"/>
        <v>0.219607843137255</v>
      </c>
      <c r="G149" s="20">
        <f t="shared" si="62"/>
        <v>0.17361111111111116</v>
      </c>
      <c r="H149" s="38">
        <f t="shared" si="62"/>
        <v>0.16237813899280584</v>
      </c>
      <c r="I149" s="1"/>
    </row>
    <row r="150" ht="15" customHeight="1">
      <c r="A150" s="1"/>
      <c r="B150" s="41" t="s">
        <v>77</v>
      </c>
      <c r="C150" s="19">
        <f>IF(AND(ISNUMBER(C145),ISNUMBER(G148)),(C145-G148),"n.a.")</f>
        <v>-10</v>
      </c>
      <c r="D150" s="19">
        <f t="shared" si="63" ref="D150:H150">IF(AND(ISNUMBER(D145),ISNUMBER(C145)),(D145-C145),"n.a.")</f>
        <v>33</v>
      </c>
      <c r="E150" s="19"/>
      <c r="F150" s="19">
        <f>IF(AND(ISNUMBER(F145),ISNUMBER(D145)),(F145-D145),"n.a.")</f>
        <v>0</v>
      </c>
      <c r="G150" s="19">
        <f t="shared" si="63"/>
        <v>27</v>
      </c>
      <c r="H150" s="43">
        <f t="shared" si="63"/>
        <v>-14.858877359999951</v>
      </c>
      <c r="I150" s="1"/>
    </row>
    <row r="151" ht="15" customHeight="1">
      <c r="A151" s="1"/>
      <c r="B151" s="35" t="s">
        <v>183</v>
      </c>
      <c r="C151" s="20">
        <f t="shared" si="64" ref="C151:H151">IF(AND(ISNUMBER(C145),ISNUMBER(C125)),IF(C125=0,"n.m.",C145/C125),"n.a.")</f>
        <v>0.1381023348236463</v>
      </c>
      <c r="D151" s="20">
        <f t="shared" si="64"/>
        <v>0.1386535889433794</v>
      </c>
      <c r="E151" s="20">
        <f t="shared" si="64"/>
        <v>0.1400296882731321</v>
      </c>
      <c r="F151" s="20">
        <f t="shared" si="64"/>
        <v>0.1448532836516069</v>
      </c>
      <c r="G151" s="20">
        <f t="shared" si="64"/>
        <v>0.1541267669858641</v>
      </c>
      <c r="H151" s="38">
        <f t="shared" si="64"/>
        <v>0.15032601178325936</v>
      </c>
      <c r="I151" s="1"/>
    </row>
    <row r="152" ht="15" customHeight="1">
      <c r="A152" s="1"/>
      <c r="B152" s="46" t="s">
        <v>81</v>
      </c>
      <c r="C152" s="47" t="str">
        <f t="shared" si="65" ref="C152:H152">IF(COUNT(C148,C37)=2,(C151-C148/C37)*10000,"n.a.")</f>
        <v>n.a.</v>
      </c>
      <c r="D152" s="47">
        <f t="shared" si="65"/>
        <v>146.06817209774928</v>
      </c>
      <c r="E152" s="47">
        <f t="shared" si="65"/>
        <v>-3.7592795151686342</v>
      </c>
      <c r="F152" s="47">
        <f t="shared" si="65"/>
        <v>45.892572489666385</v>
      </c>
      <c r="G152" s="47">
        <f t="shared" si="65"/>
        <v>108.43184896311864</v>
      </c>
      <c r="H152" s="48">
        <f t="shared" si="65"/>
        <v>122.23676959613044</v>
      </c>
      <c r="I152" s="1"/>
    </row>
    <row r="153" ht="15" customHeight="1">
      <c r="A153" s="1"/>
      <c r="B153" s="46" t="s">
        <v>82</v>
      </c>
      <c r="C153" s="47" t="s">
        <v>39</v>
      </c>
      <c r="D153" s="47">
        <f t="shared" si="21"/>
        <v>5.512541197330856</v>
      </c>
      <c r="E153" s="47"/>
      <c r="F153" s="47">
        <f t="shared" si="24"/>
        <v>61.9969470822751</v>
      </c>
      <c r="G153" s="47">
        <f t="shared" si="21"/>
        <v>92.73483334257205</v>
      </c>
      <c r="H153" s="48">
        <f t="shared" si="21"/>
        <v>-38.007552026047556</v>
      </c>
      <c r="I153" s="1"/>
    </row>
    <row r="154" ht="15" customHeight="1">
      <c r="A154" s="1"/>
      <c r="B154" s="1" t="s">
        <v>184</v>
      </c>
      <c r="C154" s="18">
        <f>E154-D154-Inputs!$D$192</f>
        <v>-12</v>
      </c>
      <c r="D154" s="42">
        <v>-13</v>
      </c>
      <c r="E154" s="42">
        <v>-24</v>
      </c>
      <c r="F154" s="42">
        <v>-25</v>
      </c>
      <c r="G154" s="42">
        <v>8</v>
      </c>
      <c r="H154" s="56">
        <v>0</v>
      </c>
      <c r="I154" s="22" t="s">
        <v>185</v>
      </c>
    </row>
    <row r="155" ht="15" customHeight="1">
      <c r="A155" s="1"/>
      <c r="B155" s="41" t="s">
        <v>107</v>
      </c>
      <c r="C155" s="19" t="s">
        <v>39</v>
      </c>
      <c r="D155" s="19" t="s">
        <v>39</v>
      </c>
      <c r="E155" s="19" t="s">
        <v>39</v>
      </c>
      <c r="F155" s="19" t="s">
        <v>39</v>
      </c>
      <c r="G155" s="19" t="s">
        <v>39</v>
      </c>
      <c r="H155" s="43">
        <f t="shared" si="57"/>
        <v>12</v>
      </c>
      <c r="I155" s="1"/>
    </row>
    <row r="156" ht="15" customHeight="1">
      <c r="A156" s="1"/>
      <c r="B156" s="41" t="s">
        <v>77</v>
      </c>
      <c r="C156" s="19" t="s">
        <v>39</v>
      </c>
      <c r="D156" s="19">
        <f t="shared" si="8"/>
        <v>-1</v>
      </c>
      <c r="E156" s="19"/>
      <c r="F156" s="19">
        <f t="shared" si="58"/>
        <v>-12</v>
      </c>
      <c r="G156" s="19">
        <f t="shared" si="8"/>
        <v>33</v>
      </c>
      <c r="H156" s="43">
        <f t="shared" si="8"/>
        <v>-8</v>
      </c>
      <c r="I156" s="1"/>
    </row>
    <row r="157" ht="15" customHeight="1">
      <c r="A157" s="1"/>
      <c r="B157" s="4" t="s">
        <v>186</v>
      </c>
      <c r="C157" s="49">
        <f t="shared" si="66" ref="C157:H157">C36+C154</f>
        <v>2001</v>
      </c>
      <c r="D157" s="49">
        <f t="shared" si="66"/>
        <v>2230</v>
      </c>
      <c r="E157" s="49">
        <f t="shared" si="66"/>
        <v>8060</v>
      </c>
      <c r="F157" s="49">
        <f t="shared" si="66"/>
        <v>2122</v>
      </c>
      <c r="G157" s="49">
        <f t="shared" si="66"/>
        <v>2201</v>
      </c>
      <c r="H157" s="50">
        <f t="shared" si="66"/>
        <v>2149.6021800000003</v>
      </c>
      <c r="I157" s="1"/>
    </row>
    <row r="158" ht="15" customHeight="1">
      <c r="A158" s="1"/>
      <c r="B158" s="35" t="s">
        <v>63</v>
      </c>
      <c r="C158" s="20" t="str">
        <f t="shared" si="67" ref="C158:H158">IF(AND(ISNUMBER(C157),ISNUMBER(C161)),IF(C161=0,"n.m.",C157/C161-1),"n.a.")</f>
        <v>n.a.</v>
      </c>
      <c r="D158" s="20">
        <f t="shared" si="67"/>
        <v>0.13255459624174715</v>
      </c>
      <c r="E158" s="20">
        <f t="shared" si="67"/>
        <v>0.045531197301855064</v>
      </c>
      <c r="F158" s="20">
        <f t="shared" si="67"/>
        <v>0.17823431426985015</v>
      </c>
      <c r="G158" s="20">
        <f t="shared" si="67"/>
        <v>0.08530571992110447</v>
      </c>
      <c r="H158" s="38">
        <f t="shared" si="67"/>
        <v>0.07426395802098962</v>
      </c>
      <c r="I158" s="1"/>
    </row>
    <row r="159" ht="23.25" customHeight="1">
      <c r="A159" s="1"/>
      <c r="B159" s="44" t="s">
        <v>187</v>
      </c>
      <c r="C159" s="20" t="s">
        <v>39</v>
      </c>
      <c r="D159" s="20" t="s">
        <v>39</v>
      </c>
      <c r="E159" s="20" t="s">
        <v>39</v>
      </c>
      <c r="F159" s="20" t="s">
        <v>39</v>
      </c>
      <c r="G159" s="20" t="s">
        <v>39</v>
      </c>
      <c r="H159" s="38" t="s">
        <v>39</v>
      </c>
      <c r="I159" s="1"/>
    </row>
    <row r="160" ht="15" customHeight="1">
      <c r="A160" s="1"/>
      <c r="B160" s="67" t="s">
        <v>188</v>
      </c>
      <c r="C160" s="26">
        <f t="shared" si="68" ref="C160:H160">IF(AND(ISNUMBER(C145),ISNUMBER(C157)),IF(C157=0,"n.m.",C145/C157),"n.a.")</f>
        <v>0.13893053473263367</v>
      </c>
      <c r="D160" s="26">
        <f t="shared" si="68"/>
        <v>0.13946188340807175</v>
      </c>
      <c r="E160" s="26">
        <f t="shared" si="68"/>
        <v>0.14044665012406948</v>
      </c>
      <c r="F160" s="26">
        <f t="shared" si="68"/>
        <v>0.146559849198869</v>
      </c>
      <c r="G160" s="26">
        <f t="shared" si="68"/>
        <v>0.15356656065424806</v>
      </c>
      <c r="H160" s="68">
        <f t="shared" si="68"/>
        <v>0.15032601178325936</v>
      </c>
      <c r="I160" s="1"/>
    </row>
    <row r="161" ht="15" customHeight="1">
      <c r="A161" s="1"/>
      <c r="B161" s="41" t="s">
        <v>189</v>
      </c>
      <c r="C161" s="19" t="s">
        <v>39</v>
      </c>
      <c r="D161" s="42">
        <v>1969</v>
      </c>
      <c r="E161" s="42">
        <v>7709</v>
      </c>
      <c r="F161" s="42">
        <v>1801</v>
      </c>
      <c r="G161" s="42">
        <v>2028</v>
      </c>
      <c r="H161" s="43">
        <f>C157</f>
        <v>2001</v>
      </c>
      <c r="I161" s="1"/>
    </row>
    <row r="162" ht="15" customHeight="1">
      <c r="A162" s="1"/>
      <c r="B162" s="46" t="s">
        <v>81</v>
      </c>
      <c r="C162" s="47" t="str">
        <f t="shared" si="69" ref="C162:H162">IF(COUNT(C160,C148,C161)=3,(C160-(C148/C161))*10000,"n.a.")</f>
        <v>n.a.</v>
      </c>
      <c r="D162" s="47">
        <f t="shared" si="69"/>
        <v>155.41111442607044</v>
      </c>
      <c r="E162" s="47">
        <f t="shared" si="69"/>
        <v>3.5065842605416786</v>
      </c>
      <c r="F162" s="47">
        <f t="shared" si="69"/>
        <v>49.71842535903964</v>
      </c>
      <c r="G162" s="47">
        <f t="shared" si="69"/>
        <v>115.54726334721433</v>
      </c>
      <c r="H162" s="48">
        <f t="shared" si="69"/>
        <v>113.95477050625685</v>
      </c>
      <c r="I162" s="1"/>
    </row>
    <row r="163" ht="15" customHeight="1">
      <c r="A163" s="1"/>
      <c r="B163" s="46" t="s">
        <v>82</v>
      </c>
      <c r="C163" s="47" t="s">
        <v>39</v>
      </c>
      <c r="D163" s="47">
        <f t="shared" si="50"/>
        <v>5.313486754380814</v>
      </c>
      <c r="E163" s="47"/>
      <c r="F163" s="47">
        <f t="shared" si="54"/>
        <v>70.97965790797245</v>
      </c>
      <c r="G163" s="47">
        <f t="shared" si="50"/>
        <v>70.06711455379066</v>
      </c>
      <c r="H163" s="48">
        <f t="shared" si="50"/>
        <v>-32.405488709887074</v>
      </c>
      <c r="I163" s="1"/>
    </row>
    <row r="164" ht="15" customHeight="1">
      <c r="A164" s="1"/>
      <c r="B164" s="23" t="s">
        <v>190</v>
      </c>
      <c r="C164" s="19">
        <f t="shared" si="70" ref="C164:G164">C146-C167</f>
        <v>-20</v>
      </c>
      <c r="D164" s="19">
        <f t="shared" si="70"/>
        <v>33</v>
      </c>
      <c r="E164" s="19">
        <f t="shared" si="70"/>
        <v>35</v>
      </c>
      <c r="F164" s="19">
        <f t="shared" si="70"/>
        <v>24</v>
      </c>
      <c r="G164" s="19">
        <f t="shared" si="70"/>
        <v>11</v>
      </c>
      <c r="H164" s="56">
        <v>20</v>
      </c>
      <c r="I164" s="22" t="s">
        <v>191</v>
      </c>
    </row>
    <row r="165" ht="15" customHeight="1">
      <c r="A165" s="1"/>
      <c r="B165" s="41" t="s">
        <v>107</v>
      </c>
      <c r="C165" s="19" t="s">
        <v>39</v>
      </c>
      <c r="D165" s="19" t="s">
        <v>39</v>
      </c>
      <c r="E165" s="19" t="s">
        <v>39</v>
      </c>
      <c r="F165" s="19" t="s">
        <v>39</v>
      </c>
      <c r="G165" s="19" t="s">
        <v>39</v>
      </c>
      <c r="H165" s="43">
        <f t="shared" si="57"/>
        <v>40</v>
      </c>
      <c r="I165" s="1"/>
    </row>
    <row r="166" ht="15" customHeight="1">
      <c r="A166" s="1"/>
      <c r="B166" s="41" t="s">
        <v>77</v>
      </c>
      <c r="C166" s="19" t="s">
        <v>39</v>
      </c>
      <c r="D166" s="19">
        <f t="shared" si="8"/>
        <v>53</v>
      </c>
      <c r="E166" s="19"/>
      <c r="F166" s="19">
        <f t="shared" si="58"/>
        <v>-9</v>
      </c>
      <c r="G166" s="19">
        <f t="shared" si="8"/>
        <v>-13</v>
      </c>
      <c r="H166" s="43">
        <f t="shared" si="8"/>
        <v>9</v>
      </c>
      <c r="I166" s="1"/>
    </row>
    <row r="167" ht="15" customHeight="1">
      <c r="A167" s="1"/>
      <c r="B167" s="4" t="s">
        <v>192</v>
      </c>
      <c r="C167" s="69">
        <f>E167-D167-Inputs!$D$193</f>
        <v>298</v>
      </c>
      <c r="D167" s="59">
        <v>278</v>
      </c>
      <c r="E167" s="59">
        <v>1097</v>
      </c>
      <c r="F167" s="59">
        <v>287</v>
      </c>
      <c r="G167" s="59">
        <v>327</v>
      </c>
      <c r="H167" s="50">
        <f>H145-H164</f>
        <v>303.14112264000005</v>
      </c>
      <c r="I167" s="1"/>
    </row>
    <row r="168" ht="15" customHeight="1">
      <c r="A168" s="1"/>
      <c r="B168" s="35" t="s">
        <v>193</v>
      </c>
      <c r="C168" s="20">
        <f t="shared" si="71" ref="C168:H168">IF(AND(ISNUMBER(C167),ISNUMBER(C36)),IF(C36=0,"n.m.",C167/C36),"n.a.")</f>
        <v>0.14803775459513163</v>
      </c>
      <c r="D168" s="20">
        <f t="shared" si="71"/>
        <v>0.12394115024520731</v>
      </c>
      <c r="E168" s="20">
        <f t="shared" si="71"/>
        <v>0.13570014844136566</v>
      </c>
      <c r="F168" s="20">
        <f t="shared" si="71"/>
        <v>0.13367489520260828</v>
      </c>
      <c r="G168" s="20">
        <f t="shared" si="71"/>
        <v>0.1491108071135431</v>
      </c>
      <c r="H168" s="38">
        <f t="shared" si="71"/>
        <v>0.14102196465022193</v>
      </c>
      <c r="I168" s="1"/>
    </row>
    <row r="169" ht="15" customHeight="1">
      <c r="A169" s="1"/>
      <c r="B169" s="46" t="s">
        <v>81</v>
      </c>
      <c r="C169" s="47" t="s">
        <v>39</v>
      </c>
      <c r="D169" s="47" t="s">
        <v>39</v>
      </c>
      <c r="E169" s="47" t="s">
        <v>39</v>
      </c>
      <c r="F169" s="47" t="s">
        <v>39</v>
      </c>
      <c r="G169" s="47" t="s">
        <v>39</v>
      </c>
      <c r="H169" s="48">
        <f t="shared" si="23"/>
        <v>-70.157899449097</v>
      </c>
      <c r="I169" s="1"/>
    </row>
    <row r="170" ht="15" customHeight="1">
      <c r="A170" s="1"/>
      <c r="B170" s="46" t="s">
        <v>82</v>
      </c>
      <c r="C170" s="47" t="s">
        <v>39</v>
      </c>
      <c r="D170" s="47">
        <f t="shared" si="21"/>
        <v>-240.9660434992432</v>
      </c>
      <c r="E170" s="47"/>
      <c r="F170" s="47">
        <f t="shared" si="24"/>
        <v>97.33744957400967</v>
      </c>
      <c r="G170" s="47">
        <f t="shared" si="21"/>
        <v>154.35911910934823</v>
      </c>
      <c r="H170" s="48">
        <f t="shared" si="21"/>
        <v>-80.88842463321171</v>
      </c>
      <c r="I170" s="1"/>
    </row>
    <row r="171" ht="15" customHeight="1">
      <c r="A171" s="1"/>
      <c r="B171" s="1"/>
      <c r="C171" s="1"/>
      <c r="D171" s="1"/>
      <c r="E171" s="1"/>
      <c r="F171" s="1"/>
      <c r="G171" s="1"/>
      <c r="H171" s="32"/>
      <c r="I171" s="1"/>
    </row>
    <row r="172" ht="15" customHeight="1">
      <c r="A172" s="1"/>
      <c r="B172" s="1"/>
      <c r="C172" s="1"/>
      <c r="D172" s="1"/>
      <c r="E172" s="1"/>
      <c r="F172" s="1"/>
      <c r="G172" s="1"/>
      <c r="H172" s="1"/>
      <c r="I172" s="1"/>
    </row>
    <row r="173" ht="15" customHeight="1">
      <c r="A173" s="1"/>
      <c r="B173" s="1"/>
      <c r="C173" s="1"/>
      <c r="D173" s="1"/>
      <c r="E173" s="1"/>
      <c r="F173" s="1"/>
      <c r="G173" s="1"/>
      <c r="H173" s="1"/>
      <c r="I173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DA83418-2168-11C7-F968-467D4FC9F3F7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197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198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95</v>
      </c>
      <c r="C11" s="18">
        <f>E11-D11-Inputs!$D$194</f>
        <v>7120</v>
      </c>
      <c r="D11" s="42">
        <v>7484</v>
      </c>
      <c r="E11" s="42">
        <v>27669</v>
      </c>
      <c r="F11" s="42">
        <v>7339</v>
      </c>
      <c r="G11" s="42">
        <v>7984</v>
      </c>
      <c r="H11" s="55">
        <f>'Revenue summary'!H46*H16</f>
        <v>8159.488559777409</v>
      </c>
      <c r="I11" s="1"/>
    </row>
    <row r="12" ht="15" customHeight="1">
      <c r="A12" s="1"/>
      <c r="B12" s="41" t="s">
        <v>199</v>
      </c>
      <c r="C12" s="19" t="s">
        <v>39</v>
      </c>
      <c r="D12" s="42">
        <v>6634</v>
      </c>
      <c r="E12" s="42">
        <v>25531</v>
      </c>
      <c r="F12" s="42">
        <v>6156</v>
      </c>
      <c r="G12" s="42">
        <v>6909</v>
      </c>
      <c r="H12" s="43">
        <f t="shared" si="6" ref="H12:H119">C11</f>
        <v>7120</v>
      </c>
      <c r="I12" s="1"/>
    </row>
    <row r="13" ht="15" customHeight="1">
      <c r="A13" s="1"/>
      <c r="B13" s="35" t="s">
        <v>63</v>
      </c>
      <c r="C13" s="20" t="str">
        <f t="shared" si="2" ref="C13:H120">IF(AND(ISNUMBER(C11),ISNUMBER(C12)),IF(C12=0,"n.m.",C11/C12-1),"n.a.")</f>
        <v>n.a.</v>
      </c>
      <c r="D13" s="20">
        <f t="shared" si="2"/>
        <v>0.12812782634911057</v>
      </c>
      <c r="E13" s="20">
        <f t="shared" si="2"/>
        <v>0.0837413340644706</v>
      </c>
      <c r="F13" s="20">
        <f t="shared" si="2"/>
        <v>0.1921702404158545</v>
      </c>
      <c r="G13" s="20">
        <f t="shared" si="2"/>
        <v>0.15559415255463893</v>
      </c>
      <c r="H13" s="38">
        <f t="shared" si="2"/>
        <v>0.1459955842384002</v>
      </c>
      <c r="I13" s="1"/>
    </row>
    <row r="14" ht="15" customHeight="1">
      <c r="A14" s="1"/>
      <c r="B14" s="41" t="s">
        <v>77</v>
      </c>
      <c r="C14" s="19">
        <f t="shared" si="7" ref="C14:C22">IF(AND(ISNUMBER(C11),ISNUMBER(G12)),(C11-G12),"n.a.")</f>
        <v>211</v>
      </c>
      <c r="D14" s="19">
        <f t="shared" si="3" ref="D14:H22">IF(AND(ISNUMBER(D11),ISNUMBER(C11)),(D11-C11),"n.a.")</f>
        <v>364</v>
      </c>
      <c r="E14" s="19"/>
      <c r="F14" s="19">
        <f t="shared" si="8" ref="F14:F22">IF(AND(ISNUMBER(F11),ISNUMBER(D11)),(F11-D11),"n.a.")</f>
        <v>-145</v>
      </c>
      <c r="G14" s="19">
        <f t="shared" si="3"/>
        <v>645</v>
      </c>
      <c r="H14" s="43">
        <f t="shared" si="3"/>
        <v>175.48855977740914</v>
      </c>
      <c r="I14" s="1"/>
    </row>
    <row r="15" ht="15" customHeight="1">
      <c r="A15" s="1"/>
      <c r="B15" s="44" t="s">
        <v>200</v>
      </c>
      <c r="C15" s="20" t="s">
        <v>39</v>
      </c>
      <c r="D15" s="20" t="s">
        <v>39</v>
      </c>
      <c r="E15" s="20" t="s">
        <v>39</v>
      </c>
      <c r="F15" s="20" t="s">
        <v>39</v>
      </c>
      <c r="G15" s="20" t="s">
        <v>39</v>
      </c>
      <c r="H15" s="38" t="s">
        <v>39</v>
      </c>
      <c r="I15" s="1"/>
    </row>
    <row r="16" ht="15" customHeight="1">
      <c r="A16" s="1"/>
      <c r="B16" s="35" t="s">
        <v>201</v>
      </c>
      <c r="C16" s="20">
        <f t="shared" si="4" ref="C16:G16">IF(AND(ISNUMBER(C11),ISNUMBER(C24)),IF(C24=0,"n.m.",C11/C24),"n.a.")</f>
        <v>0.8385349193263455</v>
      </c>
      <c r="D16" s="20">
        <f t="shared" si="4"/>
        <v>0.8267786124613345</v>
      </c>
      <c r="E16" s="20">
        <f t="shared" si="4"/>
        <v>0.832901866345575</v>
      </c>
      <c r="F16" s="20">
        <f t="shared" si="4"/>
        <v>0.8402793679871765</v>
      </c>
      <c r="G16" s="20">
        <f t="shared" si="4"/>
        <v>0.8426385224274406</v>
      </c>
      <c r="H16" s="45">
        <v>0.843</v>
      </c>
      <c r="I16" s="22" t="s">
        <v>202</v>
      </c>
    </row>
    <row r="17" ht="15" customHeight="1">
      <c r="A17" s="1"/>
      <c r="B17" s="46" t="s">
        <v>81</v>
      </c>
      <c r="C17" s="47" t="s">
        <v>39</v>
      </c>
      <c r="D17" s="47" t="s">
        <v>39</v>
      </c>
      <c r="E17" s="47" t="s">
        <v>39</v>
      </c>
      <c r="F17" s="47" t="s">
        <v>39</v>
      </c>
      <c r="G17" s="47" t="s">
        <v>39</v>
      </c>
      <c r="H17" s="48">
        <f>IF(AND(ISNUMBER(H16),ISNUMBER(C16)),(H16-C16)*10000,"n.a.")</f>
        <v>44.65080673654476</v>
      </c>
      <c r="I17" s="1"/>
    </row>
    <row r="18" ht="15" customHeight="1">
      <c r="A18" s="1"/>
      <c r="B18" s="46" t="s">
        <v>82</v>
      </c>
      <c r="C18" s="47" t="s">
        <v>39</v>
      </c>
      <c r="D18" s="47">
        <f t="shared" si="5" ref="D18:H124">IF(AND(ISNUMBER(D16),ISNUMBER(C16)),(D16-C16)*10000,"n.a.")</f>
        <v>-117.56306865010946</v>
      </c>
      <c r="E18" s="47"/>
      <c r="F18" s="47">
        <f t="shared" si="25" ref="F18:F124">IF(AND(ISNUMBER(F16),ISNUMBER(D16)),(F16-D16)*10000,"n.a.")</f>
        <v>135.00755525841956</v>
      </c>
      <c r="G18" s="47">
        <f t="shared" si="5"/>
        <v>23.59154440264133</v>
      </c>
      <c r="H18" s="48">
        <f t="shared" si="5"/>
        <v>3.614775725593322</v>
      </c>
      <c r="I18" s="1"/>
    </row>
    <row r="19" ht="15" customHeight="1">
      <c r="A19" s="1"/>
      <c r="B19" s="1" t="s">
        <v>96</v>
      </c>
      <c r="C19" s="18">
        <f>E19-D19-Inputs!$D$195</f>
        <v>1371</v>
      </c>
      <c r="D19" s="42">
        <v>1568</v>
      </c>
      <c r="E19" s="42">
        <v>5551</v>
      </c>
      <c r="F19" s="42">
        <v>1395</v>
      </c>
      <c r="G19" s="42">
        <v>1491</v>
      </c>
      <c r="H19" s="55">
        <f>'Revenue summary'!H46-H11</f>
        <v>1519.6200520581888</v>
      </c>
      <c r="I19" s="1"/>
    </row>
    <row r="20" ht="15" customHeight="1">
      <c r="A20" s="1"/>
      <c r="B20" s="66" t="s">
        <v>203</v>
      </c>
      <c r="C20" s="19" t="s">
        <v>39</v>
      </c>
      <c r="D20" s="42">
        <v>1362</v>
      </c>
      <c r="E20" s="42">
        <v>5052</v>
      </c>
      <c r="F20" s="42">
        <v>1226</v>
      </c>
      <c r="G20" s="42">
        <v>1386</v>
      </c>
      <c r="H20" s="43">
        <f t="shared" si="6"/>
        <v>1371</v>
      </c>
      <c r="I20" s="1"/>
    </row>
    <row r="21" ht="15" customHeight="1">
      <c r="A21" s="1"/>
      <c r="B21" s="35" t="s">
        <v>63</v>
      </c>
      <c r="C21" s="20" t="str">
        <f t="shared" si="2"/>
        <v>n.a.</v>
      </c>
      <c r="D21" s="20">
        <f t="shared" si="2"/>
        <v>0.15124816446402356</v>
      </c>
      <c r="E21" s="20">
        <f t="shared" si="2"/>
        <v>0.09877276326207451</v>
      </c>
      <c r="F21" s="20">
        <f t="shared" si="2"/>
        <v>0.13784665579119082</v>
      </c>
      <c r="G21" s="20">
        <f t="shared" si="2"/>
        <v>0.07575757575757569</v>
      </c>
      <c r="H21" s="38">
        <f t="shared" si="2"/>
        <v>0.10840266379153074</v>
      </c>
      <c r="I21" s="1"/>
    </row>
    <row r="22" ht="15" customHeight="1">
      <c r="A22" s="1"/>
      <c r="B22" s="41" t="s">
        <v>77</v>
      </c>
      <c r="C22" s="19">
        <f t="shared" si="7"/>
        <v>-15</v>
      </c>
      <c r="D22" s="19">
        <f t="shared" si="3"/>
        <v>197</v>
      </c>
      <c r="E22" s="19"/>
      <c r="F22" s="19">
        <f t="shared" si="8"/>
        <v>-173</v>
      </c>
      <c r="G22" s="19">
        <f t="shared" si="3"/>
        <v>96</v>
      </c>
      <c r="H22" s="43">
        <f t="shared" si="3"/>
        <v>28.620052058188776</v>
      </c>
      <c r="I22" s="1"/>
    </row>
    <row r="23" ht="15" customHeight="1">
      <c r="A23" s="1"/>
      <c r="B23" s="44" t="s">
        <v>200</v>
      </c>
      <c r="C23" s="20" t="s">
        <v>39</v>
      </c>
      <c r="D23" s="20" t="s">
        <v>39</v>
      </c>
      <c r="E23" s="20" t="s">
        <v>39</v>
      </c>
      <c r="F23" s="20" t="s">
        <v>39</v>
      </c>
      <c r="G23" s="20" t="s">
        <v>39</v>
      </c>
      <c r="H23" s="38" t="s">
        <v>39</v>
      </c>
      <c r="I23" s="1"/>
    </row>
    <row r="24" ht="15" customHeight="1">
      <c r="A24" s="1"/>
      <c r="B24" s="4" t="s">
        <v>83</v>
      </c>
      <c r="C24" s="49">
        <f t="shared" si="9" ref="C24:H24">C11+C19</f>
        <v>8491</v>
      </c>
      <c r="D24" s="49">
        <f t="shared" si="9"/>
        <v>9052</v>
      </c>
      <c r="E24" s="49">
        <f t="shared" si="9"/>
        <v>33220</v>
      </c>
      <c r="F24" s="49">
        <f t="shared" si="9"/>
        <v>8734</v>
      </c>
      <c r="G24" s="49">
        <f t="shared" si="9"/>
        <v>9475</v>
      </c>
      <c r="H24" s="50">
        <f t="shared" si="9"/>
        <v>9679.108611835598</v>
      </c>
      <c r="I24" s="1"/>
    </row>
    <row r="25" ht="15" customHeight="1">
      <c r="A25" s="1"/>
      <c r="B25" s="41" t="s">
        <v>204</v>
      </c>
      <c r="C25" s="18" t="str">
        <f>'Revenue summary'!C47</f>
        <v>n.a.</v>
      </c>
      <c r="D25" s="18">
        <f>'Revenue summary'!D47</f>
        <v>7996</v>
      </c>
      <c r="E25" s="18">
        <f>'Revenue summary'!E47</f>
        <v>30583</v>
      </c>
      <c r="F25" s="18">
        <f>'Revenue summary'!F47</f>
        <v>7382</v>
      </c>
      <c r="G25" s="18">
        <f>'Revenue summary'!G47</f>
        <v>8295</v>
      </c>
      <c r="H25" s="55">
        <f>'Revenue summary'!H47</f>
        <v>8491</v>
      </c>
      <c r="I25" s="1"/>
    </row>
    <row r="26" ht="15" customHeight="1">
      <c r="A26" s="1"/>
      <c r="B26" s="35" t="s">
        <v>63</v>
      </c>
      <c r="C26" s="20" t="str">
        <f t="shared" si="2"/>
        <v>n.a.</v>
      </c>
      <c r="D26" s="20">
        <f t="shared" si="2"/>
        <v>0.1320660330165082</v>
      </c>
      <c r="E26" s="20">
        <f t="shared" si="2"/>
        <v>0.08622437301768948</v>
      </c>
      <c r="F26" s="20">
        <f t="shared" si="2"/>
        <v>0.18314819832023832</v>
      </c>
      <c r="G26" s="20">
        <f t="shared" si="2"/>
        <v>0.14225437010247144</v>
      </c>
      <c r="H26" s="38">
        <f t="shared" si="2"/>
        <v>0.1399256403056881</v>
      </c>
      <c r="I26" s="1"/>
    </row>
    <row r="27" ht="15" customHeight="1">
      <c r="A27" s="1"/>
      <c r="B27" s="35" t="s">
        <v>64</v>
      </c>
      <c r="C27" s="20">
        <f>IF(AND(ISNUMBER(C24),ISNUMBER(G25)),IF(G25=0,"n.m.",C24/G25-1),"n.a.")</f>
        <v>0.02362869198312234</v>
      </c>
      <c r="D27" s="20">
        <f t="shared" si="10" ref="D27:H27">IF(AND(ISNUMBER(D24),ISNUMBER(C24)),IF(C24=0,"n.m.",D24/C24-1),"n.a.")</f>
        <v>0.06606995642444935</v>
      </c>
      <c r="E27" s="20"/>
      <c r="F27" s="20">
        <f>IF(AND(ISNUMBER(F24),ISNUMBER(D24)),IF(D24=0,"n.m.",F24/D24-1),"n.a.")</f>
        <v>-0.03513035793194874</v>
      </c>
      <c r="G27" s="20">
        <f t="shared" si="10"/>
        <v>0.08484085184337076</v>
      </c>
      <c r="H27" s="38">
        <f t="shared" si="10"/>
        <v>0.02154180599847999</v>
      </c>
      <c r="I27" s="1"/>
    </row>
    <row r="28" ht="15" customHeight="1">
      <c r="A28" s="1"/>
      <c r="B28" s="1" t="s">
        <v>205</v>
      </c>
      <c r="C28" s="18">
        <f>E28-D28-Inputs!$D$196</f>
        <v>-4284</v>
      </c>
      <c r="D28" s="42">
        <v>-4524</v>
      </c>
      <c r="E28" s="42">
        <v>-16581</v>
      </c>
      <c r="F28" s="42">
        <v>-4506</v>
      </c>
      <c r="G28" s="42">
        <v>-4919</v>
      </c>
      <c r="H28" s="43">
        <f>H30*G28/G30</f>
        <v>-4985.720429543028</v>
      </c>
      <c r="I28" s="1"/>
    </row>
    <row r="29" ht="15" customHeight="1">
      <c r="A29" s="1"/>
      <c r="B29" s="1" t="s">
        <v>206</v>
      </c>
      <c r="C29" s="18">
        <f>E29-D29-Inputs!$D$197</f>
        <v>-709</v>
      </c>
      <c r="D29" s="42">
        <v>-870</v>
      </c>
      <c r="E29" s="42">
        <v>-2999</v>
      </c>
      <c r="F29" s="42">
        <v>-788</v>
      </c>
      <c r="G29" s="42">
        <v>-763</v>
      </c>
      <c r="H29" s="43">
        <f>H30-H28</f>
        <v>-773.349194499152</v>
      </c>
      <c r="I29" s="1"/>
    </row>
    <row r="30" ht="15" customHeight="1">
      <c r="A30" s="1"/>
      <c r="B30" s="4" t="s">
        <v>207</v>
      </c>
      <c r="C30" s="49">
        <f t="shared" si="11" ref="C30:G30">C28+C29</f>
        <v>-4993</v>
      </c>
      <c r="D30" s="49">
        <f t="shared" si="11"/>
        <v>-5394</v>
      </c>
      <c r="E30" s="49">
        <f t="shared" si="11"/>
        <v>-19580</v>
      </c>
      <c r="F30" s="49">
        <f t="shared" si="11"/>
        <v>-5294</v>
      </c>
      <c r="G30" s="49">
        <f t="shared" si="11"/>
        <v>-5682</v>
      </c>
      <c r="H30" s="50">
        <f>-H24*(1-H32)</f>
        <v>-5759.06962404218</v>
      </c>
      <c r="I30" s="1"/>
    </row>
    <row r="31" ht="15" customHeight="1">
      <c r="A31" s="1"/>
      <c r="B31" s="4" t="s">
        <v>208</v>
      </c>
      <c r="C31" s="49">
        <f t="shared" si="12" ref="C31:H31">C24+C30</f>
        <v>3498</v>
      </c>
      <c r="D31" s="49">
        <f t="shared" si="12"/>
        <v>3658</v>
      </c>
      <c r="E31" s="49">
        <f t="shared" si="12"/>
        <v>13640</v>
      </c>
      <c r="F31" s="49">
        <f t="shared" si="12"/>
        <v>3440</v>
      </c>
      <c r="G31" s="49">
        <f t="shared" si="12"/>
        <v>3793</v>
      </c>
      <c r="H31" s="50">
        <f t="shared" si="12"/>
        <v>3920.0389877934176</v>
      </c>
      <c r="I31" s="1"/>
    </row>
    <row r="32" ht="15" customHeight="1">
      <c r="A32" s="1"/>
      <c r="B32" s="35" t="s">
        <v>209</v>
      </c>
      <c r="C32" s="20">
        <f t="shared" si="13" ref="C32:G32">IF(AND(ISNUMBER(C31),ISNUMBER(C24)),IF(C24=0,"n.m.",C31/C24),"n.a.")</f>
        <v>0.41196561064656695</v>
      </c>
      <c r="D32" s="20">
        <f t="shared" si="13"/>
        <v>0.4041095890410959</v>
      </c>
      <c r="E32" s="20">
        <f t="shared" si="13"/>
        <v>0.4105960264900662</v>
      </c>
      <c r="F32" s="20">
        <f t="shared" si="13"/>
        <v>0.3938630638882528</v>
      </c>
      <c r="G32" s="20">
        <f t="shared" si="13"/>
        <v>0.40031662269129287</v>
      </c>
      <c r="H32" s="45">
        <v>0.405</v>
      </c>
      <c r="I32" s="22" t="s">
        <v>210</v>
      </c>
    </row>
    <row r="33" ht="15" customHeight="1">
      <c r="A33" s="1"/>
      <c r="B33" s="41" t="s">
        <v>211</v>
      </c>
      <c r="C33" s="19" t="s">
        <v>39</v>
      </c>
      <c r="D33" s="42">
        <v>2982</v>
      </c>
      <c r="E33" s="42">
        <v>12001</v>
      </c>
      <c r="F33" s="42">
        <v>3122</v>
      </c>
      <c r="G33" s="42">
        <v>3362</v>
      </c>
      <c r="H33" s="43">
        <f t="shared" si="17" ref="H33:H66">C31</f>
        <v>3498</v>
      </c>
      <c r="I33" s="1"/>
    </row>
    <row r="34" ht="15" customHeight="1">
      <c r="A34" s="1"/>
      <c r="B34" s="46" t="s">
        <v>212</v>
      </c>
      <c r="C34" s="47" t="str">
        <f t="shared" si="14" ref="C34:H34">IF(COUNT(C33,C25)=2,(C32-C33/C25)*10000,"n.a.")</f>
        <v>n.a.</v>
      </c>
      <c r="D34" s="47">
        <f t="shared" si="14"/>
        <v>311.7312080697882</v>
      </c>
      <c r="E34" s="47">
        <f t="shared" si="14"/>
        <v>181.88479813808166</v>
      </c>
      <c r="F34" s="47">
        <f t="shared" si="14"/>
        <v>-290.5755383052261</v>
      </c>
      <c r="G34" s="47">
        <f t="shared" si="14"/>
        <v>-49.877775498162194</v>
      </c>
      <c r="H34" s="48">
        <f t="shared" si="14"/>
        <v>-69.65610646566923</v>
      </c>
      <c r="I34" s="1"/>
    </row>
    <row r="35" ht="15" customHeight="1">
      <c r="A35" s="1"/>
      <c r="B35" s="46" t="s">
        <v>213</v>
      </c>
      <c r="C35" s="47" t="s">
        <v>39</v>
      </c>
      <c r="D35" s="47">
        <f t="shared" si="15" ref="D35:H183">IF(AND(ISNUMBER(D32),ISNUMBER(C32)),(D32-C32)*10000,"n.a.")</f>
        <v>-78.56021605471054</v>
      </c>
      <c r="E35" s="47"/>
      <c r="F35" s="47">
        <f t="shared" si="19" ref="F35:F183">IF(AND(ISNUMBER(F32),ISNUMBER(D32)),(F32-D32)*10000,"n.a.")</f>
        <v>-102.46525152843078</v>
      </c>
      <c r="G35" s="47">
        <f t="shared" si="15"/>
        <v>64.53558803040049</v>
      </c>
      <c r="H35" s="48">
        <f t="shared" si="15"/>
        <v>46.83377308707159</v>
      </c>
      <c r="I35" s="1"/>
    </row>
    <row r="36" ht="15" customHeight="1">
      <c r="A36" s="1"/>
      <c r="B36" s="1" t="s">
        <v>214</v>
      </c>
      <c r="C36" s="18">
        <f>E36-D36-Inputs!$D$198</f>
        <v>-1619</v>
      </c>
      <c r="D36" s="42">
        <v>-1769</v>
      </c>
      <c r="E36" s="42">
        <v>-6593</v>
      </c>
      <c r="F36" s="42">
        <v>-1675</v>
      </c>
      <c r="G36" s="42">
        <v>-1725</v>
      </c>
      <c r="H36" s="43">
        <f>-H24*H37</f>
        <v>-1742.2395501304075</v>
      </c>
      <c r="I36" s="1"/>
    </row>
    <row r="37" ht="15" customHeight="1">
      <c r="A37" s="1"/>
      <c r="B37" s="35" t="s">
        <v>215</v>
      </c>
      <c r="C37" s="20">
        <f t="shared" si="16" ref="C37:G37">IF(AND(ISNUMBER(-C36),ISNUMBER(C24)),IF(C24=0,"n.m.",-C36/C24),"n.a.")</f>
        <v>0.19067247674007773</v>
      </c>
      <c r="D37" s="20">
        <f t="shared" si="16"/>
        <v>0.19542642509942554</v>
      </c>
      <c r="E37" s="20">
        <f t="shared" si="16"/>
        <v>0.1984647802528597</v>
      </c>
      <c r="F37" s="20">
        <f t="shared" si="16"/>
        <v>0.19177925349209984</v>
      </c>
      <c r="G37" s="20">
        <f t="shared" si="16"/>
        <v>0.1820580474934037</v>
      </c>
      <c r="H37" s="45">
        <v>0.18</v>
      </c>
      <c r="I37" s="22" t="s">
        <v>216</v>
      </c>
    </row>
    <row r="38" ht="15" customHeight="1">
      <c r="A38" s="1"/>
      <c r="B38" s="41" t="s">
        <v>217</v>
      </c>
      <c r="C38" s="19" t="s">
        <v>39</v>
      </c>
      <c r="D38" s="42">
        <v>-1565</v>
      </c>
      <c r="E38" s="42">
        <v>-5980</v>
      </c>
      <c r="F38" s="42">
        <v>-1534</v>
      </c>
      <c r="G38" s="42">
        <v>-1671</v>
      </c>
      <c r="H38" s="43">
        <f t="shared" si="17"/>
        <v>-1619</v>
      </c>
      <c r="I38" s="1"/>
    </row>
    <row r="39" ht="15" customHeight="1">
      <c r="A39" s="1"/>
      <c r="B39" s="46" t="s">
        <v>81</v>
      </c>
      <c r="C39" s="47" t="str">
        <f t="shared" si="18" ref="C39:H39">IF(COUNT(C37,C38,C25)=3,(C37-(-C38/C25))*10000,"n.a.")</f>
        <v>n.a.</v>
      </c>
      <c r="D39" s="47">
        <f t="shared" si="18"/>
        <v>-2.9643633128981217</v>
      </c>
      <c r="E39" s="47">
        <f t="shared" si="18"/>
        <v>29.313139480498517</v>
      </c>
      <c r="F39" s="47">
        <f t="shared" si="18"/>
        <v>-160.23509986632212</v>
      </c>
      <c r="G39" s="47">
        <f t="shared" si="18"/>
        <v>-193.88607117807877</v>
      </c>
      <c r="H39" s="48">
        <f t="shared" si="18"/>
        <v>-106.72476740077735</v>
      </c>
      <c r="I39" s="1"/>
    </row>
    <row r="40" ht="15" customHeight="1">
      <c r="A40" s="1"/>
      <c r="B40" s="46" t="s">
        <v>82</v>
      </c>
      <c r="C40" s="47" t="s">
        <v>39</v>
      </c>
      <c r="D40" s="47">
        <f t="shared" si="15"/>
        <v>47.539483593478096</v>
      </c>
      <c r="E40" s="47"/>
      <c r="F40" s="47">
        <f t="shared" si="19"/>
        <v>-36.47171607325694</v>
      </c>
      <c r="G40" s="47">
        <f t="shared" si="15"/>
        <v>-97.21205998696136</v>
      </c>
      <c r="H40" s="48">
        <f t="shared" si="15"/>
        <v>-20.58047493403714</v>
      </c>
      <c r="I40" s="1"/>
    </row>
    <row r="41" ht="15" customHeight="1">
      <c r="A41" s="1"/>
      <c r="B41" s="1" t="s">
        <v>218</v>
      </c>
      <c r="C41" s="18">
        <f>E41-D41-Inputs!$D$199</f>
        <v>-326</v>
      </c>
      <c r="D41" s="42">
        <v>-369</v>
      </c>
      <c r="E41" s="42">
        <v>-1318</v>
      </c>
      <c r="F41" s="42">
        <v>-333</v>
      </c>
      <c r="G41" s="42">
        <v>-371</v>
      </c>
      <c r="H41" s="43">
        <f>-H24*H42</f>
        <v>-377.4852358615883</v>
      </c>
      <c r="I41" s="1"/>
    </row>
    <row r="42" ht="15" customHeight="1">
      <c r="A42" s="1"/>
      <c r="B42" s="35" t="s">
        <v>215</v>
      </c>
      <c r="C42" s="20">
        <f t="shared" si="20" ref="C42:G42">IF(AND(ISNUMBER(-C41),ISNUMBER(C24)),IF(C24=0,"n.m.",-C41/C24),"n.a.")</f>
        <v>0.03839359321634672</v>
      </c>
      <c r="D42" s="20">
        <f t="shared" si="20"/>
        <v>0.040764471939902784</v>
      </c>
      <c r="E42" s="20">
        <f t="shared" si="20"/>
        <v>0.03967489464178206</v>
      </c>
      <c r="F42" s="20">
        <f t="shared" si="20"/>
        <v>0.03812686054499657</v>
      </c>
      <c r="G42" s="20">
        <f t="shared" si="20"/>
        <v>0.039155672823218995</v>
      </c>
      <c r="H42" s="45">
        <v>0.039</v>
      </c>
      <c r="I42" s="22" t="s">
        <v>219</v>
      </c>
    </row>
    <row r="43" ht="15" customHeight="1">
      <c r="A43" s="1"/>
      <c r="B43" s="41" t="s">
        <v>220</v>
      </c>
      <c r="C43" s="19" t="s">
        <v>39</v>
      </c>
      <c r="D43" s="42">
        <v>-358</v>
      </c>
      <c r="E43" s="42">
        <v>-1268</v>
      </c>
      <c r="F43" s="42">
        <v>-303</v>
      </c>
      <c r="G43" s="42">
        <v>-320</v>
      </c>
      <c r="H43" s="43">
        <f t="shared" si="17"/>
        <v>-326</v>
      </c>
      <c r="I43" s="1"/>
    </row>
    <row r="44" ht="15" customHeight="1">
      <c r="A44" s="1"/>
      <c r="B44" s="46" t="s">
        <v>81</v>
      </c>
      <c r="C44" s="47" t="str">
        <f t="shared" si="21" ref="C44:H44">IF(COUNT(C42,C43,C25)=3,(C42-(-C43/C25))*10000,"n.a.")</f>
        <v>n.a.</v>
      </c>
      <c r="D44" s="47">
        <f t="shared" si="21"/>
        <v>-40.079142531937656</v>
      </c>
      <c r="E44" s="47">
        <f t="shared" si="21"/>
        <v>-17.860477118130728</v>
      </c>
      <c r="F44" s="47">
        <f t="shared" si="21"/>
        <v>-29.189265045834954</v>
      </c>
      <c r="G44" s="47">
        <f t="shared" si="21"/>
        <v>5.782165242437104</v>
      </c>
      <c r="H44" s="48">
        <f t="shared" si="21"/>
        <v>6.06406783653278</v>
      </c>
      <c r="I44" s="1"/>
    </row>
    <row r="45" ht="15" customHeight="1">
      <c r="A45" s="1"/>
      <c r="B45" s="46" t="s">
        <v>82</v>
      </c>
      <c r="C45" s="47" t="s">
        <v>39</v>
      </c>
      <c r="D45" s="47">
        <f t="shared" si="15"/>
        <v>23.70878723556062</v>
      </c>
      <c r="E45" s="47"/>
      <c r="F45" s="47">
        <f t="shared" si="19"/>
        <v>-26.37611394906217</v>
      </c>
      <c r="G45" s="47">
        <f t="shared" si="15"/>
        <v>10.288122782224281</v>
      </c>
      <c r="H45" s="48">
        <f t="shared" si="15"/>
        <v>-1.556728232189955</v>
      </c>
      <c r="I45" s="1"/>
    </row>
    <row r="46" ht="15" customHeight="1">
      <c r="A46" s="1"/>
      <c r="B46" s="1" t="s">
        <v>221</v>
      </c>
      <c r="C46" s="18">
        <f>E46-D46-Inputs!$D$200</f>
        <v>49</v>
      </c>
      <c r="D46" s="42">
        <v>-15</v>
      </c>
      <c r="E46" s="42">
        <v>318</v>
      </c>
      <c r="F46" s="42">
        <v>348</v>
      </c>
      <c r="G46" s="42">
        <v>-112</v>
      </c>
      <c r="H46" s="43">
        <f>H153-H31-H36-H41</f>
        <v>38.792933642877415</v>
      </c>
      <c r="I46" s="22" t="s">
        <v>222</v>
      </c>
    </row>
    <row r="47" ht="15" customHeight="1">
      <c r="A47" s="1"/>
      <c r="B47" s="4" t="s">
        <v>192</v>
      </c>
      <c r="C47" s="49">
        <f t="shared" si="22" ref="C47:H47">C31+C36+C41+C46</f>
        <v>1602</v>
      </c>
      <c r="D47" s="49">
        <f t="shared" si="22"/>
        <v>1505</v>
      </c>
      <c r="E47" s="49">
        <f t="shared" si="22"/>
        <v>6047</v>
      </c>
      <c r="F47" s="49">
        <f t="shared" si="22"/>
        <v>1780</v>
      </c>
      <c r="G47" s="49">
        <f t="shared" si="22"/>
        <v>1585</v>
      </c>
      <c r="H47" s="50">
        <f t="shared" si="22"/>
        <v>1839.1071354442995</v>
      </c>
      <c r="I47" s="1"/>
    </row>
    <row r="48" ht="15" customHeight="1">
      <c r="A48" s="1"/>
      <c r="B48" s="35" t="s">
        <v>223</v>
      </c>
      <c r="C48" s="20">
        <f t="shared" si="23" ref="C48:H48">IF(AND(ISNUMBER(C47),ISNUMBER(C24)),IF(C24=0,"n.m.",C47/C24),"n.a.")</f>
        <v>0.18867035684842776</v>
      </c>
      <c r="D48" s="20">
        <f t="shared" si="23"/>
        <v>0.16626159964648696</v>
      </c>
      <c r="E48" s="20">
        <f t="shared" si="23"/>
        <v>0.18202889825406382</v>
      </c>
      <c r="F48" s="20">
        <f t="shared" si="23"/>
        <v>0.2038012365468285</v>
      </c>
      <c r="G48" s="20">
        <f t="shared" si="23"/>
        <v>0.16728232189973616</v>
      </c>
      <c r="H48" s="38">
        <f t="shared" si="23"/>
        <v>0.1900079035372578</v>
      </c>
      <c r="I48" s="1"/>
    </row>
    <row r="49" ht="15" customHeight="1">
      <c r="A49" s="1"/>
      <c r="B49" s="46" t="s">
        <v>81</v>
      </c>
      <c r="C49" s="47" t="str">
        <f t="shared" si="24" ref="C49:H49">IF(COUNT(C48,C51,C25)=3,(C48-(C51/C25))*10000,"n.a.")</f>
        <v>n.a.</v>
      </c>
      <c r="D49" s="47">
        <f t="shared" si="24"/>
        <v>294.4319044188465</v>
      </c>
      <c r="E49" s="47">
        <f t="shared" si="24"/>
        <v>272.0432250936905</v>
      </c>
      <c r="F49" s="47">
        <f t="shared" si="24"/>
        <v>41.26351691775665</v>
      </c>
      <c r="G49" s="47">
        <f t="shared" si="24"/>
        <v>-94.50649769944364</v>
      </c>
      <c r="H49" s="48">
        <f t="shared" si="24"/>
        <v>13.375466888300435</v>
      </c>
      <c r="I49" s="1"/>
    </row>
    <row r="50" ht="15" customHeight="1">
      <c r="A50" s="1"/>
      <c r="B50" s="46" t="s">
        <v>82</v>
      </c>
      <c r="C50" s="47" t="s">
        <v>39</v>
      </c>
      <c r="D50" s="47">
        <f t="shared" si="5"/>
        <v>-224.087572019408</v>
      </c>
      <c r="E50" s="47"/>
      <c r="F50" s="47">
        <f t="shared" si="25"/>
        <v>375.3963690034154</v>
      </c>
      <c r="G50" s="47">
        <f t="shared" si="5"/>
        <v>-365.1891464709234</v>
      </c>
      <c r="H50" s="48">
        <f t="shared" si="5"/>
        <v>227.25581637521643</v>
      </c>
      <c r="I50" s="1"/>
    </row>
    <row r="51" ht="15" customHeight="1">
      <c r="A51" s="1"/>
      <c r="B51" s="41" t="s">
        <v>224</v>
      </c>
      <c r="C51" s="19" t="s">
        <v>39</v>
      </c>
      <c r="D51" s="42">
        <v>1094</v>
      </c>
      <c r="E51" s="42">
        <v>4735</v>
      </c>
      <c r="F51" s="42">
        <v>1474</v>
      </c>
      <c r="G51" s="42">
        <v>1466</v>
      </c>
      <c r="H51" s="43">
        <f t="shared" si="33" ref="H51:H82">C47</f>
        <v>1602</v>
      </c>
      <c r="I51" s="1"/>
    </row>
    <row r="52" ht="15" customHeight="1">
      <c r="A52" s="1"/>
      <c r="B52" s="35" t="s">
        <v>63</v>
      </c>
      <c r="C52" s="20" t="str">
        <f t="shared" si="26" ref="C52:H83">IF(AND(ISNUMBER(C47),ISNUMBER(C51)),IF(C51=0,"n.m.",C47/C51-1),"n.a.")</f>
        <v>n.a.</v>
      </c>
      <c r="D52" s="20">
        <f t="shared" si="26"/>
        <v>0.3756855575868372</v>
      </c>
      <c r="E52" s="20">
        <f t="shared" si="26"/>
        <v>0.2770855332629356</v>
      </c>
      <c r="F52" s="20">
        <f t="shared" si="26"/>
        <v>0.2075983717774763</v>
      </c>
      <c r="G52" s="20">
        <f t="shared" si="26"/>
        <v>0.0811732605729878</v>
      </c>
      <c r="H52" s="38">
        <f t="shared" si="26"/>
        <v>0.1480069509639823</v>
      </c>
      <c r="I52" s="1"/>
    </row>
    <row r="53" ht="15" customHeight="1">
      <c r="A53" s="1"/>
      <c r="B53" s="1" t="s">
        <v>225</v>
      </c>
      <c r="C53" s="18">
        <f>E53-D53-Inputs!$D$201</f>
        <v>47</v>
      </c>
      <c r="D53" s="42">
        <v>61</v>
      </c>
      <c r="E53" s="42">
        <v>203</v>
      </c>
      <c r="F53" s="42">
        <v>49</v>
      </c>
      <c r="G53" s="42">
        <v>41</v>
      </c>
      <c r="H53" s="56">
        <v>52</v>
      </c>
      <c r="I53" s="22" t="s">
        <v>226</v>
      </c>
    </row>
    <row r="54" ht="15" customHeight="1">
      <c r="A54" s="1"/>
      <c r="B54" s="41" t="s">
        <v>107</v>
      </c>
      <c r="C54" s="19" t="s">
        <v>39</v>
      </c>
      <c r="D54" s="19" t="s">
        <v>39</v>
      </c>
      <c r="E54" s="19" t="s">
        <v>39</v>
      </c>
      <c r="F54" s="19" t="s">
        <v>39</v>
      </c>
      <c r="G54" s="19" t="s">
        <v>39</v>
      </c>
      <c r="H54" s="43">
        <f t="shared" si="28" ref="H54:H150">IF(AND(ISNUMBER(H53),ISNUMBER(C53)),(H53-C53),"n.a.")</f>
        <v>5</v>
      </c>
      <c r="I54" s="1"/>
    </row>
    <row r="55" ht="15" customHeight="1">
      <c r="A55" s="1"/>
      <c r="B55" s="41" t="s">
        <v>77</v>
      </c>
      <c r="C55" s="19" t="s">
        <v>39</v>
      </c>
      <c r="D55" s="19">
        <f t="shared" si="27" ref="D55:H151">IF(AND(ISNUMBER(D53),ISNUMBER(C53)),(D53-C53),"n.a.")</f>
        <v>14</v>
      </c>
      <c r="E55" s="19"/>
      <c r="F55" s="19">
        <f t="shared" si="29" ref="F55:F151">IF(AND(ISNUMBER(F53),ISNUMBER(D53)),(F53-D53),"n.a.")</f>
        <v>-12</v>
      </c>
      <c r="G55" s="19">
        <f t="shared" si="27"/>
        <v>-8</v>
      </c>
      <c r="H55" s="43">
        <f t="shared" si="27"/>
        <v>11</v>
      </c>
      <c r="I55" s="1"/>
    </row>
    <row r="56" ht="15" customHeight="1">
      <c r="A56" s="1"/>
      <c r="B56" s="1" t="s">
        <v>227</v>
      </c>
      <c r="C56" s="18">
        <f>E56-D56-Inputs!$D$202</f>
        <v>-24</v>
      </c>
      <c r="D56" s="42">
        <v>-13</v>
      </c>
      <c r="E56" s="42">
        <v>-86</v>
      </c>
      <c r="F56" s="42">
        <v>-29</v>
      </c>
      <c r="G56" s="42">
        <v>-9</v>
      </c>
      <c r="H56" s="56">
        <v>-12</v>
      </c>
      <c r="I56" s="22" t="s">
        <v>228</v>
      </c>
    </row>
    <row r="57" ht="15" customHeight="1">
      <c r="A57" s="1"/>
      <c r="B57" s="41" t="s">
        <v>107</v>
      </c>
      <c r="C57" s="19" t="s">
        <v>39</v>
      </c>
      <c r="D57" s="19" t="s">
        <v>39</v>
      </c>
      <c r="E57" s="19" t="s">
        <v>39</v>
      </c>
      <c r="F57" s="19" t="s">
        <v>39</v>
      </c>
      <c r="G57" s="19" t="s">
        <v>39</v>
      </c>
      <c r="H57" s="43">
        <f t="shared" si="28"/>
        <v>12</v>
      </c>
      <c r="I57" s="1"/>
    </row>
    <row r="58" ht="15" customHeight="1">
      <c r="A58" s="1"/>
      <c r="B58" s="41" t="s">
        <v>77</v>
      </c>
      <c r="C58" s="19" t="s">
        <v>39</v>
      </c>
      <c r="D58" s="19">
        <f t="shared" si="27"/>
        <v>11</v>
      </c>
      <c r="E58" s="19"/>
      <c r="F58" s="19">
        <f t="shared" si="29"/>
        <v>-16</v>
      </c>
      <c r="G58" s="19">
        <f t="shared" si="27"/>
        <v>20</v>
      </c>
      <c r="H58" s="43">
        <f t="shared" si="27"/>
        <v>-3</v>
      </c>
      <c r="I58" s="1"/>
    </row>
    <row r="59" ht="15" customHeight="1">
      <c r="A59" s="1"/>
      <c r="B59" s="70" t="s">
        <v>229</v>
      </c>
      <c r="C59" s="49">
        <f t="shared" si="30" ref="C59:H59">C53+C56</f>
        <v>23</v>
      </c>
      <c r="D59" s="49">
        <f t="shared" si="30"/>
        <v>48</v>
      </c>
      <c r="E59" s="49">
        <f t="shared" si="30"/>
        <v>117</v>
      </c>
      <c r="F59" s="49">
        <f t="shared" si="30"/>
        <v>20</v>
      </c>
      <c r="G59" s="49">
        <f t="shared" si="30"/>
        <v>32</v>
      </c>
      <c r="H59" s="50">
        <f t="shared" si="30"/>
        <v>40</v>
      </c>
      <c r="I59" s="1"/>
    </row>
    <row r="60" ht="15" customHeight="1">
      <c r="A60" s="1"/>
      <c r="B60" s="23" t="s">
        <v>230</v>
      </c>
      <c r="C60" s="18">
        <f>E60-D60-Inputs!$D$203</f>
        <v>12</v>
      </c>
      <c r="D60" s="42">
        <v>13</v>
      </c>
      <c r="E60" s="42">
        <v>55</v>
      </c>
      <c r="F60" s="42">
        <v>18</v>
      </c>
      <c r="G60" s="42">
        <v>17</v>
      </c>
      <c r="H60" s="56">
        <v>17</v>
      </c>
      <c r="I60" s="22" t="s">
        <v>231</v>
      </c>
    </row>
    <row r="61" ht="15" customHeight="1">
      <c r="A61" s="1"/>
      <c r="B61" s="41" t="s">
        <v>107</v>
      </c>
      <c r="C61" s="19" t="s">
        <v>39</v>
      </c>
      <c r="D61" s="19" t="s">
        <v>39</v>
      </c>
      <c r="E61" s="19" t="s">
        <v>39</v>
      </c>
      <c r="F61" s="19" t="s">
        <v>39</v>
      </c>
      <c r="G61" s="19" t="s">
        <v>39</v>
      </c>
      <c r="H61" s="43">
        <f t="shared" si="28"/>
        <v>5</v>
      </c>
      <c r="I61" s="1"/>
    </row>
    <row r="62" ht="15" customHeight="1">
      <c r="A62" s="1"/>
      <c r="B62" s="41" t="s">
        <v>77</v>
      </c>
      <c r="C62" s="19" t="s">
        <v>39</v>
      </c>
      <c r="D62" s="19">
        <f t="shared" si="27"/>
        <v>1</v>
      </c>
      <c r="E62" s="19"/>
      <c r="F62" s="19">
        <f t="shared" si="29"/>
        <v>5</v>
      </c>
      <c r="G62" s="19">
        <f t="shared" si="27"/>
        <v>-1</v>
      </c>
      <c r="H62" s="43">
        <f t="shared" si="27"/>
        <v>0</v>
      </c>
      <c r="I62" s="1"/>
    </row>
    <row r="63" ht="15" customHeight="1">
      <c r="A63" s="1"/>
      <c r="B63" s="4" t="s">
        <v>232</v>
      </c>
      <c r="C63" s="49">
        <f t="shared" si="31" ref="C63:H63">C47+C59+C60</f>
        <v>1637</v>
      </c>
      <c r="D63" s="49">
        <f t="shared" si="31"/>
        <v>1566</v>
      </c>
      <c r="E63" s="49">
        <f t="shared" si="31"/>
        <v>6219</v>
      </c>
      <c r="F63" s="49">
        <f t="shared" si="31"/>
        <v>1818</v>
      </c>
      <c r="G63" s="49">
        <f t="shared" si="31"/>
        <v>1634</v>
      </c>
      <c r="H63" s="50">
        <f t="shared" si="31"/>
        <v>1896.1071354442995</v>
      </c>
      <c r="I63" s="1"/>
    </row>
    <row r="64" ht="15" customHeight="1">
      <c r="A64" s="1"/>
      <c r="B64" s="1" t="s">
        <v>233</v>
      </c>
      <c r="C64" s="18">
        <f>E64-D64-Inputs!$D$204</f>
        <v>-430</v>
      </c>
      <c r="D64" s="42">
        <v>-292</v>
      </c>
      <c r="E64" s="42">
        <v>-1570</v>
      </c>
      <c r="F64" s="42">
        <v>-467</v>
      </c>
      <c r="G64" s="42">
        <v>-416</v>
      </c>
      <c r="H64" s="43">
        <f>-H63*H65</f>
        <v>-479.7151052674078</v>
      </c>
      <c r="I64" s="1"/>
    </row>
    <row r="65" ht="15" customHeight="1">
      <c r="A65" s="1"/>
      <c r="B65" s="35" t="s">
        <v>234</v>
      </c>
      <c r="C65" s="20">
        <f t="shared" si="32" ref="C65:G65">IF(AND(ISNUMBER(-C64),ISNUMBER(C63)),IF(C63=0,"n.m.",-C64/C63),"n.a.")</f>
        <v>0.2626756261453879</v>
      </c>
      <c r="D65" s="20">
        <f t="shared" si="32"/>
        <v>0.18646232439335889</v>
      </c>
      <c r="E65" s="20">
        <f t="shared" si="32"/>
        <v>0.25245216272712656</v>
      </c>
      <c r="F65" s="20">
        <f t="shared" si="32"/>
        <v>0.2568756875687569</v>
      </c>
      <c r="G65" s="20">
        <f t="shared" si="32"/>
        <v>0.25458996328029376</v>
      </c>
      <c r="H65" s="45">
        <v>0.253</v>
      </c>
      <c r="I65" s="22" t="s">
        <v>235</v>
      </c>
    </row>
    <row r="66" ht="15" customHeight="1">
      <c r="A66" s="1"/>
      <c r="B66" s="41" t="s">
        <v>236</v>
      </c>
      <c r="C66" s="19" t="s">
        <v>39</v>
      </c>
      <c r="D66" s="42">
        <v>-217</v>
      </c>
      <c r="E66" s="42">
        <v>-1197</v>
      </c>
      <c r="F66" s="42">
        <v>-444</v>
      </c>
      <c r="G66" s="42">
        <v>-404</v>
      </c>
      <c r="H66" s="43">
        <f t="shared" si="17"/>
        <v>-430</v>
      </c>
      <c r="I66" s="1"/>
    </row>
    <row r="67" ht="15" customHeight="1">
      <c r="A67" s="1"/>
      <c r="B67" s="41" t="s">
        <v>237</v>
      </c>
      <c r="C67" s="19" t="s">
        <v>39</v>
      </c>
      <c r="D67" s="42">
        <v>1165</v>
      </c>
      <c r="E67" s="42">
        <v>4923</v>
      </c>
      <c r="F67" s="42">
        <v>1499</v>
      </c>
      <c r="G67" s="42">
        <v>1517</v>
      </c>
      <c r="H67" s="43">
        <f t="shared" si="33"/>
        <v>1637</v>
      </c>
      <c r="I67" s="1"/>
    </row>
    <row r="68" ht="15" customHeight="1">
      <c r="A68" s="1"/>
      <c r="B68" s="46" t="s">
        <v>81</v>
      </c>
      <c r="C68" s="47" t="str">
        <f t="shared" si="34" ref="C68:H68">IF(COUNT(C65,C66,C67)=3,(C65-(-C66/C67))*10000,"n.a.")</f>
        <v>n.a.</v>
      </c>
      <c r="D68" s="47">
        <f t="shared" si="34"/>
        <v>1.96229972758033</v>
      </c>
      <c r="E68" s="47">
        <f t="shared" si="34"/>
        <v>93.07738595499492</v>
      </c>
      <c r="F68" s="47">
        <f t="shared" si="34"/>
        <v>-393.2177740789422</v>
      </c>
      <c r="G68" s="47">
        <f t="shared" si="34"/>
        <v>-117.25132303094522</v>
      </c>
      <c r="H68" s="48">
        <f t="shared" si="34"/>
        <v>-96.75626145387916</v>
      </c>
      <c r="I68" s="1"/>
    </row>
    <row r="69" ht="15" customHeight="1">
      <c r="A69" s="1"/>
      <c r="B69" s="46" t="s">
        <v>82</v>
      </c>
      <c r="C69" s="47" t="s">
        <v>39</v>
      </c>
      <c r="D69" s="47">
        <f t="shared" si="35" ref="D69:H69">IF(AND(ISNUMBER(D65),ISNUMBER(C65)),(D65-C65)*10000,"n.a.")</f>
        <v>-762.1330175202903</v>
      </c>
      <c r="E69" s="47"/>
      <c r="F69" s="47">
        <f>IF(AND(ISNUMBER(F65),ISNUMBER(D65)),(F65-D65)*10000,"n.a.")</f>
        <v>704.1336317539801</v>
      </c>
      <c r="G69" s="47">
        <f t="shared" si="35"/>
        <v>-22.85724288463131</v>
      </c>
      <c r="H69" s="48">
        <f t="shared" si="35"/>
        <v>-15.899632802937603</v>
      </c>
      <c r="I69" s="1"/>
    </row>
    <row r="70" ht="15" customHeight="1">
      <c r="A70" s="1"/>
      <c r="B70" s="4" t="s">
        <v>238</v>
      </c>
      <c r="C70" s="49">
        <f t="shared" si="36" ref="C70:H70">C63+C64</f>
        <v>1207</v>
      </c>
      <c r="D70" s="49">
        <f t="shared" si="36"/>
        <v>1274</v>
      </c>
      <c r="E70" s="49">
        <f t="shared" si="36"/>
        <v>4649</v>
      </c>
      <c r="F70" s="49">
        <f t="shared" si="36"/>
        <v>1351</v>
      </c>
      <c r="G70" s="49">
        <f t="shared" si="36"/>
        <v>1218</v>
      </c>
      <c r="H70" s="50">
        <f t="shared" si="36"/>
        <v>1416.3920301768917</v>
      </c>
      <c r="I70" s="1"/>
    </row>
    <row r="71" ht="15" customHeight="1">
      <c r="A71" s="1"/>
      <c r="B71" s="1" t="s">
        <v>239</v>
      </c>
      <c r="C71" s="18">
        <f>E71-D71-Inputs!$D$205</f>
        <v>37</v>
      </c>
      <c r="D71" s="42">
        <v>6</v>
      </c>
      <c r="E71" s="42">
        <v>174</v>
      </c>
      <c r="F71" s="42">
        <v>-18</v>
      </c>
      <c r="G71" s="42">
        <v>38</v>
      </c>
      <c r="H71" s="56">
        <v>20</v>
      </c>
      <c r="I71" s="22" t="s">
        <v>240</v>
      </c>
    </row>
    <row r="72" ht="15" customHeight="1">
      <c r="A72" s="1"/>
      <c r="B72" s="41" t="s">
        <v>107</v>
      </c>
      <c r="C72" s="19" t="s">
        <v>39</v>
      </c>
      <c r="D72" s="19" t="s">
        <v>39</v>
      </c>
      <c r="E72" s="19" t="s">
        <v>39</v>
      </c>
      <c r="F72" s="19" t="s">
        <v>39</v>
      </c>
      <c r="G72" s="19" t="s">
        <v>39</v>
      </c>
      <c r="H72" s="43">
        <f t="shared" si="28"/>
        <v>-17</v>
      </c>
      <c r="I72" s="1"/>
    </row>
    <row r="73" ht="15" customHeight="1">
      <c r="A73" s="1"/>
      <c r="B73" s="41" t="s">
        <v>77</v>
      </c>
      <c r="C73" s="19" t="s">
        <v>39</v>
      </c>
      <c r="D73" s="19">
        <f t="shared" si="27"/>
        <v>-31</v>
      </c>
      <c r="E73" s="19"/>
      <c r="F73" s="19">
        <f t="shared" si="29"/>
        <v>-24</v>
      </c>
      <c r="G73" s="19">
        <f t="shared" si="27"/>
        <v>56</v>
      </c>
      <c r="H73" s="43">
        <f t="shared" si="27"/>
        <v>-18</v>
      </c>
      <c r="I73" s="1"/>
    </row>
    <row r="74" ht="15" customHeight="1">
      <c r="A74" s="1"/>
      <c r="B74" s="4" t="s">
        <v>241</v>
      </c>
      <c r="C74" s="49">
        <f t="shared" si="37" ref="C74:H78">C70+C71</f>
        <v>1244</v>
      </c>
      <c r="D74" s="49">
        <f t="shared" si="37"/>
        <v>1280</v>
      </c>
      <c r="E74" s="49">
        <f t="shared" si="37"/>
        <v>4823</v>
      </c>
      <c r="F74" s="49">
        <f t="shared" si="37"/>
        <v>1333</v>
      </c>
      <c r="G74" s="49">
        <f t="shared" si="37"/>
        <v>1256</v>
      </c>
      <c r="H74" s="50">
        <f t="shared" si="37"/>
        <v>1436.3920301768917</v>
      </c>
      <c r="I74" s="1"/>
    </row>
    <row r="75" ht="15" customHeight="1">
      <c r="A75" s="1"/>
      <c r="B75" s="1" t="s">
        <v>242</v>
      </c>
      <c r="C75" s="18">
        <f>E75-D75-Inputs!$D$206</f>
        <v>-36</v>
      </c>
      <c r="D75" s="42">
        <v>-7</v>
      </c>
      <c r="E75" s="42">
        <v>-89</v>
      </c>
      <c r="F75" s="42">
        <v>-9</v>
      </c>
      <c r="G75" s="42">
        <v>-25</v>
      </c>
      <c r="H75" s="56">
        <v>-25</v>
      </c>
      <c r="I75" s="22" t="s">
        <v>243</v>
      </c>
    </row>
    <row r="76" ht="15" customHeight="1">
      <c r="A76" s="1"/>
      <c r="B76" s="41" t="s">
        <v>107</v>
      </c>
      <c r="C76" s="19" t="s">
        <v>39</v>
      </c>
      <c r="D76" s="19" t="s">
        <v>39</v>
      </c>
      <c r="E76" s="19" t="s">
        <v>39</v>
      </c>
      <c r="F76" s="19" t="s">
        <v>39</v>
      </c>
      <c r="G76" s="19" t="s">
        <v>39</v>
      </c>
      <c r="H76" s="43">
        <f t="shared" si="28"/>
        <v>11</v>
      </c>
      <c r="I76" s="1"/>
    </row>
    <row r="77" ht="15" customHeight="1">
      <c r="A77" s="1"/>
      <c r="B77" s="41" t="s">
        <v>77</v>
      </c>
      <c r="C77" s="19" t="s">
        <v>39</v>
      </c>
      <c r="D77" s="19">
        <f t="shared" si="27"/>
        <v>29</v>
      </c>
      <c r="E77" s="19"/>
      <c r="F77" s="19">
        <f t="shared" si="29"/>
        <v>-2</v>
      </c>
      <c r="G77" s="19">
        <f t="shared" si="27"/>
        <v>-16</v>
      </c>
      <c r="H77" s="43">
        <f t="shared" si="27"/>
        <v>0</v>
      </c>
      <c r="I77" s="1"/>
    </row>
    <row r="78" ht="15" customHeight="1">
      <c r="A78" s="1"/>
      <c r="B78" s="4" t="s">
        <v>244</v>
      </c>
      <c r="C78" s="49">
        <f t="shared" si="37"/>
        <v>1208</v>
      </c>
      <c r="D78" s="49">
        <f t="shared" si="37"/>
        <v>1273</v>
      </c>
      <c r="E78" s="49">
        <f t="shared" si="37"/>
        <v>4734</v>
      </c>
      <c r="F78" s="49">
        <f t="shared" si="37"/>
        <v>1324</v>
      </c>
      <c r="G78" s="49">
        <f t="shared" si="37"/>
        <v>1231</v>
      </c>
      <c r="H78" s="50">
        <f t="shared" si="37"/>
        <v>1411.3920301768917</v>
      </c>
      <c r="I78" s="1"/>
    </row>
    <row r="79" ht="15" customHeight="1">
      <c r="A79" s="1"/>
      <c r="B79" s="35" t="s">
        <v>245</v>
      </c>
      <c r="C79" s="20">
        <f t="shared" si="38" ref="C79:H79">IF(AND(ISNUMBER(C78),ISNUMBER(C24)),IF(C24=0,"n.m.",C78/C24),"n.a.")</f>
        <v>0.1422682840654811</v>
      </c>
      <c r="D79" s="20">
        <f t="shared" si="38"/>
        <v>0.14063190455148034</v>
      </c>
      <c r="E79" s="20">
        <f t="shared" si="38"/>
        <v>0.14250451535219746</v>
      </c>
      <c r="F79" s="20">
        <f t="shared" si="38"/>
        <v>0.15159148156629265</v>
      </c>
      <c r="G79" s="20">
        <f t="shared" si="38"/>
        <v>0.1299208443271768</v>
      </c>
      <c r="H79" s="38">
        <f t="shared" si="38"/>
        <v>0.14581838956234502</v>
      </c>
      <c r="I79" s="1"/>
    </row>
    <row r="80" ht="15" customHeight="1">
      <c r="A80" s="1"/>
      <c r="B80" s="46" t="s">
        <v>81</v>
      </c>
      <c r="C80" s="47" t="str">
        <f t="shared" si="39" ref="C80:H80">IF(COUNT(C79,C82,C25)=3,(C79-(C82/C25))*10000,"n.a.")</f>
        <v>n.a.</v>
      </c>
      <c r="D80" s="47">
        <f t="shared" si="39"/>
        <v>171.95186192300747</v>
      </c>
      <c r="E80" s="47">
        <f t="shared" si="39"/>
        <v>138.38262858982293</v>
      </c>
      <c r="F80" s="47">
        <f t="shared" si="39"/>
        <v>23.094441780509843</v>
      </c>
      <c r="G80" s="47">
        <f t="shared" si="39"/>
        <v>-88.3744379819995</v>
      </c>
      <c r="H80" s="48">
        <f t="shared" si="39"/>
        <v>35.501054968639366</v>
      </c>
      <c r="I80" s="1"/>
    </row>
    <row r="81" ht="15" customHeight="1">
      <c r="A81" s="1"/>
      <c r="B81" s="46" t="s">
        <v>82</v>
      </c>
      <c r="C81" s="47" t="s">
        <v>39</v>
      </c>
      <c r="D81" s="47">
        <f t="shared" si="5"/>
        <v>-16.363795140007518</v>
      </c>
      <c r="E81" s="47"/>
      <c r="F81" s="47">
        <f t="shared" si="25"/>
        <v>109.59577014812317</v>
      </c>
      <c r="G81" s="47">
        <f t="shared" si="5"/>
        <v>-216.7063723911586</v>
      </c>
      <c r="H81" s="48">
        <f t="shared" si="5"/>
        <v>158.97545235168232</v>
      </c>
      <c r="I81" s="1"/>
    </row>
    <row r="82" ht="15" customHeight="1">
      <c r="A82" s="1"/>
      <c r="B82" s="41" t="s">
        <v>246</v>
      </c>
      <c r="C82" s="42">
        <v>947</v>
      </c>
      <c r="D82" s="42">
        <v>987</v>
      </c>
      <c r="E82" s="42">
        <v>3935</v>
      </c>
      <c r="F82" s="42">
        <v>1102</v>
      </c>
      <c r="G82" s="42">
        <v>1151</v>
      </c>
      <c r="H82" s="43">
        <f t="shared" si="33"/>
        <v>1208</v>
      </c>
      <c r="I82" s="1"/>
    </row>
    <row r="83" ht="15" customHeight="1">
      <c r="A83" s="1"/>
      <c r="B83" s="35" t="s">
        <v>63</v>
      </c>
      <c r="C83" s="20">
        <f t="shared" si="26"/>
        <v>0.2756071805702218</v>
      </c>
      <c r="D83" s="20">
        <f t="shared" si="26"/>
        <v>0.28976697061803436</v>
      </c>
      <c r="E83" s="20">
        <f t="shared" si="26"/>
        <v>0.20304955527318924</v>
      </c>
      <c r="F83" s="20">
        <f t="shared" si="26"/>
        <v>0.20145190562613435</v>
      </c>
      <c r="G83" s="20">
        <f t="shared" si="26"/>
        <v>0.06950477845351877</v>
      </c>
      <c r="H83" s="38">
        <f t="shared" si="26"/>
        <v>0.16837088590802285</v>
      </c>
      <c r="I83" s="1"/>
    </row>
    <row r="84" ht="15" customHeight="1">
      <c r="A84" s="1"/>
      <c r="B84" s="41" t="s">
        <v>247</v>
      </c>
      <c r="C84" s="18">
        <f>E84-D84-Inputs!$D$207</f>
        <v>1172</v>
      </c>
      <c r="D84" s="42">
        <v>1267</v>
      </c>
      <c r="E84" s="42">
        <v>4561</v>
      </c>
      <c r="F84" s="42">
        <v>1337</v>
      </c>
      <c r="G84" s="42">
        <v>1192</v>
      </c>
      <c r="H84" s="43">
        <f>H70+H75</f>
        <v>1391.3920301768917</v>
      </c>
      <c r="I84" s="22" t="s">
        <v>248</v>
      </c>
    </row>
    <row r="85" ht="15" customHeight="1">
      <c r="A85" s="1"/>
      <c r="B85" s="41" t="s">
        <v>249</v>
      </c>
      <c r="C85" s="19">
        <f t="shared" si="40" ref="C85:H85">C78-C84</f>
        <v>36</v>
      </c>
      <c r="D85" s="19">
        <f t="shared" si="40"/>
        <v>6</v>
      </c>
      <c r="E85" s="19">
        <f t="shared" si="40"/>
        <v>173</v>
      </c>
      <c r="F85" s="19">
        <f t="shared" si="40"/>
        <v>-13</v>
      </c>
      <c r="G85" s="19">
        <f t="shared" si="40"/>
        <v>39</v>
      </c>
      <c r="H85" s="43">
        <f t="shared" si="40"/>
        <v>20</v>
      </c>
      <c r="I85" s="1"/>
    </row>
    <row r="86" ht="15" customHeight="1">
      <c r="A86" s="1"/>
      <c r="B86" s="1"/>
      <c r="C86" s="1"/>
      <c r="D86" s="1"/>
      <c r="E86" s="1"/>
      <c r="F86" s="1"/>
      <c r="G86" s="1"/>
      <c r="H86" s="32"/>
      <c r="I86" s="1"/>
    </row>
    <row r="87" ht="15" customHeight="1">
      <c r="A87" s="1"/>
      <c r="B87" s="4" t="s">
        <v>250</v>
      </c>
      <c r="C87" s="1"/>
      <c r="D87" s="1"/>
      <c r="E87" s="1"/>
      <c r="F87" s="1"/>
      <c r="G87" s="1"/>
      <c r="H87" s="32"/>
      <c r="I87" s="1"/>
    </row>
    <row r="88" ht="15" customHeight="1">
      <c r="A88" s="1"/>
      <c r="B88" s="1" t="s">
        <v>251</v>
      </c>
      <c r="C88" s="18">
        <f>'Share Count'!C32</f>
        <v>1823</v>
      </c>
      <c r="D88" s="18">
        <f>'Share Count'!D32</f>
        <v>1820</v>
      </c>
      <c r="E88" s="18">
        <f>'Share Count'!E32</f>
        <v>1827</v>
      </c>
      <c r="F88" s="18">
        <f>'Share Count'!F32</f>
        <v>1817</v>
      </c>
      <c r="G88" s="18">
        <f>'Share Count'!G32</f>
        <v>1815</v>
      </c>
      <c r="H88" s="55">
        <f>'Share Count'!H32</f>
        <v>1812.2867474999998</v>
      </c>
      <c r="I88" s="1"/>
    </row>
    <row r="89" ht="15" customHeight="1">
      <c r="A89" s="1"/>
      <c r="B89" s="1" t="s">
        <v>252</v>
      </c>
      <c r="C89" s="18">
        <f>'Share Count'!C38</f>
        <v>1827</v>
      </c>
      <c r="D89" s="18">
        <f>'Share Count'!D38</f>
        <v>1823</v>
      </c>
      <c r="E89" s="18">
        <f>'Share Count'!E38</f>
        <v>1831</v>
      </c>
      <c r="F89" s="18">
        <f>'Share Count'!F38</f>
        <v>1821</v>
      </c>
      <c r="G89" s="18">
        <f>'Share Count'!G38</f>
        <v>1818</v>
      </c>
      <c r="H89" s="55">
        <f>'Share Count'!H38</f>
        <v>1815.2867474999998</v>
      </c>
      <c r="I89" s="1"/>
    </row>
    <row r="90" ht="15" customHeight="1">
      <c r="A90" s="1"/>
      <c r="B90" s="1" t="s">
        <v>253</v>
      </c>
      <c r="C90" s="29">
        <f t="shared" si="41" ref="C90:H90">C78/C88</f>
        <v>0.6626439934174437</v>
      </c>
      <c r="D90" s="29">
        <f t="shared" si="41"/>
        <v>0.6994505494505494</v>
      </c>
      <c r="E90" s="29">
        <f t="shared" si="41"/>
        <v>2.5911330049261085</v>
      </c>
      <c r="F90" s="29">
        <f t="shared" si="41"/>
        <v>0.728673637864612</v>
      </c>
      <c r="G90" s="29">
        <f t="shared" si="41"/>
        <v>0.6782369146005509</v>
      </c>
      <c r="H90" s="71">
        <f t="shared" si="41"/>
        <v>0.7787906809581147</v>
      </c>
      <c r="I90" s="1"/>
    </row>
    <row r="91" ht="15" customHeight="1">
      <c r="A91" s="1"/>
      <c r="B91" s="4" t="s">
        <v>254</v>
      </c>
      <c r="C91" s="25">
        <f t="shared" si="42" ref="C91:H91">C78/C89</f>
        <v>0.6611932129173509</v>
      </c>
      <c r="D91" s="25">
        <f t="shared" si="42"/>
        <v>0.6982995063082831</v>
      </c>
      <c r="E91" s="25">
        <f t="shared" si="42"/>
        <v>2.5854724194429273</v>
      </c>
      <c r="F91" s="25">
        <f t="shared" si="42"/>
        <v>0.7270730367929709</v>
      </c>
      <c r="G91" s="25">
        <f t="shared" si="42"/>
        <v>0.6771177117711771</v>
      </c>
      <c r="H91" s="72">
        <f t="shared" si="42"/>
        <v>0.7775036269727914</v>
      </c>
      <c r="I91" s="1"/>
    </row>
    <row r="92" ht="15" customHeight="1">
      <c r="A92" s="1"/>
      <c r="B92" s="41" t="s">
        <v>255</v>
      </c>
      <c r="C92" s="73">
        <v>0.66</v>
      </c>
      <c r="D92" s="73">
        <v>0.7</v>
      </c>
      <c r="E92" s="73">
        <v>2.59</v>
      </c>
      <c r="F92" s="73">
        <v>0.73</v>
      </c>
      <c r="G92" s="73">
        <v>0.68</v>
      </c>
      <c r="H92" s="71" t="s">
        <v>39</v>
      </c>
      <c r="I92" s="1"/>
    </row>
    <row r="93" ht="15" customHeight="1">
      <c r="A93" s="1"/>
      <c r="B93" s="44" t="s">
        <v>256</v>
      </c>
      <c r="C93" s="74">
        <f t="shared" si="43" ref="C93:G93">ROUND(C91,2)-C92</f>
        <v>0</v>
      </c>
      <c r="D93" s="74">
        <f t="shared" si="43"/>
        <v>0</v>
      </c>
      <c r="E93" s="74">
        <f t="shared" si="43"/>
        <v>0</v>
      </c>
      <c r="F93" s="74">
        <f t="shared" si="43"/>
        <v>0</v>
      </c>
      <c r="G93" s="74">
        <f t="shared" si="43"/>
        <v>0</v>
      </c>
      <c r="H93" s="75">
        <f>H91-H78/H89</f>
        <v>0</v>
      </c>
      <c r="I93" s="22" t="s">
        <v>257</v>
      </c>
    </row>
    <row r="94" ht="15" customHeight="1">
      <c r="A94" s="1"/>
      <c r="B94" s="41" t="s">
        <v>258</v>
      </c>
      <c r="C94" s="73">
        <v>0.51</v>
      </c>
      <c r="D94" s="73">
        <v>0.53</v>
      </c>
      <c r="E94" s="73">
        <v>2.13</v>
      </c>
      <c r="F94" s="73">
        <v>0.6</v>
      </c>
      <c r="G94" s="73">
        <v>0.63</v>
      </c>
      <c r="H94" s="71">
        <f t="shared" si="73" ref="H94:H181">C91</f>
        <v>0.6611932129173509</v>
      </c>
      <c r="I94" s="1"/>
    </row>
    <row r="95" ht="15" customHeight="1">
      <c r="A95" s="1"/>
      <c r="B95" s="35" t="s">
        <v>63</v>
      </c>
      <c r="C95" s="20">
        <f t="shared" si="44" ref="C95:H95">IF(AND(ISNUMBER(C91),ISNUMBER(C94)),IF(C94=0,"n.m.",C91/C94-1),"n.a.")</f>
        <v>0.29645728023009976</v>
      </c>
      <c r="D95" s="20">
        <f t="shared" si="44"/>
        <v>0.31754623831751516</v>
      </c>
      <c r="E95" s="20">
        <f t="shared" si="44"/>
        <v>0.21383681663987208</v>
      </c>
      <c r="F95" s="20">
        <f t="shared" si="44"/>
        <v>0.21178839465495147</v>
      </c>
      <c r="G95" s="20">
        <f t="shared" si="44"/>
        <v>0.07479001868440815</v>
      </c>
      <c r="H95" s="38">
        <f t="shared" si="44"/>
        <v>0.17590987291331928</v>
      </c>
      <c r="I95" s="1"/>
    </row>
    <row r="96" ht="15" customHeight="1">
      <c r="A96" s="1"/>
      <c r="B96" s="1" t="s">
        <v>259</v>
      </c>
      <c r="C96" s="29">
        <f t="shared" si="45" ref="C96:H96">C84/C89</f>
        <v>0.6414887794198139</v>
      </c>
      <c r="D96" s="29">
        <f t="shared" si="45"/>
        <v>0.6950082281952825</v>
      </c>
      <c r="E96" s="29">
        <f t="shared" si="45"/>
        <v>2.490988530857455</v>
      </c>
      <c r="F96" s="29">
        <f t="shared" si="45"/>
        <v>0.7342119714442614</v>
      </c>
      <c r="G96" s="29">
        <f t="shared" si="45"/>
        <v>0.6556655665566556</v>
      </c>
      <c r="H96" s="71">
        <f t="shared" si="45"/>
        <v>0.7664860838614654</v>
      </c>
      <c r="I96" s="1"/>
    </row>
    <row r="97" ht="15" customHeight="1">
      <c r="A97" s="1"/>
      <c r="B97" s="1"/>
      <c r="C97" s="1"/>
      <c r="D97" s="1"/>
      <c r="E97" s="1"/>
      <c r="F97" s="1"/>
      <c r="G97" s="1"/>
      <c r="H97" s="32"/>
      <c r="I97" s="1"/>
    </row>
    <row r="98" ht="15" customHeight="1">
      <c r="A98" s="1"/>
      <c r="B98" s="4" t="s">
        <v>260</v>
      </c>
      <c r="C98" s="1"/>
      <c r="D98" s="1"/>
      <c r="E98" s="1"/>
      <c r="F98" s="1"/>
      <c r="G98" s="1"/>
      <c r="H98" s="32"/>
      <c r="I98" s="1"/>
    </row>
    <row r="99" ht="15" customHeight="1">
      <c r="A99" s="1"/>
      <c r="B99" s="1" t="s">
        <v>62</v>
      </c>
      <c r="C99" s="18">
        <f>'Segment - Electrification'!C145</f>
        <v>1100</v>
      </c>
      <c r="D99" s="18">
        <f>'Segment - Electrification'!D145</f>
        <v>1062</v>
      </c>
      <c r="E99" s="18">
        <f>'Segment - Electrification'!E145</f>
        <v>4081</v>
      </c>
      <c r="F99" s="18">
        <f>'Segment - Electrification'!F145</f>
        <v>1105</v>
      </c>
      <c r="G99" s="18">
        <f>'Segment - Electrification'!G145</f>
        <v>1301</v>
      </c>
      <c r="H99" s="55">
        <f>'Segment - Electrification'!H145</f>
        <v>1374.4277368082994</v>
      </c>
      <c r="I99" s="1"/>
    </row>
    <row r="100" ht="15" customHeight="1">
      <c r="A100" s="1"/>
      <c r="B100" s="1" t="s">
        <v>69</v>
      </c>
      <c r="C100" s="18">
        <f>'Segment - Motion'!C145</f>
        <v>421</v>
      </c>
      <c r="D100" s="18">
        <f>'Segment - Motion'!D145</f>
        <v>412</v>
      </c>
      <c r="E100" s="18">
        <f>'Segment - Motion'!E145</f>
        <v>1600</v>
      </c>
      <c r="F100" s="18">
        <f>'Segment - Motion'!F145</f>
        <v>398</v>
      </c>
      <c r="G100" s="18">
        <f>'Segment - Motion'!G145</f>
        <v>413</v>
      </c>
      <c r="H100" s="55">
        <f>'Segment - Motion'!H145</f>
        <v>426.538275996</v>
      </c>
      <c r="I100" s="1"/>
    </row>
    <row r="101" ht="15" customHeight="1">
      <c r="A101" s="1"/>
      <c r="B101" s="1" t="s">
        <v>70</v>
      </c>
      <c r="C101" s="18">
        <f>'Segment - Automation'!C145</f>
        <v>278</v>
      </c>
      <c r="D101" s="18">
        <f>'Segment - Automation'!D145</f>
        <v>311</v>
      </c>
      <c r="E101" s="18">
        <f>'Segment - Automation'!E145</f>
        <v>1132</v>
      </c>
      <c r="F101" s="18">
        <f>'Segment - Automation'!F145</f>
        <v>311</v>
      </c>
      <c r="G101" s="18">
        <f>'Segment - Automation'!G145</f>
        <v>338</v>
      </c>
      <c r="H101" s="55">
        <f>'Segment - Automation'!H145</f>
        <v>323.14112264000005</v>
      </c>
      <c r="I101" s="1"/>
    </row>
    <row r="102" ht="15" customHeight="1">
      <c r="A102" s="1"/>
      <c r="B102" s="41" t="s">
        <v>261</v>
      </c>
      <c r="C102" s="18">
        <f>E102-D102-Inputs!$D$208</f>
        <v>-26</v>
      </c>
      <c r="D102" s="42">
        <v>-33</v>
      </c>
      <c r="E102" s="42">
        <v>-148</v>
      </c>
      <c r="F102" s="42">
        <v>-47</v>
      </c>
      <c r="G102" s="42">
        <v>-18</v>
      </c>
      <c r="H102" s="56">
        <v>-15</v>
      </c>
      <c r="I102" s="22" t="s">
        <v>262</v>
      </c>
    </row>
    <row r="103" ht="15" customHeight="1">
      <c r="A103" s="1"/>
      <c r="B103" s="62" t="s">
        <v>107</v>
      </c>
      <c r="C103" s="19" t="s">
        <v>39</v>
      </c>
      <c r="D103" s="19" t="s">
        <v>39</v>
      </c>
      <c r="E103" s="19" t="s">
        <v>39</v>
      </c>
      <c r="F103" s="19" t="s">
        <v>39</v>
      </c>
      <c r="G103" s="19" t="s">
        <v>39</v>
      </c>
      <c r="H103" s="43">
        <f t="shared" si="28"/>
        <v>11</v>
      </c>
      <c r="I103" s="1"/>
    </row>
    <row r="104" ht="15" customHeight="1">
      <c r="A104" s="1"/>
      <c r="B104" s="62" t="s">
        <v>77</v>
      </c>
      <c r="C104" s="19" t="s">
        <v>39</v>
      </c>
      <c r="D104" s="19">
        <f t="shared" si="27"/>
        <v>-7</v>
      </c>
      <c r="E104" s="19"/>
      <c r="F104" s="19">
        <f t="shared" si="29"/>
        <v>-14</v>
      </c>
      <c r="G104" s="19">
        <f t="shared" si="27"/>
        <v>29</v>
      </c>
      <c r="H104" s="43">
        <f t="shared" si="27"/>
        <v>3</v>
      </c>
      <c r="I104" s="1"/>
    </row>
    <row r="105" ht="15" customHeight="1">
      <c r="A105" s="1"/>
      <c r="B105" s="41" t="s">
        <v>263</v>
      </c>
      <c r="C105" s="18">
        <f>E105-D105-Inputs!$D$209</f>
        <v>-31</v>
      </c>
      <c r="D105" s="42">
        <v>-30</v>
      </c>
      <c r="E105" s="42">
        <v>-123</v>
      </c>
      <c r="F105" s="42">
        <v>-26</v>
      </c>
      <c r="G105" s="42">
        <v>-25</v>
      </c>
      <c r="H105" s="56">
        <v>-25</v>
      </c>
      <c r="I105" s="22" t="s">
        <v>264</v>
      </c>
    </row>
    <row r="106" ht="15" customHeight="1">
      <c r="A106" s="1"/>
      <c r="B106" s="62" t="s">
        <v>107</v>
      </c>
      <c r="C106" s="19" t="s">
        <v>39</v>
      </c>
      <c r="D106" s="19" t="s">
        <v>39</v>
      </c>
      <c r="E106" s="19" t="s">
        <v>39</v>
      </c>
      <c r="F106" s="19" t="s">
        <v>39</v>
      </c>
      <c r="G106" s="19" t="s">
        <v>39</v>
      </c>
      <c r="H106" s="43">
        <f t="shared" si="28"/>
        <v>6</v>
      </c>
      <c r="I106" s="1"/>
    </row>
    <row r="107" ht="15" customHeight="1">
      <c r="A107" s="1"/>
      <c r="B107" s="62" t="s">
        <v>77</v>
      </c>
      <c r="C107" s="19" t="s">
        <v>39</v>
      </c>
      <c r="D107" s="19">
        <f t="shared" si="27"/>
        <v>1</v>
      </c>
      <c r="E107" s="19"/>
      <c r="F107" s="19">
        <f t="shared" si="29"/>
        <v>4</v>
      </c>
      <c r="G107" s="19">
        <f t="shared" si="27"/>
        <v>1</v>
      </c>
      <c r="H107" s="43">
        <f t="shared" si="27"/>
        <v>0</v>
      </c>
      <c r="I107" s="1"/>
    </row>
    <row r="108" ht="15" customHeight="1">
      <c r="A108" s="1"/>
      <c r="B108" s="41" t="s">
        <v>265</v>
      </c>
      <c r="C108" s="18">
        <f>E108-D108-Inputs!$D$210</f>
        <v>-109</v>
      </c>
      <c r="D108" s="42">
        <v>-134</v>
      </c>
      <c r="E108" s="42">
        <v>-228</v>
      </c>
      <c r="F108" s="42">
        <v>308</v>
      </c>
      <c r="G108" s="42">
        <v>-84</v>
      </c>
      <c r="H108" s="56">
        <v>-100</v>
      </c>
      <c r="I108" s="22" t="s">
        <v>266</v>
      </c>
    </row>
    <row r="109" ht="15" customHeight="1">
      <c r="A109" s="1"/>
      <c r="B109" s="62" t="s">
        <v>107</v>
      </c>
      <c r="C109" s="19" t="s">
        <v>39</v>
      </c>
      <c r="D109" s="19" t="s">
        <v>39</v>
      </c>
      <c r="E109" s="19" t="s">
        <v>39</v>
      </c>
      <c r="F109" s="19" t="s">
        <v>39</v>
      </c>
      <c r="G109" s="19" t="s">
        <v>39</v>
      </c>
      <c r="H109" s="43">
        <f t="shared" si="28"/>
        <v>9</v>
      </c>
      <c r="I109" s="1"/>
    </row>
    <row r="110" ht="15" customHeight="1">
      <c r="A110" s="1"/>
      <c r="B110" s="62" t="s">
        <v>77</v>
      </c>
      <c r="C110" s="19" t="s">
        <v>39</v>
      </c>
      <c r="D110" s="19">
        <f t="shared" si="27"/>
        <v>-25</v>
      </c>
      <c r="E110" s="19"/>
      <c r="F110" s="19">
        <f t="shared" si="29"/>
        <v>442</v>
      </c>
      <c r="G110" s="19">
        <f t="shared" si="27"/>
        <v>-392</v>
      </c>
      <c r="H110" s="43">
        <f t="shared" si="27"/>
        <v>-16</v>
      </c>
      <c r="I110" s="1"/>
    </row>
    <row r="111" ht="15" customHeight="1">
      <c r="A111" s="1"/>
      <c r="B111" s="70" t="s">
        <v>267</v>
      </c>
      <c r="C111" s="49">
        <f t="shared" si="46" ref="C111:H111">C102+C105+C108</f>
        <v>-166</v>
      </c>
      <c r="D111" s="49">
        <f t="shared" si="46"/>
        <v>-197</v>
      </c>
      <c r="E111" s="49">
        <f t="shared" si="46"/>
        <v>-499</v>
      </c>
      <c r="F111" s="49">
        <f t="shared" si="46"/>
        <v>235</v>
      </c>
      <c r="G111" s="49">
        <f t="shared" si="46"/>
        <v>-127</v>
      </c>
      <c r="H111" s="50">
        <f t="shared" si="46"/>
        <v>-140</v>
      </c>
      <c r="I111" s="1"/>
    </row>
    <row r="112" ht="15" customHeight="1">
      <c r="A112" s="1"/>
      <c r="B112" s="4" t="s">
        <v>38</v>
      </c>
      <c r="C112" s="49">
        <f t="shared" si="47" ref="C112:H112">C99+C100+C101+C111</f>
        <v>1633</v>
      </c>
      <c r="D112" s="49">
        <f t="shared" si="47"/>
        <v>1588</v>
      </c>
      <c r="E112" s="49">
        <f t="shared" si="47"/>
        <v>6314</v>
      </c>
      <c r="F112" s="49">
        <f t="shared" si="47"/>
        <v>2049</v>
      </c>
      <c r="G112" s="49">
        <f t="shared" si="47"/>
        <v>1925</v>
      </c>
      <c r="H112" s="50">
        <f t="shared" si="47"/>
        <v>1984.1071354442993</v>
      </c>
      <c r="I112" s="1"/>
    </row>
    <row r="113" ht="15" customHeight="1">
      <c r="A113" s="1"/>
      <c r="B113" s="41" t="s">
        <v>180</v>
      </c>
      <c r="C113" s="18">
        <f>E113-D113-Inputs!$D$211</f>
        <v>1633</v>
      </c>
      <c r="D113" s="42">
        <v>1588</v>
      </c>
      <c r="E113" s="42">
        <v>6314</v>
      </c>
      <c r="F113" s="42">
        <v>2049</v>
      </c>
      <c r="G113" s="42">
        <v>1925</v>
      </c>
      <c r="H113" s="43" t="s">
        <v>39</v>
      </c>
      <c r="I113" s="1"/>
    </row>
    <row r="114" ht="15" customHeight="1">
      <c r="A114" s="1"/>
      <c r="B114" s="35" t="s">
        <v>268</v>
      </c>
      <c r="C114" s="63">
        <f t="shared" si="48" ref="C114:G114">C112-C113</f>
        <v>0</v>
      </c>
      <c r="D114" s="63">
        <f t="shared" si="48"/>
        <v>0</v>
      </c>
      <c r="E114" s="63">
        <f t="shared" si="48"/>
        <v>0</v>
      </c>
      <c r="F114" s="63">
        <f t="shared" si="48"/>
        <v>0</v>
      </c>
      <c r="G114" s="63">
        <f t="shared" si="48"/>
        <v>0</v>
      </c>
      <c r="H114" s="64" t="s">
        <v>39</v>
      </c>
      <c r="I114" s="1"/>
    </row>
    <row r="115" ht="15" customHeight="1">
      <c r="A115" s="1"/>
      <c r="B115" s="1" t="s">
        <v>184</v>
      </c>
      <c r="C115" s="18">
        <f>E115-D115-Inputs!$D$212</f>
        <v>-7</v>
      </c>
      <c r="D115" s="42">
        <v>-16</v>
      </c>
      <c r="E115" s="42">
        <v>-47</v>
      </c>
      <c r="F115" s="42">
        <v>-21</v>
      </c>
      <c r="G115" s="42">
        <v>45</v>
      </c>
      <c r="H115" s="56">
        <v>0</v>
      </c>
      <c r="I115" s="22" t="s">
        <v>269</v>
      </c>
    </row>
    <row r="116" ht="15" customHeight="1">
      <c r="A116" s="1"/>
      <c r="B116" s="41" t="s">
        <v>107</v>
      </c>
      <c r="C116" s="19" t="s">
        <v>39</v>
      </c>
      <c r="D116" s="19" t="s">
        <v>39</v>
      </c>
      <c r="E116" s="19" t="s">
        <v>39</v>
      </c>
      <c r="F116" s="19" t="s">
        <v>39</v>
      </c>
      <c r="G116" s="19" t="s">
        <v>39</v>
      </c>
      <c r="H116" s="43">
        <f t="shared" si="28"/>
        <v>7</v>
      </c>
      <c r="I116" s="1"/>
    </row>
    <row r="117" ht="15" customHeight="1">
      <c r="A117" s="1"/>
      <c r="B117" s="41" t="s">
        <v>77</v>
      </c>
      <c r="C117" s="19" t="s">
        <v>39</v>
      </c>
      <c r="D117" s="19">
        <f t="shared" si="27"/>
        <v>-9</v>
      </c>
      <c r="E117" s="19"/>
      <c r="F117" s="19">
        <f t="shared" si="29"/>
        <v>-5</v>
      </c>
      <c r="G117" s="19">
        <f t="shared" si="27"/>
        <v>66</v>
      </c>
      <c r="H117" s="43">
        <f t="shared" si="27"/>
        <v>-45</v>
      </c>
      <c r="I117" s="1"/>
    </row>
    <row r="118" ht="15" customHeight="1">
      <c r="A118" s="1"/>
      <c r="B118" s="4" t="s">
        <v>186</v>
      </c>
      <c r="C118" s="49">
        <f t="shared" si="49" ref="C118:H118">C24+C115</f>
        <v>8484</v>
      </c>
      <c r="D118" s="49">
        <f t="shared" si="49"/>
        <v>9036</v>
      </c>
      <c r="E118" s="49">
        <f t="shared" si="49"/>
        <v>33173</v>
      </c>
      <c r="F118" s="49">
        <f t="shared" si="49"/>
        <v>8713</v>
      </c>
      <c r="G118" s="49">
        <f t="shared" si="49"/>
        <v>9520</v>
      </c>
      <c r="H118" s="50">
        <f t="shared" si="49"/>
        <v>9679.108611835598</v>
      </c>
      <c r="I118" s="1"/>
    </row>
    <row r="119" ht="15" customHeight="1">
      <c r="A119" s="1"/>
      <c r="B119" s="41" t="s">
        <v>189</v>
      </c>
      <c r="C119" s="19" t="s">
        <v>39</v>
      </c>
      <c r="D119" s="42">
        <v>8009</v>
      </c>
      <c r="E119" s="42">
        <v>30665</v>
      </c>
      <c r="F119" s="42">
        <v>7357</v>
      </c>
      <c r="G119" s="42">
        <v>8296</v>
      </c>
      <c r="H119" s="43">
        <f t="shared" si="6"/>
        <v>8484</v>
      </c>
      <c r="I119" s="1"/>
    </row>
    <row r="120" ht="15" customHeight="1">
      <c r="A120" s="1"/>
      <c r="B120" s="35" t="s">
        <v>63</v>
      </c>
      <c r="C120" s="20" t="str">
        <f t="shared" si="2"/>
        <v>n.a.</v>
      </c>
      <c r="D120" s="20">
        <f t="shared" si="2"/>
        <v>0.12823074041703086</v>
      </c>
      <c r="E120" s="20">
        <f t="shared" si="2"/>
        <v>0.08178705364421979</v>
      </c>
      <c r="F120" s="20">
        <f t="shared" si="2"/>
        <v>0.18431425852929184</v>
      </c>
      <c r="G120" s="20">
        <f t="shared" si="2"/>
        <v>0.14754098360655732</v>
      </c>
      <c r="H120" s="38">
        <f t="shared" si="2"/>
        <v>0.14086617301221094</v>
      </c>
      <c r="I120" s="1"/>
    </row>
    <row r="121" ht="23.25" customHeight="1">
      <c r="A121" s="1"/>
      <c r="B121" s="44" t="s">
        <v>270</v>
      </c>
      <c r="C121" s="20" t="s">
        <v>39</v>
      </c>
      <c r="D121" s="20" t="s">
        <v>39</v>
      </c>
      <c r="E121" s="20" t="s">
        <v>39</v>
      </c>
      <c r="F121" s="20" t="s">
        <v>39</v>
      </c>
      <c r="G121" s="20" t="s">
        <v>39</v>
      </c>
      <c r="H121" s="38" t="s">
        <v>39</v>
      </c>
      <c r="I121" s="1"/>
    </row>
    <row r="122" ht="15" customHeight="1">
      <c r="A122" s="1"/>
      <c r="B122" s="67" t="s">
        <v>271</v>
      </c>
      <c r="C122" s="26">
        <f t="shared" si="50" ref="C122:H122">IF(AND(ISNUMBER(C112),ISNUMBER(C118)),IF(C118=0,"n.m.",C112/C118),"n.a.")</f>
        <v>0.19247996228194247</v>
      </c>
      <c r="D122" s="26">
        <f t="shared" si="50"/>
        <v>0.17574147853032315</v>
      </c>
      <c r="E122" s="26">
        <f t="shared" si="50"/>
        <v>0.1903355138214813</v>
      </c>
      <c r="F122" s="26">
        <f t="shared" si="50"/>
        <v>0.23516584414093883</v>
      </c>
      <c r="G122" s="26">
        <f t="shared" si="50"/>
        <v>0.20220588235294118</v>
      </c>
      <c r="H122" s="68">
        <f t="shared" si="50"/>
        <v>0.20498862188798422</v>
      </c>
      <c r="I122" s="1"/>
    </row>
    <row r="123" ht="15" customHeight="1">
      <c r="A123" s="1"/>
      <c r="B123" s="46" t="s">
        <v>81</v>
      </c>
      <c r="C123" s="47" t="str">
        <f t="shared" si="51" ref="C123:H123">IF(COUNT(C122,C125,C119)=3,(C122-(C125/C119))*10000,"n.a.")</f>
        <v>n.a.</v>
      </c>
      <c r="D123" s="47">
        <f t="shared" si="51"/>
        <v>96.78299606612318</v>
      </c>
      <c r="E123" s="47">
        <f t="shared" si="51"/>
        <v>86.29986347162055</v>
      </c>
      <c r="F123" s="47">
        <f t="shared" si="51"/>
        <v>319.5801486270042</v>
      </c>
      <c r="G123" s="47">
        <f t="shared" si="51"/>
        <v>95.82931533269057</v>
      </c>
      <c r="H123" s="48">
        <f t="shared" si="51"/>
        <v>125.08659606041749</v>
      </c>
      <c r="I123" s="1"/>
    </row>
    <row r="124" ht="15" customHeight="1">
      <c r="A124" s="1"/>
      <c r="B124" s="46" t="s">
        <v>82</v>
      </c>
      <c r="C124" s="47" t="s">
        <v>39</v>
      </c>
      <c r="D124" s="47">
        <f t="shared" si="5"/>
        <v>-167.38483751619322</v>
      </c>
      <c r="E124" s="47"/>
      <c r="F124" s="47">
        <f t="shared" si="25"/>
        <v>594.2436561061568</v>
      </c>
      <c r="G124" s="47">
        <f t="shared" si="5"/>
        <v>-329.5996178799765</v>
      </c>
      <c r="H124" s="48">
        <f t="shared" si="5"/>
        <v>27.82739535043044</v>
      </c>
      <c r="I124" s="1"/>
    </row>
    <row r="125" ht="15" customHeight="1">
      <c r="A125" s="1"/>
      <c r="B125" s="41" t="s">
        <v>182</v>
      </c>
      <c r="C125" s="19" t="s">
        <v>39</v>
      </c>
      <c r="D125" s="42">
        <v>1330</v>
      </c>
      <c r="E125" s="42">
        <v>5572</v>
      </c>
      <c r="F125" s="42">
        <v>1495</v>
      </c>
      <c r="G125" s="42">
        <v>1598</v>
      </c>
      <c r="H125" s="43">
        <f>C112</f>
        <v>1633</v>
      </c>
      <c r="I125" s="1"/>
    </row>
    <row r="126" ht="15" customHeight="1">
      <c r="A126" s="1"/>
      <c r="B126" s="35" t="s">
        <v>63</v>
      </c>
      <c r="C126" s="20" t="str">
        <f t="shared" si="52" ref="C126:H126">IF(AND(ISNUMBER(C112),ISNUMBER(C125)),IF(C125=0,"n.m.",C112/C125-1),"n.a.")</f>
        <v>n.a.</v>
      </c>
      <c r="D126" s="20">
        <f t="shared" si="52"/>
        <v>0.19398496240601504</v>
      </c>
      <c r="E126" s="20">
        <f t="shared" si="52"/>
        <v>0.13316582914572872</v>
      </c>
      <c r="F126" s="20">
        <f t="shared" si="52"/>
        <v>0.37056856187290976</v>
      </c>
      <c r="G126" s="20">
        <f t="shared" si="52"/>
        <v>0.20463078848560712</v>
      </c>
      <c r="H126" s="38">
        <f t="shared" si="52"/>
        <v>0.21500743138046485</v>
      </c>
      <c r="I126" s="1"/>
    </row>
    <row r="127" ht="15" customHeight="1">
      <c r="A127" s="1"/>
      <c r="B127" s="5" t="s">
        <v>272</v>
      </c>
      <c r="C127" s="1"/>
      <c r="D127" s="1"/>
      <c r="E127" s="1"/>
      <c r="F127" s="1"/>
      <c r="G127" s="1"/>
      <c r="H127" s="32"/>
      <c r="I127" s="1"/>
    </row>
    <row r="128" ht="15" customHeight="1">
      <c r="A128" s="1"/>
      <c r="B128" s="41" t="s">
        <v>273</v>
      </c>
      <c r="C128" s="18">
        <f>E128-D128-Inputs!$D$213</f>
        <v>48</v>
      </c>
      <c r="D128" s="42">
        <v>46</v>
      </c>
      <c r="E128" s="42">
        <v>185</v>
      </c>
      <c r="F128" s="42">
        <v>47</v>
      </c>
      <c r="G128" s="42">
        <v>51</v>
      </c>
      <c r="H128" s="56">
        <v>50</v>
      </c>
      <c r="I128" s="22" t="s">
        <v>274</v>
      </c>
    </row>
    <row r="129" ht="15" customHeight="1">
      <c r="A129" s="1"/>
      <c r="B129" s="62" t="s">
        <v>107</v>
      </c>
      <c r="C129" s="19" t="s">
        <v>39</v>
      </c>
      <c r="D129" s="19" t="s">
        <v>39</v>
      </c>
      <c r="E129" s="19" t="s">
        <v>39</v>
      </c>
      <c r="F129" s="19" t="s">
        <v>39</v>
      </c>
      <c r="G129" s="19" t="s">
        <v>39</v>
      </c>
      <c r="H129" s="43">
        <f t="shared" si="28"/>
        <v>2</v>
      </c>
      <c r="I129" s="1"/>
    </row>
    <row r="130" ht="15" customHeight="1">
      <c r="A130" s="1"/>
      <c r="B130" s="62" t="s">
        <v>77</v>
      </c>
      <c r="C130" s="19" t="s">
        <v>39</v>
      </c>
      <c r="D130" s="19">
        <f t="shared" si="27"/>
        <v>-2</v>
      </c>
      <c r="E130" s="19"/>
      <c r="F130" s="19">
        <f t="shared" si="29"/>
        <v>1</v>
      </c>
      <c r="G130" s="19">
        <f t="shared" si="27"/>
        <v>4</v>
      </c>
      <c r="H130" s="43">
        <f t="shared" si="27"/>
        <v>-1</v>
      </c>
      <c r="I130" s="1"/>
    </row>
    <row r="131" ht="15" customHeight="1">
      <c r="A131" s="1"/>
      <c r="B131" s="41" t="s">
        <v>275</v>
      </c>
      <c r="C131" s="18">
        <f>E131-D131-Inputs!$D$214</f>
        <v>19</v>
      </c>
      <c r="D131" s="42">
        <v>53</v>
      </c>
      <c r="E131" s="42">
        <v>92</v>
      </c>
      <c r="F131" s="42">
        <v>48</v>
      </c>
      <c r="G131" s="42">
        <v>16</v>
      </c>
      <c r="H131" s="56">
        <v>30</v>
      </c>
      <c r="I131" s="22" t="s">
        <v>276</v>
      </c>
    </row>
    <row r="132" ht="15" customHeight="1">
      <c r="A132" s="1"/>
      <c r="B132" s="62" t="s">
        <v>107</v>
      </c>
      <c r="C132" s="19" t="s">
        <v>39</v>
      </c>
      <c r="D132" s="19" t="s">
        <v>39</v>
      </c>
      <c r="E132" s="19" t="s">
        <v>39</v>
      </c>
      <c r="F132" s="19" t="s">
        <v>39</v>
      </c>
      <c r="G132" s="19" t="s">
        <v>39</v>
      </c>
      <c r="H132" s="43">
        <f t="shared" si="28"/>
        <v>11</v>
      </c>
      <c r="I132" s="1"/>
    </row>
    <row r="133" ht="15" customHeight="1">
      <c r="A133" s="1"/>
      <c r="B133" s="62" t="s">
        <v>77</v>
      </c>
      <c r="C133" s="19" t="s">
        <v>39</v>
      </c>
      <c r="D133" s="19">
        <f t="shared" si="27"/>
        <v>34</v>
      </c>
      <c r="E133" s="19"/>
      <c r="F133" s="19">
        <f t="shared" si="29"/>
        <v>-5</v>
      </c>
      <c r="G133" s="19">
        <f t="shared" si="27"/>
        <v>-32</v>
      </c>
      <c r="H133" s="43">
        <f t="shared" si="27"/>
        <v>14</v>
      </c>
      <c r="I133" s="1"/>
    </row>
    <row r="134" ht="15" customHeight="1">
      <c r="A134" s="1"/>
      <c r="B134" s="41" t="s">
        <v>277</v>
      </c>
      <c r="C134" s="18">
        <f>E134-D134-Inputs!$D$215</f>
        <v>0</v>
      </c>
      <c r="D134" s="42">
        <v>0</v>
      </c>
      <c r="E134" s="42">
        <v>-3</v>
      </c>
      <c r="F134" s="42">
        <v>-5</v>
      </c>
      <c r="G134" s="42">
        <v>0</v>
      </c>
      <c r="H134" s="56">
        <v>0</v>
      </c>
      <c r="I134" s="22" t="s">
        <v>278</v>
      </c>
    </row>
    <row r="135" ht="15" customHeight="1">
      <c r="A135" s="1"/>
      <c r="B135" s="62" t="s">
        <v>107</v>
      </c>
      <c r="C135" s="19" t="s">
        <v>39</v>
      </c>
      <c r="D135" s="19" t="s">
        <v>39</v>
      </c>
      <c r="E135" s="19" t="s">
        <v>39</v>
      </c>
      <c r="F135" s="19" t="s">
        <v>39</v>
      </c>
      <c r="G135" s="19" t="s">
        <v>39</v>
      </c>
      <c r="H135" s="43">
        <f t="shared" si="28"/>
        <v>0</v>
      </c>
      <c r="I135" s="1"/>
    </row>
    <row r="136" ht="15" customHeight="1">
      <c r="A136" s="1"/>
      <c r="B136" s="62" t="s">
        <v>77</v>
      </c>
      <c r="C136" s="19" t="s">
        <v>39</v>
      </c>
      <c r="D136" s="19">
        <f t="shared" si="27"/>
        <v>0</v>
      </c>
      <c r="E136" s="19"/>
      <c r="F136" s="19">
        <f t="shared" si="29"/>
        <v>-5</v>
      </c>
      <c r="G136" s="19">
        <f t="shared" si="27"/>
        <v>5</v>
      </c>
      <c r="H136" s="43">
        <f t="shared" si="27"/>
        <v>0</v>
      </c>
      <c r="I136" s="1"/>
    </row>
    <row r="137" ht="15" customHeight="1">
      <c r="A137" s="1"/>
      <c r="B137" s="41" t="s">
        <v>279</v>
      </c>
      <c r="C137" s="18">
        <f>E137-D137-Inputs!$D$216</f>
        <v>12</v>
      </c>
      <c r="D137" s="42">
        <v>3</v>
      </c>
      <c r="E137" s="42">
        <v>3</v>
      </c>
      <c r="F137" s="42">
        <v>-2</v>
      </c>
      <c r="G137" s="42">
        <v>-5</v>
      </c>
      <c r="H137" s="56">
        <v>0</v>
      </c>
      <c r="I137" s="22" t="s">
        <v>278</v>
      </c>
    </row>
    <row r="138" ht="15" customHeight="1">
      <c r="A138" s="1"/>
      <c r="B138" s="62" t="s">
        <v>107</v>
      </c>
      <c r="C138" s="19" t="s">
        <v>39</v>
      </c>
      <c r="D138" s="19" t="s">
        <v>39</v>
      </c>
      <c r="E138" s="19" t="s">
        <v>39</v>
      </c>
      <c r="F138" s="19" t="s">
        <v>39</v>
      </c>
      <c r="G138" s="19" t="s">
        <v>39</v>
      </c>
      <c r="H138" s="43">
        <f t="shared" si="28"/>
        <v>-12</v>
      </c>
      <c r="I138" s="1"/>
    </row>
    <row r="139" ht="15" customHeight="1">
      <c r="A139" s="1"/>
      <c r="B139" s="62" t="s">
        <v>77</v>
      </c>
      <c r="C139" s="19" t="s">
        <v>39</v>
      </c>
      <c r="D139" s="19">
        <f t="shared" si="27"/>
        <v>-9</v>
      </c>
      <c r="E139" s="19"/>
      <c r="F139" s="19">
        <f t="shared" si="29"/>
        <v>-5</v>
      </c>
      <c r="G139" s="19">
        <f t="shared" si="27"/>
        <v>-3</v>
      </c>
      <c r="H139" s="43">
        <f t="shared" si="27"/>
        <v>5</v>
      </c>
      <c r="I139" s="1"/>
    </row>
    <row r="140" ht="15" customHeight="1">
      <c r="A140" s="1"/>
      <c r="B140" s="41" t="s">
        <v>280</v>
      </c>
      <c r="C140" s="18">
        <f>E140-D140-Inputs!$D$217</f>
        <v>10</v>
      </c>
      <c r="D140" s="42">
        <v>18</v>
      </c>
      <c r="E140" s="42">
        <v>55</v>
      </c>
      <c r="F140" s="42">
        <v>12</v>
      </c>
      <c r="G140" s="42">
        <v>23</v>
      </c>
      <c r="H140" s="56">
        <v>25</v>
      </c>
      <c r="I140" s="22" t="s">
        <v>281</v>
      </c>
    </row>
    <row r="141" ht="15" customHeight="1">
      <c r="A141" s="1"/>
      <c r="B141" s="62" t="s">
        <v>107</v>
      </c>
      <c r="C141" s="19" t="s">
        <v>39</v>
      </c>
      <c r="D141" s="19" t="s">
        <v>39</v>
      </c>
      <c r="E141" s="19" t="s">
        <v>39</v>
      </c>
      <c r="F141" s="19" t="s">
        <v>39</v>
      </c>
      <c r="G141" s="19" t="s">
        <v>39</v>
      </c>
      <c r="H141" s="43">
        <f t="shared" si="28"/>
        <v>15</v>
      </c>
      <c r="I141" s="1"/>
    </row>
    <row r="142" ht="15" customHeight="1">
      <c r="A142" s="1"/>
      <c r="B142" s="62" t="s">
        <v>77</v>
      </c>
      <c r="C142" s="19" t="s">
        <v>39</v>
      </c>
      <c r="D142" s="19">
        <f t="shared" si="27"/>
        <v>8</v>
      </c>
      <c r="E142" s="19"/>
      <c r="F142" s="19">
        <f t="shared" si="29"/>
        <v>-6</v>
      </c>
      <c r="G142" s="19">
        <f t="shared" si="27"/>
        <v>11</v>
      </c>
      <c r="H142" s="43">
        <f t="shared" si="27"/>
        <v>2</v>
      </c>
      <c r="I142" s="1"/>
    </row>
    <row r="143" ht="15" customHeight="1">
      <c r="A143" s="1"/>
      <c r="B143" s="41" t="s">
        <v>282</v>
      </c>
      <c r="C143" s="18">
        <f>E143-D143-Inputs!$D$218</f>
        <v>41</v>
      </c>
      <c r="D143" s="42">
        <v>33</v>
      </c>
      <c r="E143" s="42">
        <v>166</v>
      </c>
      <c r="F143" s="42">
        <v>28</v>
      </c>
      <c r="G143" s="42">
        <v>20</v>
      </c>
      <c r="H143" s="56">
        <v>20</v>
      </c>
      <c r="I143" s="22" t="s">
        <v>283</v>
      </c>
    </row>
    <row r="144" ht="15" customHeight="1">
      <c r="A144" s="1"/>
      <c r="B144" s="62" t="s">
        <v>107</v>
      </c>
      <c r="C144" s="19" t="s">
        <v>39</v>
      </c>
      <c r="D144" s="19" t="s">
        <v>39</v>
      </c>
      <c r="E144" s="19" t="s">
        <v>39</v>
      </c>
      <c r="F144" s="19" t="s">
        <v>39</v>
      </c>
      <c r="G144" s="19" t="s">
        <v>39</v>
      </c>
      <c r="H144" s="43">
        <f t="shared" si="28"/>
        <v>-21</v>
      </c>
      <c r="I144" s="1"/>
    </row>
    <row r="145" ht="15" customHeight="1">
      <c r="A145" s="1"/>
      <c r="B145" s="62" t="s">
        <v>77</v>
      </c>
      <c r="C145" s="19" t="s">
        <v>39</v>
      </c>
      <c r="D145" s="19">
        <f t="shared" si="27"/>
        <v>-8</v>
      </c>
      <c r="E145" s="19"/>
      <c r="F145" s="19">
        <f t="shared" si="29"/>
        <v>-5</v>
      </c>
      <c r="G145" s="19">
        <f t="shared" si="27"/>
        <v>-8</v>
      </c>
      <c r="H145" s="43">
        <f t="shared" si="27"/>
        <v>0</v>
      </c>
      <c r="I145" s="1"/>
    </row>
    <row r="146" ht="15" customHeight="1">
      <c r="A146" s="1"/>
      <c r="B146" s="41" t="s">
        <v>284</v>
      </c>
      <c r="C146" s="18">
        <f>E146-D146-Inputs!$D$219</f>
        <v>-41</v>
      </c>
      <c r="D146" s="42">
        <v>41</v>
      </c>
      <c r="E146" s="42">
        <v>-34</v>
      </c>
      <c r="F146" s="42">
        <v>53</v>
      </c>
      <c r="G146" s="42">
        <v>151</v>
      </c>
      <c r="H146" s="56">
        <v>20</v>
      </c>
      <c r="I146" s="22" t="s">
        <v>285</v>
      </c>
    </row>
    <row r="147" ht="15" customHeight="1">
      <c r="A147" s="1"/>
      <c r="B147" s="62" t="s">
        <v>107</v>
      </c>
      <c r="C147" s="19" t="s">
        <v>39</v>
      </c>
      <c r="D147" s="19" t="s">
        <v>39</v>
      </c>
      <c r="E147" s="19" t="s">
        <v>39</v>
      </c>
      <c r="F147" s="19" t="s">
        <v>39</v>
      </c>
      <c r="G147" s="19" t="s">
        <v>39</v>
      </c>
      <c r="H147" s="43">
        <f t="shared" si="28"/>
        <v>61</v>
      </c>
      <c r="I147" s="1"/>
    </row>
    <row r="148" ht="15" customHeight="1">
      <c r="A148" s="1"/>
      <c r="B148" s="62" t="s">
        <v>77</v>
      </c>
      <c r="C148" s="19" t="s">
        <v>39</v>
      </c>
      <c r="D148" s="19">
        <f t="shared" si="27"/>
        <v>82</v>
      </c>
      <c r="E148" s="19"/>
      <c r="F148" s="19">
        <f t="shared" si="29"/>
        <v>12</v>
      </c>
      <c r="G148" s="19">
        <f t="shared" si="27"/>
        <v>98</v>
      </c>
      <c r="H148" s="43">
        <f t="shared" si="27"/>
        <v>-131</v>
      </c>
      <c r="I148" s="1"/>
    </row>
    <row r="149" ht="15" customHeight="1">
      <c r="A149" s="1"/>
      <c r="B149" s="41" t="s">
        <v>286</v>
      </c>
      <c r="C149" s="18">
        <f>E149-D149-Inputs!$D$220</f>
        <v>-58</v>
      </c>
      <c r="D149" s="42">
        <v>-111</v>
      </c>
      <c r="E149" s="42">
        <v>-197</v>
      </c>
      <c r="F149" s="42">
        <v>88</v>
      </c>
      <c r="G149" s="42">
        <v>84</v>
      </c>
      <c r="H149" s="56">
        <v>0</v>
      </c>
      <c r="I149" s="22" t="s">
        <v>287</v>
      </c>
    </row>
    <row r="150" ht="15" customHeight="1">
      <c r="A150" s="1"/>
      <c r="B150" s="62" t="s">
        <v>107</v>
      </c>
      <c r="C150" s="19" t="s">
        <v>39</v>
      </c>
      <c r="D150" s="19" t="s">
        <v>39</v>
      </c>
      <c r="E150" s="19" t="s">
        <v>39</v>
      </c>
      <c r="F150" s="19" t="s">
        <v>39</v>
      </c>
      <c r="G150" s="19" t="s">
        <v>39</v>
      </c>
      <c r="H150" s="43">
        <f t="shared" si="28"/>
        <v>58</v>
      </c>
      <c r="I150" s="1"/>
    </row>
    <row r="151" ht="15" customHeight="1">
      <c r="A151" s="1"/>
      <c r="B151" s="62" t="s">
        <v>77</v>
      </c>
      <c r="C151" s="19" t="s">
        <v>39</v>
      </c>
      <c r="D151" s="19">
        <f t="shared" si="27"/>
        <v>-53</v>
      </c>
      <c r="E151" s="19"/>
      <c r="F151" s="19">
        <f t="shared" si="29"/>
        <v>199</v>
      </c>
      <c r="G151" s="19">
        <f t="shared" si="27"/>
        <v>-4</v>
      </c>
      <c r="H151" s="43">
        <f t="shared" si="27"/>
        <v>-84</v>
      </c>
      <c r="I151" s="1"/>
    </row>
    <row r="152" ht="15" customHeight="1">
      <c r="A152" s="1"/>
      <c r="B152" s="4" t="s">
        <v>288</v>
      </c>
      <c r="C152" s="49">
        <f t="shared" si="53" ref="C152:H152">C128+C131+C134+C137+C140+C143+C146+C149</f>
        <v>31</v>
      </c>
      <c r="D152" s="49">
        <f t="shared" si="53"/>
        <v>83</v>
      </c>
      <c r="E152" s="49">
        <f t="shared" si="53"/>
        <v>267</v>
      </c>
      <c r="F152" s="49">
        <f t="shared" si="53"/>
        <v>269</v>
      </c>
      <c r="G152" s="49">
        <f t="shared" si="53"/>
        <v>340</v>
      </c>
      <c r="H152" s="50">
        <f t="shared" si="53"/>
        <v>145</v>
      </c>
      <c r="I152" s="1"/>
    </row>
    <row r="153" ht="15" customHeight="1">
      <c r="A153" s="1"/>
      <c r="B153" s="1" t="s">
        <v>289</v>
      </c>
      <c r="C153" s="19">
        <f t="shared" si="54" ref="C153:H153">C112-C152</f>
        <v>1602</v>
      </c>
      <c r="D153" s="19">
        <f t="shared" si="54"/>
        <v>1505</v>
      </c>
      <c r="E153" s="19">
        <f t="shared" si="54"/>
        <v>6047</v>
      </c>
      <c r="F153" s="19">
        <f t="shared" si="54"/>
        <v>1780</v>
      </c>
      <c r="G153" s="19">
        <f t="shared" si="54"/>
        <v>1585</v>
      </c>
      <c r="H153" s="43">
        <f t="shared" si="54"/>
        <v>1839.1071354442993</v>
      </c>
      <c r="I153" s="1"/>
    </row>
    <row r="154" ht="15" customHeight="1">
      <c r="A154" s="1"/>
      <c r="B154" s="5" t="s">
        <v>290</v>
      </c>
      <c r="C154" s="63">
        <f t="shared" si="55" ref="C154:H154">C47-C153</f>
        <v>0</v>
      </c>
      <c r="D154" s="63">
        <f t="shared" si="55"/>
        <v>0</v>
      </c>
      <c r="E154" s="63">
        <f t="shared" si="55"/>
        <v>0</v>
      </c>
      <c r="F154" s="63">
        <f t="shared" si="55"/>
        <v>0</v>
      </c>
      <c r="G154" s="63">
        <f t="shared" si="55"/>
        <v>0</v>
      </c>
      <c r="H154" s="64">
        <f t="shared" si="55"/>
        <v>0</v>
      </c>
      <c r="I154" s="22" t="s">
        <v>291</v>
      </c>
    </row>
    <row r="155" ht="15" customHeight="1">
      <c r="A155" s="1"/>
      <c r="B155" s="1"/>
      <c r="C155" s="1"/>
      <c r="D155" s="1"/>
      <c r="E155" s="1"/>
      <c r="F155" s="1"/>
      <c r="G155" s="1"/>
      <c r="H155" s="32"/>
      <c r="I155" s="1"/>
    </row>
    <row r="156" ht="15" customHeight="1">
      <c r="A156" s="1"/>
      <c r="B156" s="4" t="s">
        <v>292</v>
      </c>
      <c r="C156" s="1"/>
      <c r="D156" s="1"/>
      <c r="E156" s="1"/>
      <c r="F156" s="1"/>
      <c r="G156" s="1"/>
      <c r="H156" s="32"/>
      <c r="I156" s="1"/>
    </row>
    <row r="157" ht="15" customHeight="1">
      <c r="A157" s="1"/>
      <c r="B157" s="1" t="s">
        <v>244</v>
      </c>
      <c r="C157" s="19">
        <f t="shared" si="56" ref="C157:H157">C78</f>
        <v>1208</v>
      </c>
      <c r="D157" s="19">
        <f t="shared" si="56"/>
        <v>1273</v>
      </c>
      <c r="E157" s="19">
        <f t="shared" si="56"/>
        <v>4734</v>
      </c>
      <c r="F157" s="19">
        <f t="shared" si="56"/>
        <v>1324</v>
      </c>
      <c r="G157" s="19">
        <f t="shared" si="56"/>
        <v>1231</v>
      </c>
      <c r="H157" s="43">
        <f t="shared" si="56"/>
        <v>1411.3920301768917</v>
      </c>
      <c r="I157" s="1"/>
    </row>
    <row r="158" ht="15" customHeight="1">
      <c r="A158" s="1"/>
      <c r="B158" s="41" t="s">
        <v>293</v>
      </c>
      <c r="C158" s="19">
        <f t="shared" si="57" ref="C158:H158">-C85</f>
        <v>-36</v>
      </c>
      <c r="D158" s="19">
        <f t="shared" si="57"/>
        <v>-6</v>
      </c>
      <c r="E158" s="19">
        <f t="shared" si="57"/>
        <v>-173</v>
      </c>
      <c r="F158" s="19">
        <f t="shared" si="57"/>
        <v>13</v>
      </c>
      <c r="G158" s="19">
        <f t="shared" si="57"/>
        <v>-39</v>
      </c>
      <c r="H158" s="43">
        <f t="shared" si="57"/>
        <v>-20</v>
      </c>
      <c r="I158" s="1"/>
    </row>
    <row r="159" ht="15" customHeight="1">
      <c r="A159" s="1"/>
      <c r="B159" s="66" t="s">
        <v>294</v>
      </c>
      <c r="C159" s="19">
        <f t="shared" si="58" ref="C159:H159">C128</f>
        <v>48</v>
      </c>
      <c r="D159" s="19">
        <f t="shared" si="58"/>
        <v>46</v>
      </c>
      <c r="E159" s="19">
        <f t="shared" si="58"/>
        <v>185</v>
      </c>
      <c r="F159" s="19">
        <f t="shared" si="58"/>
        <v>47</v>
      </c>
      <c r="G159" s="19">
        <f t="shared" si="58"/>
        <v>51</v>
      </c>
      <c r="H159" s="43">
        <f t="shared" si="58"/>
        <v>50</v>
      </c>
      <c r="I159" s="1"/>
    </row>
    <row r="160" ht="15" customHeight="1">
      <c r="A160" s="1"/>
      <c r="B160" s="41" t="s">
        <v>295</v>
      </c>
      <c r="C160" s="19">
        <f t="shared" si="59" ref="C160:H160">C131</f>
        <v>19</v>
      </c>
      <c r="D160" s="19">
        <f t="shared" si="59"/>
        <v>53</v>
      </c>
      <c r="E160" s="19">
        <f t="shared" si="59"/>
        <v>92</v>
      </c>
      <c r="F160" s="19">
        <f t="shared" si="59"/>
        <v>48</v>
      </c>
      <c r="G160" s="19">
        <f t="shared" si="59"/>
        <v>16</v>
      </c>
      <c r="H160" s="43">
        <f t="shared" si="59"/>
        <v>30</v>
      </c>
      <c r="I160" s="1"/>
    </row>
    <row r="161" ht="15" customHeight="1">
      <c r="A161" s="1"/>
      <c r="B161" s="66" t="s">
        <v>296</v>
      </c>
      <c r="C161" s="19">
        <f t="shared" si="60" ref="C161:H161">C134</f>
        <v>0</v>
      </c>
      <c r="D161" s="19">
        <f t="shared" si="60"/>
        <v>0</v>
      </c>
      <c r="E161" s="19">
        <f t="shared" si="60"/>
        <v>-3</v>
      </c>
      <c r="F161" s="19">
        <f t="shared" si="60"/>
        <v>-5</v>
      </c>
      <c r="G161" s="19">
        <f t="shared" si="60"/>
        <v>0</v>
      </c>
      <c r="H161" s="43">
        <f t="shared" si="60"/>
        <v>0</v>
      </c>
      <c r="I161" s="1"/>
    </row>
    <row r="162" ht="15" customHeight="1">
      <c r="A162" s="1"/>
      <c r="B162" s="66" t="s">
        <v>297</v>
      </c>
      <c r="C162" s="19">
        <f t="shared" si="61" ref="C162:H162">C137</f>
        <v>12</v>
      </c>
      <c r="D162" s="19">
        <f t="shared" si="61"/>
        <v>3</v>
      </c>
      <c r="E162" s="19">
        <f t="shared" si="61"/>
        <v>3</v>
      </c>
      <c r="F162" s="19">
        <f t="shared" si="61"/>
        <v>-2</v>
      </c>
      <c r="G162" s="19">
        <f t="shared" si="61"/>
        <v>-5</v>
      </c>
      <c r="H162" s="43">
        <f t="shared" si="61"/>
        <v>0</v>
      </c>
      <c r="I162" s="1"/>
    </row>
    <row r="163" ht="15" customHeight="1">
      <c r="A163" s="1"/>
      <c r="B163" s="66" t="s">
        <v>298</v>
      </c>
      <c r="C163" s="19">
        <f t="shared" si="62" ref="C163:H163">C140</f>
        <v>10</v>
      </c>
      <c r="D163" s="19">
        <f t="shared" si="62"/>
        <v>18</v>
      </c>
      <c r="E163" s="19">
        <f t="shared" si="62"/>
        <v>55</v>
      </c>
      <c r="F163" s="19">
        <f t="shared" si="62"/>
        <v>12</v>
      </c>
      <c r="G163" s="19">
        <f t="shared" si="62"/>
        <v>23</v>
      </c>
      <c r="H163" s="43">
        <f t="shared" si="62"/>
        <v>25</v>
      </c>
      <c r="I163" s="1"/>
    </row>
    <row r="164" ht="15" customHeight="1">
      <c r="A164" s="1"/>
      <c r="B164" s="66" t="s">
        <v>299</v>
      </c>
      <c r="C164" s="19">
        <f t="shared" si="63" ref="C164:H164">C143</f>
        <v>41</v>
      </c>
      <c r="D164" s="19">
        <f t="shared" si="63"/>
        <v>33</v>
      </c>
      <c r="E164" s="19">
        <f t="shared" si="63"/>
        <v>166</v>
      </c>
      <c r="F164" s="19">
        <f t="shared" si="63"/>
        <v>28</v>
      </c>
      <c r="G164" s="19">
        <f t="shared" si="63"/>
        <v>20</v>
      </c>
      <c r="H164" s="43">
        <f t="shared" si="63"/>
        <v>20</v>
      </c>
      <c r="I164" s="1"/>
    </row>
    <row r="165" ht="15" customHeight="1">
      <c r="A165" s="1"/>
      <c r="B165" s="41" t="s">
        <v>300</v>
      </c>
      <c r="C165" s="19">
        <f t="shared" si="64" ref="C165:H165">C146</f>
        <v>-41</v>
      </c>
      <c r="D165" s="19">
        <f t="shared" si="64"/>
        <v>41</v>
      </c>
      <c r="E165" s="19">
        <f t="shared" si="64"/>
        <v>-34</v>
      </c>
      <c r="F165" s="19">
        <f t="shared" si="64"/>
        <v>53</v>
      </c>
      <c r="G165" s="19">
        <f t="shared" si="64"/>
        <v>151</v>
      </c>
      <c r="H165" s="43">
        <f t="shared" si="64"/>
        <v>20</v>
      </c>
      <c r="I165" s="1"/>
    </row>
    <row r="166" ht="15" customHeight="1">
      <c r="A166" s="1"/>
      <c r="B166" s="41" t="s">
        <v>301</v>
      </c>
      <c r="C166" s="19">
        <f t="shared" si="65" ref="C166:H166">C149</f>
        <v>-58</v>
      </c>
      <c r="D166" s="19">
        <f t="shared" si="65"/>
        <v>-111</v>
      </c>
      <c r="E166" s="19">
        <f t="shared" si="65"/>
        <v>-197</v>
      </c>
      <c r="F166" s="19">
        <f t="shared" si="65"/>
        <v>88</v>
      </c>
      <c r="G166" s="19">
        <f t="shared" si="65"/>
        <v>84</v>
      </c>
      <c r="H166" s="43">
        <f t="shared" si="65"/>
        <v>0</v>
      </c>
      <c r="I166" s="1"/>
    </row>
    <row r="167" ht="15" customHeight="1">
      <c r="A167" s="1"/>
      <c r="B167" s="35" t="s">
        <v>302</v>
      </c>
      <c r="C167" s="36">
        <f>Inputs!$C$128</f>
        <v>0.25</v>
      </c>
      <c r="D167" s="36">
        <f>Inputs!$C$128</f>
        <v>0.25</v>
      </c>
      <c r="E167" s="36">
        <f>Inputs!$C$128</f>
        <v>0.25</v>
      </c>
      <c r="F167" s="36">
        <f>Inputs!$C$128</f>
        <v>0.25</v>
      </c>
      <c r="G167" s="36">
        <f>Inputs!$C$128</f>
        <v>0.25</v>
      </c>
      <c r="H167" s="37">
        <f>Inputs!$C$128</f>
        <v>0.25</v>
      </c>
      <c r="I167" s="22" t="s">
        <v>303</v>
      </c>
    </row>
    <row r="168" ht="15" customHeight="1">
      <c r="A168" s="1"/>
      <c r="B168" s="41" t="s">
        <v>304</v>
      </c>
      <c r="C168" s="19">
        <f t="shared" si="66" ref="C168:H168">-C152*C167</f>
        <v>-7.75</v>
      </c>
      <c r="D168" s="19">
        <f t="shared" si="66"/>
        <v>-20.75</v>
      </c>
      <c r="E168" s="19">
        <f t="shared" si="66"/>
        <v>-66.75</v>
      </c>
      <c r="F168" s="19">
        <f t="shared" si="66"/>
        <v>-67.25</v>
      </c>
      <c r="G168" s="19">
        <f t="shared" si="66"/>
        <v>-85</v>
      </c>
      <c r="H168" s="43">
        <f t="shared" si="66"/>
        <v>-36.25</v>
      </c>
      <c r="I168" s="1"/>
    </row>
    <row r="169" ht="15" customHeight="1">
      <c r="A169" s="1"/>
      <c r="B169" s="4" t="s">
        <v>305</v>
      </c>
      <c r="C169" s="49">
        <f t="shared" si="67" ref="C169:H169">C157+C158+C159+C160+C161+C162+C163+C164+C165+C166+C168</f>
        <v>1195.25</v>
      </c>
      <c r="D169" s="49">
        <f t="shared" si="67"/>
        <v>1329.25</v>
      </c>
      <c r="E169" s="49">
        <f t="shared" si="67"/>
        <v>4761.25</v>
      </c>
      <c r="F169" s="49">
        <f t="shared" si="67"/>
        <v>1538.75</v>
      </c>
      <c r="G169" s="49">
        <f t="shared" si="67"/>
        <v>1447</v>
      </c>
      <c r="H169" s="50">
        <f t="shared" si="67"/>
        <v>1500.1420301768917</v>
      </c>
      <c r="I169" s="1"/>
    </row>
    <row r="170" ht="15" customHeight="1">
      <c r="A170" s="1"/>
      <c r="B170" s="4" t="s">
        <v>306</v>
      </c>
      <c r="C170" s="25">
        <f t="shared" si="68" ref="C170:H170">C169/C89</f>
        <v>0.6542145593869731</v>
      </c>
      <c r="D170" s="25">
        <f t="shared" si="68"/>
        <v>0.7291552386176632</v>
      </c>
      <c r="E170" s="25">
        <f t="shared" si="68"/>
        <v>2.600354997269252</v>
      </c>
      <c r="F170" s="25">
        <f t="shared" si="68"/>
        <v>0.8450027457440966</v>
      </c>
      <c r="G170" s="25">
        <f t="shared" si="68"/>
        <v>0.7959295929592959</v>
      </c>
      <c r="H170" s="72">
        <f t="shared" si="68"/>
        <v>0.8263939745293005</v>
      </c>
      <c r="I170" s="1"/>
    </row>
    <row r="171" ht="15" customHeight="1">
      <c r="A171" s="1"/>
      <c r="B171" s="41" t="s">
        <v>307</v>
      </c>
      <c r="C171" s="28">
        <f>Inputs!E104</f>
        <v>0.69</v>
      </c>
      <c r="D171" s="28">
        <f>Inputs!E105</f>
        <v>0.73</v>
      </c>
      <c r="E171" s="29" t="s">
        <v>39</v>
      </c>
      <c r="F171" s="28">
        <f>Inputs!E106</f>
        <v>0.84</v>
      </c>
      <c r="G171" s="28">
        <f>Inputs!E107</f>
        <v>0.8</v>
      </c>
      <c r="H171" s="71" t="s">
        <v>39</v>
      </c>
      <c r="I171" s="22" t="s">
        <v>308</v>
      </c>
    </row>
    <row r="172" ht="15" customHeight="1">
      <c r="A172" s="1"/>
      <c r="B172" s="41" t="s">
        <v>309</v>
      </c>
      <c r="C172" s="29">
        <f t="shared" si="69" ref="C172:H172">IF(AND(ISNUMBER(C170),ISNUMBER(C171)),(C170-C171),"n.a.")</f>
        <v>-0.0357854406130268</v>
      </c>
      <c r="D172" s="29">
        <f t="shared" si="69"/>
        <v>-0.0008447613823368005</v>
      </c>
      <c r="E172" s="29" t="str">
        <f t="shared" si="69"/>
        <v>n.a.</v>
      </c>
      <c r="F172" s="29">
        <f t="shared" si="69"/>
        <v>0.005002745744096648</v>
      </c>
      <c r="G172" s="29">
        <f t="shared" si="69"/>
        <v>-0.00407040704070416</v>
      </c>
      <c r="H172" s="71" t="str">
        <f t="shared" si="69"/>
        <v>n.a.</v>
      </c>
      <c r="I172" s="1"/>
    </row>
    <row r="173" ht="15" customHeight="1">
      <c r="A173" s="1"/>
      <c r="B173" s="41" t="s">
        <v>310</v>
      </c>
      <c r="C173" s="28">
        <f>Inputs!D104</f>
        <v>0.68</v>
      </c>
      <c r="D173" s="28">
        <f>Inputs!D105</f>
        <v>0.7</v>
      </c>
      <c r="E173" s="29" t="s">
        <v>39</v>
      </c>
      <c r="F173" s="28">
        <f>Inputs!D106</f>
        <v>0.8</v>
      </c>
      <c r="G173" s="28">
        <f>Inputs!D107</f>
        <v>0.77</v>
      </c>
      <c r="H173" s="76">
        <f>Inputs!C44</f>
        <v>0.82</v>
      </c>
      <c r="I173" s="1"/>
    </row>
    <row r="174" ht="15" customHeight="1">
      <c r="A174" s="1"/>
      <c r="B174" s="41" t="s">
        <v>311</v>
      </c>
      <c r="C174" s="29">
        <f t="shared" si="70" ref="C174:G174">IF(AND(ISNUMBER(C171),ISNUMBER(C173)),(C171-C173),"n.a.")</f>
        <v>0.009999999999999898</v>
      </c>
      <c r="D174" s="29">
        <f t="shared" si="70"/>
        <v>0.030000000000000027</v>
      </c>
      <c r="E174" s="29" t="str">
        <f t="shared" si="70"/>
        <v>n.a.</v>
      </c>
      <c r="F174" s="29">
        <f t="shared" si="70"/>
        <v>0.039999999999999925</v>
      </c>
      <c r="G174" s="29">
        <f t="shared" si="70"/>
        <v>0.030000000000000027</v>
      </c>
      <c r="H174" s="71">
        <f>IF(AND(ISNUMBER(H170),ISNUMBER(H173)),(H170-H173),"n.a.")</f>
        <v>0.006393974529300572</v>
      </c>
      <c r="I174" s="1"/>
    </row>
    <row r="175" ht="15" customHeight="1">
      <c r="A175" s="1"/>
      <c r="B175" s="35" t="s">
        <v>312</v>
      </c>
      <c r="C175" s="20"/>
      <c r="D175" s="20"/>
      <c r="E175" s="20"/>
      <c r="F175" s="20"/>
      <c r="G175" s="20"/>
      <c r="H175" s="38">
        <f>IF(AND(ISNUMBER(H170),ISNUMBER(C170)),IF(C170=0,"n.m.",H170/C170-1),"n.a.")</f>
        <v>0.2631849332483014</v>
      </c>
      <c r="I175" s="1"/>
    </row>
    <row r="176" ht="15" customHeight="1">
      <c r="A176" s="1"/>
      <c r="B176" s="1"/>
      <c r="C176" s="1"/>
      <c r="D176" s="1"/>
      <c r="E176" s="1"/>
      <c r="F176" s="1"/>
      <c r="G176" s="1"/>
      <c r="H176" s="32"/>
      <c r="I176" s="1"/>
    </row>
    <row r="177" ht="15" customHeight="1">
      <c r="A177" s="1"/>
      <c r="B177" s="4" t="s">
        <v>313</v>
      </c>
      <c r="C177" s="1"/>
      <c r="D177" s="1"/>
      <c r="E177" s="1"/>
      <c r="F177" s="1"/>
      <c r="G177" s="1"/>
      <c r="H177" s="32"/>
      <c r="I177" s="1"/>
    </row>
    <row r="178" ht="15" customHeight="1">
      <c r="A178" s="1"/>
      <c r="B178" s="1" t="s">
        <v>314</v>
      </c>
      <c r="C178" s="18">
        <f>'Cash Flow Statement'!C13</f>
        <v>204</v>
      </c>
      <c r="D178" s="18">
        <f>'Cash Flow Statement'!D13</f>
        <v>221</v>
      </c>
      <c r="E178" s="18">
        <f>'Cash Flow Statement'!E13</f>
        <v>813</v>
      </c>
      <c r="F178" s="18">
        <f>'Cash Flow Statement'!F13</f>
        <v>210</v>
      </c>
      <c r="G178" s="18">
        <f>'Cash Flow Statement'!G13</f>
        <v>220</v>
      </c>
      <c r="H178" s="55">
        <f>'Cash Flow Statement'!H13</f>
        <v>222</v>
      </c>
      <c r="I178" s="1"/>
    </row>
    <row r="179" ht="15" customHeight="1">
      <c r="A179" s="1"/>
      <c r="B179" s="4" t="s">
        <v>315</v>
      </c>
      <c r="C179" s="49">
        <f t="shared" si="71" ref="C179:H179">C47+C178</f>
        <v>1806</v>
      </c>
      <c r="D179" s="49">
        <f t="shared" si="71"/>
        <v>1726</v>
      </c>
      <c r="E179" s="49">
        <f t="shared" si="71"/>
        <v>6860</v>
      </c>
      <c r="F179" s="49">
        <f t="shared" si="71"/>
        <v>1990</v>
      </c>
      <c r="G179" s="49">
        <f t="shared" si="71"/>
        <v>1805</v>
      </c>
      <c r="H179" s="50">
        <f t="shared" si="71"/>
        <v>2061.1071354442993</v>
      </c>
      <c r="I179" s="1"/>
    </row>
    <row r="180" ht="15" customHeight="1">
      <c r="A180" s="1"/>
      <c r="B180" s="35" t="s">
        <v>316</v>
      </c>
      <c r="C180" s="20">
        <f t="shared" si="72" ref="C180:H180">IF(AND(ISNUMBER(C179),ISNUMBER(C24)),IF(C24=0,"n.m.",C179/C24),"n.a.")</f>
        <v>0.21269579554822754</v>
      </c>
      <c r="D180" s="20">
        <f t="shared" si="72"/>
        <v>0.19067609368095448</v>
      </c>
      <c r="E180" s="20">
        <f t="shared" si="72"/>
        <v>0.20650210716435882</v>
      </c>
      <c r="F180" s="20">
        <f t="shared" si="72"/>
        <v>0.22784520265628577</v>
      </c>
      <c r="G180" s="20">
        <f t="shared" si="72"/>
        <v>0.19050131926121372</v>
      </c>
      <c r="H180" s="38">
        <f t="shared" si="72"/>
        <v>0.21294389990871482</v>
      </c>
      <c r="I180" s="1"/>
    </row>
    <row r="181" ht="15" customHeight="1">
      <c r="A181" s="1"/>
      <c r="B181" s="41" t="s">
        <v>317</v>
      </c>
      <c r="C181" s="19" t="s">
        <v>39</v>
      </c>
      <c r="D181" s="42">
        <v>194</v>
      </c>
      <c r="E181" s="42">
        <v>761</v>
      </c>
      <c r="F181" s="42">
        <v>186</v>
      </c>
      <c r="G181" s="42">
        <v>202</v>
      </c>
      <c r="H181" s="43">
        <f t="shared" si="73"/>
        <v>204</v>
      </c>
      <c r="I181" s="1"/>
    </row>
    <row r="182" ht="15" customHeight="1">
      <c r="A182" s="1"/>
      <c r="B182" s="46" t="s">
        <v>81</v>
      </c>
      <c r="C182" s="47" t="str">
        <f t="shared" si="74" ref="C182:H182">IF(COUNT(C180,C51,C181,C25)=4,(C180-(C51+C181)/C25)*10000,"n.a.")</f>
        <v>n.a.</v>
      </c>
      <c r="D182" s="47">
        <f t="shared" si="74"/>
        <v>295.955534108194</v>
      </c>
      <c r="E182" s="47">
        <f t="shared" si="74"/>
        <v>267.94426426694105</v>
      </c>
      <c r="F182" s="47">
        <f t="shared" si="74"/>
        <v>29.738940678273597</v>
      </c>
      <c r="G182" s="47">
        <f t="shared" si="74"/>
        <v>-105.83671697194957</v>
      </c>
      <c r="H182" s="48">
        <f t="shared" si="74"/>
        <v>2.481043604872779</v>
      </c>
      <c r="I182" s="1"/>
    </row>
    <row r="183" ht="15" customHeight="1">
      <c r="A183" s="1"/>
      <c r="B183" s="46" t="s">
        <v>82</v>
      </c>
      <c r="C183" s="47" t="s">
        <v>39</v>
      </c>
      <c r="D183" s="47">
        <f t="shared" si="15"/>
        <v>-220.19701867273062</v>
      </c>
      <c r="E183" s="47"/>
      <c r="F183" s="47">
        <f t="shared" si="19"/>
        <v>371.69108975331295</v>
      </c>
      <c r="G183" s="47">
        <f t="shared" si="15"/>
        <v>-373.43883395072055</v>
      </c>
      <c r="H183" s="48">
        <f t="shared" si="15"/>
        <v>224.42580647501097</v>
      </c>
      <c r="I183" s="1"/>
    </row>
    <row r="184" ht="15" customHeight="1">
      <c r="A184" s="1"/>
      <c r="B184" s="41" t="s">
        <v>318</v>
      </c>
      <c r="C184" s="42">
        <v>1806</v>
      </c>
      <c r="D184" s="42">
        <v>1726</v>
      </c>
      <c r="E184" s="42">
        <v>6860</v>
      </c>
      <c r="F184" s="42">
        <v>1990</v>
      </c>
      <c r="G184" s="42">
        <v>1805</v>
      </c>
      <c r="H184" s="43" t="s">
        <v>39</v>
      </c>
      <c r="I184" s="1"/>
    </row>
    <row r="185" ht="15" customHeight="1">
      <c r="A185" s="1"/>
      <c r="B185" s="35" t="s">
        <v>319</v>
      </c>
      <c r="C185" s="63">
        <f t="shared" si="75" ref="C185:G185">C179-C184</f>
        <v>0</v>
      </c>
      <c r="D185" s="63">
        <f t="shared" si="75"/>
        <v>0</v>
      </c>
      <c r="E185" s="63">
        <f t="shared" si="75"/>
        <v>0</v>
      </c>
      <c r="F185" s="63">
        <f t="shared" si="75"/>
        <v>0</v>
      </c>
      <c r="G185" s="63">
        <f t="shared" si="75"/>
        <v>0</v>
      </c>
      <c r="H185" s="64" t="s">
        <v>39</v>
      </c>
      <c r="I185" s="1"/>
    </row>
    <row r="186" ht="15" customHeight="1">
      <c r="A186" s="1"/>
      <c r="B186" s="1"/>
      <c r="C186" s="1"/>
      <c r="D186" s="1"/>
      <c r="E186" s="1"/>
      <c r="F186" s="1"/>
      <c r="G186" s="1"/>
      <c r="H186" s="32"/>
      <c r="I186" s="1"/>
    </row>
    <row r="187" ht="15" customHeight="1">
      <c r="A187" s="1"/>
      <c r="B187" s="1"/>
      <c r="C187" s="1"/>
      <c r="D187" s="1"/>
      <c r="E187" s="1"/>
      <c r="F187" s="1"/>
      <c r="G187" s="1"/>
      <c r="H187" s="1"/>
      <c r="I187" s="1"/>
    </row>
    <row r="188" ht="15" customHeight="1">
      <c r="A188" s="1"/>
      <c r="B188" s="1"/>
      <c r="C188" s="1"/>
      <c r="D188" s="1"/>
      <c r="E188" s="1"/>
      <c r="F188" s="1"/>
      <c r="G188" s="1"/>
      <c r="H188" s="1"/>
      <c r="I188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C116609-8EFB-A346-6918-1A5FD24FDA07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320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321</v>
      </c>
      <c r="C10" s="1"/>
      <c r="D10" s="1"/>
      <c r="E10" s="1"/>
      <c r="F10" s="1"/>
      <c r="G10" s="1"/>
      <c r="H10" s="32"/>
      <c r="I10" s="22" t="s">
        <v>322</v>
      </c>
    </row>
    <row r="11" ht="15" customHeight="1">
      <c r="A11" s="1"/>
      <c r="B11" s="1" t="s">
        <v>323</v>
      </c>
      <c r="C11" s="42">
        <v>3937</v>
      </c>
      <c r="D11" s="42">
        <v>4640</v>
      </c>
      <c r="E11" s="19">
        <f t="shared" si="2" ref="E11:H59">D11</f>
        <v>4640</v>
      </c>
      <c r="F11" s="42">
        <v>3325</v>
      </c>
      <c r="G11" s="42">
        <v>3867</v>
      </c>
      <c r="H11" s="55">
        <f>'Cash Flow Statement'!H69</f>
        <v>5024.238795625716</v>
      </c>
      <c r="I11" s="1"/>
    </row>
    <row r="12" ht="15" customHeight="1">
      <c r="A12" s="1"/>
      <c r="B12" s="1" t="s">
        <v>324</v>
      </c>
      <c r="C12" s="42">
        <v>1890</v>
      </c>
      <c r="D12" s="42">
        <v>1981</v>
      </c>
      <c r="E12" s="19">
        <f t="shared" si="2"/>
        <v>1981</v>
      </c>
      <c r="F12" s="42">
        <v>2601</v>
      </c>
      <c r="G12" s="42">
        <v>1990</v>
      </c>
      <c r="H12" s="43">
        <f t="shared" si="2"/>
        <v>1990</v>
      </c>
      <c r="I12" s="1"/>
    </row>
    <row r="13" ht="15" customHeight="1">
      <c r="A13" s="1"/>
      <c r="B13" s="1" t="s">
        <v>325</v>
      </c>
      <c r="C13" s="42">
        <v>7955</v>
      </c>
      <c r="D13" s="42">
        <v>7535</v>
      </c>
      <c r="E13" s="19">
        <f t="shared" si="2"/>
        <v>7535</v>
      </c>
      <c r="F13" s="42">
        <v>7606</v>
      </c>
      <c r="G13" s="42">
        <v>8033</v>
      </c>
      <c r="H13" s="55">
        <f>G13-'Cash Flow Statement'!H21</f>
        <v>8018.180966676026</v>
      </c>
      <c r="I13" s="1"/>
    </row>
    <row r="14" ht="15" customHeight="1">
      <c r="A14" s="1"/>
      <c r="B14" s="1" t="s">
        <v>326</v>
      </c>
      <c r="C14" s="42">
        <v>1289</v>
      </c>
      <c r="D14" s="42">
        <v>1090</v>
      </c>
      <c r="E14" s="19">
        <f t="shared" si="2"/>
        <v>1090</v>
      </c>
      <c r="F14" s="42">
        <v>1152</v>
      </c>
      <c r="G14" s="42">
        <v>1189</v>
      </c>
      <c r="H14" s="55">
        <f>G14-'Cash Flow Statement'!H22</f>
        <v>1053.3488488036232</v>
      </c>
      <c r="I14" s="22" t="s">
        <v>327</v>
      </c>
    </row>
    <row r="15" ht="15" customHeight="1">
      <c r="A15" s="1"/>
      <c r="B15" s="1" t="s">
        <v>328</v>
      </c>
      <c r="C15" s="42">
        <v>6431</v>
      </c>
      <c r="D15" s="42">
        <v>5862</v>
      </c>
      <c r="E15" s="19">
        <f t="shared" si="2"/>
        <v>5862</v>
      </c>
      <c r="F15" s="42">
        <v>6056</v>
      </c>
      <c r="G15" s="42">
        <v>6471</v>
      </c>
      <c r="H15" s="55">
        <f>G15-'Cash Flow Statement'!H23</f>
        <v>6546.235092260175</v>
      </c>
      <c r="I15" s="1"/>
    </row>
    <row r="16" ht="15" customHeight="1">
      <c r="A16" s="1"/>
      <c r="B16" s="1" t="s">
        <v>329</v>
      </c>
      <c r="C16" s="42">
        <v>330</v>
      </c>
      <c r="D16" s="42">
        <v>281</v>
      </c>
      <c r="E16" s="19">
        <f t="shared" si="2"/>
        <v>281</v>
      </c>
      <c r="F16" s="42">
        <v>363</v>
      </c>
      <c r="G16" s="42">
        <v>358</v>
      </c>
      <c r="H16" s="43">
        <f t="shared" si="2"/>
        <v>358</v>
      </c>
      <c r="I16" s="1"/>
    </row>
    <row r="17" ht="15" customHeight="1">
      <c r="A17" s="1"/>
      <c r="B17" s="1" t="s">
        <v>330</v>
      </c>
      <c r="C17" s="42">
        <v>514</v>
      </c>
      <c r="D17" s="42">
        <v>627</v>
      </c>
      <c r="E17" s="19">
        <f t="shared" si="2"/>
        <v>627</v>
      </c>
      <c r="F17" s="42">
        <v>580</v>
      </c>
      <c r="G17" s="42">
        <v>512</v>
      </c>
      <c r="H17" s="55">
        <f>G17-'Cash Flow Statement'!H28</f>
        <v>441.3246103010473</v>
      </c>
      <c r="I17" s="1"/>
    </row>
    <row r="18" ht="15" customHeight="1">
      <c r="A18" s="1"/>
      <c r="B18" s="1" t="s">
        <v>331</v>
      </c>
      <c r="C18" s="42">
        <v>45</v>
      </c>
      <c r="D18" s="42">
        <v>3562</v>
      </c>
      <c r="E18" s="19">
        <f t="shared" si="2"/>
        <v>3562</v>
      </c>
      <c r="F18" s="42">
        <v>3779</v>
      </c>
      <c r="G18" s="42">
        <v>3931</v>
      </c>
      <c r="H18" s="55">
        <f>G18-'Cash Flow Statement'!H46</f>
        <v>3971</v>
      </c>
      <c r="I18" s="1"/>
    </row>
    <row r="19" ht="15" customHeight="1">
      <c r="A19" s="1"/>
      <c r="B19" s="4" t="s">
        <v>332</v>
      </c>
      <c r="C19" s="49">
        <f t="shared" si="3" ref="C19:H19">SUM(C11:C18)</f>
        <v>22391</v>
      </c>
      <c r="D19" s="49">
        <f t="shared" si="3"/>
        <v>25578</v>
      </c>
      <c r="E19" s="49">
        <f t="shared" si="3"/>
        <v>25578</v>
      </c>
      <c r="F19" s="49">
        <f t="shared" si="3"/>
        <v>25462</v>
      </c>
      <c r="G19" s="49">
        <f t="shared" si="3"/>
        <v>26351</v>
      </c>
      <c r="H19" s="50">
        <f t="shared" si="3"/>
        <v>27402.32831366659</v>
      </c>
      <c r="I19" s="1"/>
    </row>
    <row r="20" ht="15" customHeight="1">
      <c r="A20" s="1"/>
      <c r="B20" s="1" t="s">
        <v>333</v>
      </c>
      <c r="C20" s="42">
        <v>4690</v>
      </c>
      <c r="D20" s="42">
        <v>4692</v>
      </c>
      <c r="E20" s="19">
        <f t="shared" si="2"/>
        <v>4692</v>
      </c>
      <c r="F20" s="42">
        <v>4605</v>
      </c>
      <c r="G20" s="42">
        <v>4700</v>
      </c>
      <c r="H20" s="55">
        <f>G20-'Cash Flow Statement'!H36-'Cash Flow Statement'!H74</f>
        <v>4822</v>
      </c>
      <c r="I20" s="22" t="s">
        <v>334</v>
      </c>
    </row>
    <row r="21" ht="15" customHeight="1">
      <c r="A21" s="1"/>
      <c r="B21" s="1" t="s">
        <v>335</v>
      </c>
      <c r="C21" s="42">
        <v>845</v>
      </c>
      <c r="D21" s="42">
        <v>765</v>
      </c>
      <c r="E21" s="19">
        <f t="shared" si="2"/>
        <v>765</v>
      </c>
      <c r="F21" s="42">
        <v>785</v>
      </c>
      <c r="G21" s="42">
        <v>783</v>
      </c>
      <c r="H21" s="43">
        <f t="shared" si="2"/>
        <v>783</v>
      </c>
      <c r="I21" s="1"/>
    </row>
    <row r="22" ht="15" customHeight="1">
      <c r="A22" s="1"/>
      <c r="B22" s="1" t="s">
        <v>336</v>
      </c>
      <c r="C22" s="42">
        <v>401</v>
      </c>
      <c r="D22" s="42">
        <v>349</v>
      </c>
      <c r="E22" s="19">
        <f t="shared" si="2"/>
        <v>349</v>
      </c>
      <c r="F22" s="42">
        <v>321</v>
      </c>
      <c r="G22" s="42">
        <v>340</v>
      </c>
      <c r="H22" s="43">
        <f t="shared" si="2"/>
        <v>340</v>
      </c>
      <c r="I22" s="1"/>
    </row>
    <row r="23" ht="15" customHeight="1">
      <c r="A23" s="1"/>
      <c r="B23" s="1" t="s">
        <v>337</v>
      </c>
      <c r="C23" s="42">
        <v>859</v>
      </c>
      <c r="D23" s="42">
        <v>937</v>
      </c>
      <c r="E23" s="19">
        <f t="shared" si="2"/>
        <v>937</v>
      </c>
      <c r="F23" s="42">
        <v>958</v>
      </c>
      <c r="G23" s="42">
        <v>982</v>
      </c>
      <c r="H23" s="43">
        <f t="shared" si="2"/>
        <v>982</v>
      </c>
      <c r="I23" s="1"/>
    </row>
    <row r="24" ht="15" customHeight="1">
      <c r="A24" s="1"/>
      <c r="B24" s="1" t="s">
        <v>338</v>
      </c>
      <c r="C24" s="42">
        <v>1147</v>
      </c>
      <c r="D24" s="42">
        <v>1119</v>
      </c>
      <c r="E24" s="19">
        <f t="shared" si="2"/>
        <v>1119</v>
      </c>
      <c r="F24" s="42">
        <v>1088</v>
      </c>
      <c r="G24" s="42">
        <v>1075</v>
      </c>
      <c r="H24" s="55">
        <f>G24-'Cash Flow Statement'!H77</f>
        <v>1011</v>
      </c>
      <c r="I24" s="1"/>
    </row>
    <row r="25" ht="15" customHeight="1">
      <c r="A25" s="1"/>
      <c r="B25" s="1" t="s">
        <v>339</v>
      </c>
      <c r="C25" s="42">
        <v>11368</v>
      </c>
      <c r="D25" s="42">
        <v>9637</v>
      </c>
      <c r="E25" s="19">
        <f t="shared" si="2"/>
        <v>9637</v>
      </c>
      <c r="F25" s="42">
        <v>9585</v>
      </c>
      <c r="G25" s="42">
        <v>9636</v>
      </c>
      <c r="H25" s="43">
        <f t="shared" si="2"/>
        <v>9636</v>
      </c>
      <c r="I25" s="1"/>
    </row>
    <row r="26" ht="15" customHeight="1">
      <c r="A26" s="1"/>
      <c r="B26" s="1" t="s">
        <v>340</v>
      </c>
      <c r="C26" s="42">
        <v>1378</v>
      </c>
      <c r="D26" s="42">
        <v>1248</v>
      </c>
      <c r="E26" s="19">
        <f t="shared" si="2"/>
        <v>1248</v>
      </c>
      <c r="F26" s="42">
        <v>1289</v>
      </c>
      <c r="G26" s="42">
        <v>1344</v>
      </c>
      <c r="H26" s="43">
        <f t="shared" si="2"/>
        <v>1344</v>
      </c>
      <c r="I26" s="1"/>
    </row>
    <row r="27" ht="15" customHeight="1">
      <c r="A27" s="1"/>
      <c r="B27" s="1" t="s">
        <v>341</v>
      </c>
      <c r="C27" s="42">
        <v>575</v>
      </c>
      <c r="D27" s="42">
        <v>560</v>
      </c>
      <c r="E27" s="19">
        <f t="shared" si="2"/>
        <v>560</v>
      </c>
      <c r="F27" s="42">
        <v>536</v>
      </c>
      <c r="G27" s="42">
        <v>490</v>
      </c>
      <c r="H27" s="43">
        <f t="shared" si="2"/>
        <v>490</v>
      </c>
      <c r="I27" s="1"/>
    </row>
    <row r="28" ht="15" customHeight="1">
      <c r="A28" s="1"/>
      <c r="B28" s="1" t="s">
        <v>342</v>
      </c>
      <c r="C28" s="42">
        <v>0</v>
      </c>
      <c r="D28" s="42">
        <v>0</v>
      </c>
      <c r="E28" s="19">
        <f t="shared" si="2"/>
        <v>0</v>
      </c>
      <c r="F28" s="42">
        <v>0</v>
      </c>
      <c r="G28" s="42">
        <v>35</v>
      </c>
      <c r="H28" s="43">
        <f t="shared" si="2"/>
        <v>35</v>
      </c>
      <c r="I28" s="1"/>
    </row>
    <row r="29" ht="15" customHeight="1">
      <c r="A29" s="1"/>
      <c r="B29" s="4" t="s">
        <v>343</v>
      </c>
      <c r="C29" s="49">
        <f t="shared" si="4" ref="C29:H29">C19+SUM(C20:C28)</f>
        <v>43654</v>
      </c>
      <c r="D29" s="49">
        <f t="shared" si="4"/>
        <v>44885</v>
      </c>
      <c r="E29" s="49">
        <f t="shared" si="4"/>
        <v>44885</v>
      </c>
      <c r="F29" s="49">
        <f t="shared" si="4"/>
        <v>44629</v>
      </c>
      <c r="G29" s="49">
        <f t="shared" si="4"/>
        <v>45736</v>
      </c>
      <c r="H29" s="50">
        <f t="shared" si="4"/>
        <v>46845.328313666585</v>
      </c>
      <c r="I29" s="1"/>
    </row>
    <row r="30" ht="15" customHeight="1">
      <c r="A30" s="1"/>
      <c r="B30" s="1"/>
      <c r="C30" s="1"/>
      <c r="D30" s="1"/>
      <c r="E30" s="1"/>
      <c r="F30" s="1"/>
      <c r="G30" s="1"/>
      <c r="H30" s="32"/>
      <c r="I30" s="1"/>
    </row>
    <row r="31" ht="15" customHeight="1">
      <c r="A31" s="1"/>
      <c r="B31" s="4" t="s">
        <v>344</v>
      </c>
      <c r="C31" s="1"/>
      <c r="D31" s="1"/>
      <c r="E31" s="1"/>
      <c r="F31" s="1"/>
      <c r="G31" s="1"/>
      <c r="H31" s="32"/>
      <c r="I31" s="1"/>
    </row>
    <row r="32" ht="15" customHeight="1">
      <c r="A32" s="1"/>
      <c r="B32" s="1" t="s">
        <v>345</v>
      </c>
      <c r="C32" s="42">
        <v>5271</v>
      </c>
      <c r="D32" s="42">
        <v>5210</v>
      </c>
      <c r="E32" s="19">
        <f t="shared" si="2"/>
        <v>5210</v>
      </c>
      <c r="F32" s="42">
        <v>5423</v>
      </c>
      <c r="G32" s="42">
        <v>5868</v>
      </c>
      <c r="H32" s="55">
        <f>G32+'Cash Flow Statement'!H24</f>
        <v>5910.1772486913105</v>
      </c>
      <c r="I32" s="1"/>
    </row>
    <row r="33" ht="15" customHeight="1">
      <c r="A33" s="1"/>
      <c r="B33" s="1" t="s">
        <v>346</v>
      </c>
      <c r="C33" s="42">
        <v>3451</v>
      </c>
      <c r="D33" s="42">
        <v>3221</v>
      </c>
      <c r="E33" s="19">
        <f t="shared" si="2"/>
        <v>3221</v>
      </c>
      <c r="F33" s="42">
        <v>3475</v>
      </c>
      <c r="G33" s="42">
        <v>3545</v>
      </c>
      <c r="H33" s="43">
        <f t="shared" si="2"/>
        <v>3545</v>
      </c>
      <c r="I33" s="22" t="s">
        <v>347</v>
      </c>
    </row>
    <row r="34" ht="15" customHeight="1">
      <c r="A34" s="1"/>
      <c r="B34" s="1" t="s">
        <v>348</v>
      </c>
      <c r="C34" s="42">
        <v>680</v>
      </c>
      <c r="D34" s="42">
        <v>475</v>
      </c>
      <c r="E34" s="19">
        <f t="shared" si="2"/>
        <v>475</v>
      </c>
      <c r="F34" s="42">
        <v>1621</v>
      </c>
      <c r="G34" s="42">
        <v>1610</v>
      </c>
      <c r="H34" s="43">
        <f t="shared" si="2"/>
        <v>1610</v>
      </c>
      <c r="I34" s="1"/>
    </row>
    <row r="35" ht="15" customHeight="1">
      <c r="A35" s="1"/>
      <c r="B35" s="1" t="s">
        <v>349</v>
      </c>
      <c r="C35" s="42">
        <v>270</v>
      </c>
      <c r="D35" s="42">
        <v>253</v>
      </c>
      <c r="E35" s="19">
        <f t="shared" si="2"/>
        <v>253</v>
      </c>
      <c r="F35" s="42">
        <v>227</v>
      </c>
      <c r="G35" s="42">
        <v>252</v>
      </c>
      <c r="H35" s="43">
        <f t="shared" si="2"/>
        <v>252</v>
      </c>
      <c r="I35" s="1"/>
    </row>
    <row r="36" ht="15" customHeight="1">
      <c r="A36" s="1"/>
      <c r="B36" s="1" t="s">
        <v>350</v>
      </c>
      <c r="C36" s="42">
        <v>1584</v>
      </c>
      <c r="D36" s="42">
        <v>1477</v>
      </c>
      <c r="E36" s="19">
        <f t="shared" si="2"/>
        <v>1477</v>
      </c>
      <c r="F36" s="42">
        <v>1493</v>
      </c>
      <c r="G36" s="42">
        <v>1492</v>
      </c>
      <c r="H36" s="55">
        <f>G36+'Cash Flow Statement'!H26</f>
        <v>1525.0578435688649</v>
      </c>
      <c r="I36" s="1"/>
    </row>
    <row r="37" ht="15" customHeight="1">
      <c r="A37" s="1"/>
      <c r="B37" s="1" t="s">
        <v>351</v>
      </c>
      <c r="C37" s="42">
        <v>4748</v>
      </c>
      <c r="D37" s="42">
        <v>4677</v>
      </c>
      <c r="E37" s="19">
        <f t="shared" si="2"/>
        <v>4677</v>
      </c>
      <c r="F37" s="42">
        <v>5088</v>
      </c>
      <c r="G37" s="42">
        <v>4518</v>
      </c>
      <c r="H37" s="55">
        <f>G37+'Cash Flow Statement'!H25+'Cash Flow Statement'!H27</f>
        <v>4702.667953729521</v>
      </c>
      <c r="I37" s="22" t="s">
        <v>352</v>
      </c>
    </row>
    <row r="38" ht="15" customHeight="1">
      <c r="A38" s="1"/>
      <c r="B38" s="1" t="s">
        <v>353</v>
      </c>
      <c r="C38" s="42">
        <v>32</v>
      </c>
      <c r="D38" s="42">
        <v>1108</v>
      </c>
      <c r="E38" s="19">
        <f t="shared" si="2"/>
        <v>1108</v>
      </c>
      <c r="F38" s="42">
        <v>1184</v>
      </c>
      <c r="G38" s="42">
        <v>1155</v>
      </c>
      <c r="H38" s="43">
        <f t="shared" si="2"/>
        <v>1155</v>
      </c>
      <c r="I38" s="1"/>
    </row>
    <row r="39" ht="15" customHeight="1">
      <c r="A39" s="1"/>
      <c r="B39" s="4" t="s">
        <v>354</v>
      </c>
      <c r="C39" s="49">
        <f t="shared" si="5" ref="C39:H39">SUM(C32:C38)</f>
        <v>16036</v>
      </c>
      <c r="D39" s="49">
        <f t="shared" si="5"/>
        <v>16421</v>
      </c>
      <c r="E39" s="49">
        <f t="shared" si="5"/>
        <v>16421</v>
      </c>
      <c r="F39" s="49">
        <f t="shared" si="5"/>
        <v>18511</v>
      </c>
      <c r="G39" s="49">
        <f t="shared" si="5"/>
        <v>18440</v>
      </c>
      <c r="H39" s="50">
        <f t="shared" si="5"/>
        <v>18699.903045989697</v>
      </c>
      <c r="I39" s="1"/>
    </row>
    <row r="40" ht="15" customHeight="1">
      <c r="A40" s="1"/>
      <c r="B40" s="1" t="s">
        <v>355</v>
      </c>
      <c r="C40" s="42">
        <v>7844</v>
      </c>
      <c r="D40" s="42">
        <v>7829</v>
      </c>
      <c r="E40" s="19">
        <f t="shared" si="2"/>
        <v>7829</v>
      </c>
      <c r="F40" s="42">
        <v>6573</v>
      </c>
      <c r="G40" s="42">
        <v>6567</v>
      </c>
      <c r="H40" s="43">
        <f t="shared" si="2"/>
        <v>6567</v>
      </c>
      <c r="I40" s="1"/>
    </row>
    <row r="41" ht="15" customHeight="1">
      <c r="A41" s="1"/>
      <c r="B41" s="1" t="s">
        <v>356</v>
      </c>
      <c r="C41" s="42">
        <v>601</v>
      </c>
      <c r="D41" s="42">
        <v>533</v>
      </c>
      <c r="E41" s="19">
        <f t="shared" si="2"/>
        <v>533</v>
      </c>
      <c r="F41" s="42">
        <v>579</v>
      </c>
      <c r="G41" s="42">
        <v>553</v>
      </c>
      <c r="H41" s="43">
        <f t="shared" si="2"/>
        <v>553</v>
      </c>
      <c r="I41" s="1"/>
    </row>
    <row r="42" ht="15" customHeight="1">
      <c r="A42" s="1"/>
      <c r="B42" s="1" t="s">
        <v>357</v>
      </c>
      <c r="C42" s="42">
        <v>604</v>
      </c>
      <c r="D42" s="42">
        <v>550</v>
      </c>
      <c r="E42" s="19">
        <f t="shared" si="2"/>
        <v>550</v>
      </c>
      <c r="F42" s="42">
        <v>541</v>
      </c>
      <c r="G42" s="42">
        <v>552</v>
      </c>
      <c r="H42" s="43">
        <f t="shared" si="2"/>
        <v>552</v>
      </c>
      <c r="I42" s="1"/>
    </row>
    <row r="43" ht="15" customHeight="1">
      <c r="A43" s="1"/>
      <c r="B43" s="1" t="s">
        <v>340</v>
      </c>
      <c r="C43" s="42">
        <v>829</v>
      </c>
      <c r="D43" s="42">
        <v>792</v>
      </c>
      <c r="E43" s="19">
        <f t="shared" si="2"/>
        <v>792</v>
      </c>
      <c r="F43" s="42">
        <v>855</v>
      </c>
      <c r="G43" s="42">
        <v>827</v>
      </c>
      <c r="H43" s="43">
        <f t="shared" si="2"/>
        <v>827</v>
      </c>
      <c r="I43" s="1"/>
    </row>
    <row r="44" ht="15" customHeight="1">
      <c r="A44" s="1"/>
      <c r="B44" s="1" t="s">
        <v>358</v>
      </c>
      <c r="C44" s="42">
        <v>2218</v>
      </c>
      <c r="D44" s="42">
        <v>2101</v>
      </c>
      <c r="E44" s="19">
        <f t="shared" si="2"/>
        <v>2101</v>
      </c>
      <c r="F44" s="42">
        <v>2160</v>
      </c>
      <c r="G44" s="42">
        <v>2309</v>
      </c>
      <c r="H44" s="43">
        <f t="shared" si="2"/>
        <v>2309</v>
      </c>
      <c r="I44" s="1"/>
    </row>
    <row r="45" ht="15" customHeight="1">
      <c r="A45" s="1"/>
      <c r="B45" s="1" t="s">
        <v>359</v>
      </c>
      <c r="C45" s="42">
        <v>0</v>
      </c>
      <c r="D45" s="42">
        <v>13</v>
      </c>
      <c r="E45" s="19">
        <f t="shared" si="2"/>
        <v>13</v>
      </c>
      <c r="F45" s="42">
        <v>43</v>
      </c>
      <c r="G45" s="42">
        <v>83</v>
      </c>
      <c r="H45" s="43">
        <f t="shared" si="2"/>
        <v>83</v>
      </c>
      <c r="I45" s="1"/>
    </row>
    <row r="46" ht="15" customHeight="1">
      <c r="A46" s="1"/>
      <c r="B46" s="4" t="s">
        <v>360</v>
      </c>
      <c r="C46" s="49">
        <f t="shared" si="6" ref="C46:H46">C39+SUM(C40:C45)</f>
        <v>28132</v>
      </c>
      <c r="D46" s="49">
        <f t="shared" si="6"/>
        <v>28239</v>
      </c>
      <c r="E46" s="49">
        <f t="shared" si="6"/>
        <v>28239</v>
      </c>
      <c r="F46" s="49">
        <f t="shared" si="6"/>
        <v>29262</v>
      </c>
      <c r="G46" s="49">
        <f t="shared" si="6"/>
        <v>29331</v>
      </c>
      <c r="H46" s="50">
        <f t="shared" si="6"/>
        <v>29590.903045989697</v>
      </c>
      <c r="I46" s="1"/>
    </row>
    <row r="47" ht="15" customHeight="1">
      <c r="A47" s="1"/>
      <c r="B47" s="1"/>
      <c r="C47" s="1"/>
      <c r="D47" s="1"/>
      <c r="E47" s="1"/>
      <c r="F47" s="1"/>
      <c r="G47" s="1"/>
      <c r="H47" s="32"/>
      <c r="I47" s="1"/>
    </row>
    <row r="48" ht="15" customHeight="1">
      <c r="A48" s="1"/>
      <c r="B48" s="4" t="s">
        <v>361</v>
      </c>
      <c r="C48" s="1"/>
      <c r="D48" s="1"/>
      <c r="E48" s="1"/>
      <c r="F48" s="1"/>
      <c r="G48" s="1"/>
      <c r="H48" s="32"/>
      <c r="I48" s="1"/>
    </row>
    <row r="49" ht="15" customHeight="1">
      <c r="A49" s="1"/>
      <c r="B49" s="1" t="s">
        <v>362</v>
      </c>
      <c r="C49" s="42">
        <v>160</v>
      </c>
      <c r="D49" s="42">
        <v>160</v>
      </c>
      <c r="E49" s="19">
        <f t="shared" si="2"/>
        <v>160</v>
      </c>
      <c r="F49" s="42">
        <v>160</v>
      </c>
      <c r="G49" s="42">
        <v>158</v>
      </c>
      <c r="H49" s="43">
        <f t="shared" si="2"/>
        <v>158</v>
      </c>
      <c r="I49" s="1"/>
    </row>
    <row r="50" ht="15" customHeight="1">
      <c r="A50" s="1"/>
      <c r="B50" s="1" t="s">
        <v>363</v>
      </c>
      <c r="C50" s="42">
        <v>28</v>
      </c>
      <c r="D50" s="42">
        <v>64</v>
      </c>
      <c r="E50" s="19">
        <f t="shared" si="2"/>
        <v>64</v>
      </c>
      <c r="F50" s="42">
        <v>42</v>
      </c>
      <c r="G50" s="42">
        <v>23</v>
      </c>
      <c r="H50" s="43">
        <f t="shared" si="2"/>
        <v>23</v>
      </c>
      <c r="I50" s="1"/>
    </row>
    <row r="51" ht="15" customHeight="1">
      <c r="A51" s="1"/>
      <c r="B51" s="1" t="s">
        <v>364</v>
      </c>
      <c r="C51" s="42">
        <v>21333</v>
      </c>
      <c r="D51" s="42">
        <v>22606</v>
      </c>
      <c r="E51" s="19">
        <f t="shared" si="2"/>
        <v>22606</v>
      </c>
      <c r="F51" s="42">
        <v>21784</v>
      </c>
      <c r="G51" s="42">
        <v>21630</v>
      </c>
      <c r="H51" s="55">
        <f>G51+'Income Statement'!H78+'Cash Flow Statement'!H57</f>
        <v>23041.392030176892</v>
      </c>
      <c r="I51" s="1"/>
    </row>
    <row r="52" ht="15" customHeight="1">
      <c r="A52" s="1"/>
      <c r="B52" s="23" t="s">
        <v>365</v>
      </c>
      <c r="C52" s="42">
        <v>-5339</v>
      </c>
      <c r="D52" s="42">
        <v>-5253</v>
      </c>
      <c r="E52" s="19">
        <f t="shared" si="2"/>
        <v>-5253</v>
      </c>
      <c r="F52" s="42">
        <v>-5418</v>
      </c>
      <c r="G52" s="42">
        <v>-5394</v>
      </c>
      <c r="H52" s="43">
        <f t="shared" si="2"/>
        <v>-5394</v>
      </c>
      <c r="I52" s="1"/>
    </row>
    <row r="53" ht="15" customHeight="1">
      <c r="A53" s="1"/>
      <c r="B53" s="1" t="s">
        <v>366</v>
      </c>
      <c r="C53" s="42">
        <v>-1208</v>
      </c>
      <c r="D53" s="42">
        <v>-1490</v>
      </c>
      <c r="E53" s="19">
        <f t="shared" si="2"/>
        <v>-1490</v>
      </c>
      <c r="F53" s="42">
        <v>-1801</v>
      </c>
      <c r="G53" s="42">
        <v>-518</v>
      </c>
      <c r="H53" s="55">
        <f>G53+'Cash Flow Statement'!H56</f>
        <v>-1104.9667625</v>
      </c>
      <c r="I53" s="1"/>
    </row>
    <row r="54" ht="15" customHeight="1">
      <c r="A54" s="1"/>
      <c r="B54" s="4" t="s">
        <v>367</v>
      </c>
      <c r="C54" s="49">
        <f t="shared" si="7" ref="C54:H54">SUM(C49:C53)</f>
        <v>14974</v>
      </c>
      <c r="D54" s="49">
        <f t="shared" si="7"/>
        <v>16087</v>
      </c>
      <c r="E54" s="49">
        <f t="shared" si="7"/>
        <v>16087</v>
      </c>
      <c r="F54" s="49">
        <f t="shared" si="7"/>
        <v>14767</v>
      </c>
      <c r="G54" s="49">
        <f t="shared" si="7"/>
        <v>15899</v>
      </c>
      <c r="H54" s="50">
        <f t="shared" si="7"/>
        <v>16723.425267676892</v>
      </c>
      <c r="I54" s="1"/>
    </row>
    <row r="55" ht="15" customHeight="1">
      <c r="A55" s="1"/>
      <c r="B55" s="1" t="s">
        <v>242</v>
      </c>
      <c r="C55" s="42">
        <v>548</v>
      </c>
      <c r="D55" s="42">
        <v>559</v>
      </c>
      <c r="E55" s="19">
        <f t="shared" si="2"/>
        <v>559</v>
      </c>
      <c r="F55" s="42">
        <v>600</v>
      </c>
      <c r="G55" s="42">
        <v>506</v>
      </c>
      <c r="H55" s="55">
        <f>G55-'Income Statement'!H75+'Cash Flow Statement'!H58</f>
        <v>531</v>
      </c>
      <c r="I55" s="1"/>
    </row>
    <row r="56" ht="15" customHeight="1">
      <c r="A56" s="1"/>
      <c r="B56" s="4" t="s">
        <v>368</v>
      </c>
      <c r="C56" s="49">
        <f t="shared" si="8" ref="C56:H56">C54+C55</f>
        <v>15522</v>
      </c>
      <c r="D56" s="49">
        <f t="shared" si="8"/>
        <v>16646</v>
      </c>
      <c r="E56" s="49">
        <f t="shared" si="8"/>
        <v>16646</v>
      </c>
      <c r="F56" s="49">
        <f t="shared" si="8"/>
        <v>15367</v>
      </c>
      <c r="G56" s="49">
        <f t="shared" si="8"/>
        <v>16405</v>
      </c>
      <c r="H56" s="50">
        <f t="shared" si="8"/>
        <v>17254.425267676892</v>
      </c>
      <c r="I56" s="1"/>
    </row>
    <row r="57" ht="15" customHeight="1">
      <c r="A57" s="1"/>
      <c r="B57" s="4" t="s">
        <v>369</v>
      </c>
      <c r="C57" s="49">
        <f t="shared" si="9" ref="C57:H57">C46+C56</f>
        <v>43654</v>
      </c>
      <c r="D57" s="49">
        <f t="shared" si="9"/>
        <v>44885</v>
      </c>
      <c r="E57" s="49">
        <f t="shared" si="9"/>
        <v>44885</v>
      </c>
      <c r="F57" s="49">
        <f t="shared" si="9"/>
        <v>44629</v>
      </c>
      <c r="G57" s="49">
        <f t="shared" si="9"/>
        <v>45736</v>
      </c>
      <c r="H57" s="50">
        <f t="shared" si="9"/>
        <v>46845.328313666585</v>
      </c>
      <c r="I57" s="1"/>
    </row>
    <row r="58" ht="15" customHeight="1">
      <c r="A58" s="1"/>
      <c r="B58" s="4" t="s">
        <v>370</v>
      </c>
      <c r="C58" s="77">
        <f t="shared" si="10" ref="C58:H58">C29-C46-C56</f>
        <v>0</v>
      </c>
      <c r="D58" s="77">
        <f t="shared" si="10"/>
        <v>0</v>
      </c>
      <c r="E58" s="77">
        <f t="shared" si="10"/>
        <v>0</v>
      </c>
      <c r="F58" s="77">
        <f t="shared" si="10"/>
        <v>0</v>
      </c>
      <c r="G58" s="77">
        <f t="shared" si="10"/>
        <v>0</v>
      </c>
      <c r="H58" s="61">
        <f t="shared" si="10"/>
        <v>0</v>
      </c>
      <c r="I58" s="1"/>
    </row>
    <row r="59" ht="15" customHeight="1">
      <c r="A59" s="1"/>
      <c r="B59" s="41" t="s">
        <v>371</v>
      </c>
      <c r="C59" s="42">
        <v>43654</v>
      </c>
      <c r="D59" s="42">
        <v>44885</v>
      </c>
      <c r="E59" s="19">
        <f t="shared" si="2"/>
        <v>44885</v>
      </c>
      <c r="F59" s="42">
        <v>44629</v>
      </c>
      <c r="G59" s="42">
        <v>45736</v>
      </c>
      <c r="H59" s="43" t="s">
        <v>39</v>
      </c>
      <c r="I59" s="1"/>
    </row>
    <row r="60" ht="15" customHeight="1">
      <c r="A60" s="1"/>
      <c r="B60" s="44" t="s">
        <v>372</v>
      </c>
      <c r="C60" s="63">
        <f t="shared" si="11" ref="C60:G60">C29-C59</f>
        <v>0</v>
      </c>
      <c r="D60" s="63">
        <f t="shared" si="11"/>
        <v>0</v>
      </c>
      <c r="E60" s="63">
        <f t="shared" si="11"/>
        <v>0</v>
      </c>
      <c r="F60" s="63">
        <f t="shared" si="11"/>
        <v>0</v>
      </c>
      <c r="G60" s="63">
        <f t="shared" si="11"/>
        <v>0</v>
      </c>
      <c r="H60" s="64" t="s">
        <v>39</v>
      </c>
      <c r="I60" s="1"/>
    </row>
    <row r="61" ht="15" customHeight="1">
      <c r="A61" s="1"/>
      <c r="B61" s="1"/>
      <c r="C61" s="1"/>
      <c r="D61" s="1"/>
      <c r="E61" s="1"/>
      <c r="F61" s="1"/>
      <c r="G61" s="1"/>
      <c r="H61" s="32"/>
      <c r="I61" s="1"/>
    </row>
    <row r="62" ht="15" customHeight="1">
      <c r="A62" s="1"/>
      <c r="B62" s="4" t="s">
        <v>373</v>
      </c>
      <c r="C62" s="1"/>
      <c r="D62" s="1"/>
      <c r="E62" s="1"/>
      <c r="F62" s="1"/>
      <c r="G62" s="1"/>
      <c r="H62" s="32"/>
      <c r="I62" s="1"/>
    </row>
    <row r="63" ht="15" customHeight="1">
      <c r="A63" s="1"/>
      <c r="B63" s="4" t="s">
        <v>374</v>
      </c>
      <c r="C63" s="49">
        <f t="shared" si="12" ref="C63:H63">C34+C40</f>
        <v>8524</v>
      </c>
      <c r="D63" s="49">
        <f t="shared" si="12"/>
        <v>8304</v>
      </c>
      <c r="E63" s="49">
        <f t="shared" si="12"/>
        <v>8304</v>
      </c>
      <c r="F63" s="49">
        <f t="shared" si="12"/>
        <v>8194</v>
      </c>
      <c r="G63" s="49">
        <f t="shared" si="12"/>
        <v>8177</v>
      </c>
      <c r="H63" s="50">
        <f t="shared" si="12"/>
        <v>8177</v>
      </c>
      <c r="I63" s="1"/>
    </row>
    <row r="64" ht="15" customHeight="1">
      <c r="A64" s="1"/>
      <c r="B64" s="4" t="s">
        <v>375</v>
      </c>
      <c r="C64" s="49">
        <f t="shared" si="13" ref="C64:H64">C11+C12</f>
        <v>5827</v>
      </c>
      <c r="D64" s="49">
        <f t="shared" si="13"/>
        <v>6621</v>
      </c>
      <c r="E64" s="49">
        <f t="shared" si="13"/>
        <v>6621</v>
      </c>
      <c r="F64" s="49">
        <f t="shared" si="13"/>
        <v>5926</v>
      </c>
      <c r="G64" s="49">
        <f t="shared" si="13"/>
        <v>5857</v>
      </c>
      <c r="H64" s="50">
        <f t="shared" si="13"/>
        <v>7014.238795625716</v>
      </c>
      <c r="I64" s="1"/>
    </row>
    <row r="65" ht="15" customHeight="1">
      <c r="A65" s="1"/>
      <c r="B65" s="4" t="s">
        <v>376</v>
      </c>
      <c r="C65" s="49">
        <f t="shared" si="14" ref="C65:H65">C63-C64</f>
        <v>2697</v>
      </c>
      <c r="D65" s="49">
        <f t="shared" si="14"/>
        <v>1683</v>
      </c>
      <c r="E65" s="49">
        <f t="shared" si="14"/>
        <v>1683</v>
      </c>
      <c r="F65" s="49">
        <f t="shared" si="14"/>
        <v>2268</v>
      </c>
      <c r="G65" s="49">
        <f t="shared" si="14"/>
        <v>2320</v>
      </c>
      <c r="H65" s="50">
        <f t="shared" si="14"/>
        <v>1162.7612043742838</v>
      </c>
      <c r="I65" s="1"/>
    </row>
    <row r="66" ht="15" customHeight="1">
      <c r="A66" s="1"/>
      <c r="B66" s="1" t="s">
        <v>377</v>
      </c>
      <c r="C66" s="57">
        <f t="shared" si="15" ref="C66:H66">C65/C56</f>
        <v>0.17375338229609585</v>
      </c>
      <c r="D66" s="57">
        <f t="shared" si="15"/>
        <v>0.10110537065961793</v>
      </c>
      <c r="E66" s="57">
        <f t="shared" si="15"/>
        <v>0.10110537065961793</v>
      </c>
      <c r="F66" s="57">
        <f t="shared" si="15"/>
        <v>0.1475889893928548</v>
      </c>
      <c r="G66" s="57">
        <f t="shared" si="15"/>
        <v>0.14142029868942396</v>
      </c>
      <c r="H66" s="58">
        <f t="shared" si="15"/>
        <v>0.06738915880046789</v>
      </c>
      <c r="I66" s="22" t="s">
        <v>378</v>
      </c>
    </row>
    <row r="67" ht="15" customHeight="1">
      <c r="A67" s="1"/>
      <c r="B67" s="1" t="s">
        <v>379</v>
      </c>
      <c r="C67" s="1"/>
      <c r="D67" s="1"/>
      <c r="E67" s="1"/>
      <c r="F67" s="1"/>
      <c r="G67" s="1"/>
      <c r="H67" s="32"/>
      <c r="I67" s="1"/>
    </row>
    <row r="68" ht="15" customHeight="1">
      <c r="A68" s="1"/>
      <c r="B68" s="1"/>
      <c r="C68" s="1"/>
      <c r="D68" s="1"/>
      <c r="E68" s="1"/>
      <c r="F68" s="1"/>
      <c r="G68" s="1"/>
      <c r="H68" s="32"/>
      <c r="I68" s="1"/>
    </row>
    <row r="69" ht="15" customHeight="1">
      <c r="A69" s="1"/>
      <c r="B69" s="1"/>
      <c r="C69" s="1"/>
      <c r="D69" s="1"/>
      <c r="E69" s="1"/>
      <c r="F69" s="1"/>
      <c r="G69" s="1"/>
      <c r="H69" s="1"/>
      <c r="I69" s="1"/>
    </row>
    <row r="70" ht="15" customHeight="1">
      <c r="A70" s="1"/>
      <c r="B70" s="1"/>
      <c r="C70" s="1"/>
      <c r="D70" s="1"/>
      <c r="E70" s="1"/>
      <c r="F70" s="1"/>
      <c r="G70" s="1"/>
      <c r="H70" s="1"/>
      <c r="I7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7C8B935-1945-6906-3641-B2ABDFF983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380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381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241</v>
      </c>
      <c r="C11" s="18">
        <f>E11-D11-Inputs!$D$221</f>
        <v>1244</v>
      </c>
      <c r="D11" s="42">
        <v>1280</v>
      </c>
      <c r="E11" s="42">
        <v>4823</v>
      </c>
      <c r="F11" s="42">
        <v>1333</v>
      </c>
      <c r="G11" s="42">
        <v>1256</v>
      </c>
      <c r="H11" s="55">
        <f>'Income Statement'!H74</f>
        <v>1436.3920301768917</v>
      </c>
      <c r="I11" s="1"/>
    </row>
    <row r="12" ht="15" customHeight="1">
      <c r="A12" s="1"/>
      <c r="B12" s="1" t="s">
        <v>382</v>
      </c>
      <c r="C12" s="18">
        <f>E12-D12-Inputs!$D$222</f>
        <v>-37</v>
      </c>
      <c r="D12" s="42">
        <v>-6</v>
      </c>
      <c r="E12" s="42">
        <v>-174</v>
      </c>
      <c r="F12" s="42">
        <v>18</v>
      </c>
      <c r="G12" s="42">
        <v>-38</v>
      </c>
      <c r="H12" s="55">
        <f>-'Income Statement'!H71</f>
        <v>-20</v>
      </c>
      <c r="I12" s="1"/>
    </row>
    <row r="13" ht="15" customHeight="1">
      <c r="A13" s="1"/>
      <c r="B13" s="1" t="s">
        <v>314</v>
      </c>
      <c r="C13" s="18">
        <f>E13-D13-Inputs!$D$223</f>
        <v>204</v>
      </c>
      <c r="D13" s="42">
        <v>221</v>
      </c>
      <c r="E13" s="42">
        <v>813</v>
      </c>
      <c r="F13" s="42">
        <v>210</v>
      </c>
      <c r="G13" s="42">
        <v>220</v>
      </c>
      <c r="H13" s="43">
        <f>H74+H77</f>
        <v>222</v>
      </c>
      <c r="I13" s="1"/>
    </row>
    <row r="14" ht="15" customHeight="1">
      <c r="A14" s="1"/>
      <c r="B14" s="1" t="s">
        <v>383</v>
      </c>
      <c r="C14" s="18">
        <f>E14-D14-Inputs!$D$224</f>
        <v>-40</v>
      </c>
      <c r="D14" s="42">
        <v>59</v>
      </c>
      <c r="E14" s="42">
        <v>-21</v>
      </c>
      <c r="F14" s="42">
        <v>30</v>
      </c>
      <c r="G14" s="42">
        <v>34</v>
      </c>
      <c r="H14" s="56">
        <v>0</v>
      </c>
      <c r="I14" s="22" t="s">
        <v>384</v>
      </c>
    </row>
    <row r="15" ht="15" customHeight="1">
      <c r="A15" s="1"/>
      <c r="B15" s="1" t="s">
        <v>357</v>
      </c>
      <c r="C15" s="18">
        <f>E15-D15-Inputs!$D$225</f>
        <v>-16</v>
      </c>
      <c r="D15" s="42">
        <v>8</v>
      </c>
      <c r="E15" s="42">
        <v>-48</v>
      </c>
      <c r="F15" s="42">
        <v>-16</v>
      </c>
      <c r="G15" s="42">
        <v>4</v>
      </c>
      <c r="H15" s="56">
        <v>0</v>
      </c>
      <c r="I15" s="22" t="s">
        <v>384</v>
      </c>
    </row>
    <row r="16" ht="15" customHeight="1">
      <c r="A16" s="1"/>
      <c r="B16" s="1" t="s">
        <v>340</v>
      </c>
      <c r="C16" s="18">
        <f>E16-D16-Inputs!$D$226</f>
        <v>26</v>
      </c>
      <c r="D16" s="42">
        <v>-20</v>
      </c>
      <c r="E16" s="42">
        <v>108</v>
      </c>
      <c r="F16" s="42">
        <v>13</v>
      </c>
      <c r="G16" s="42">
        <v>-67</v>
      </c>
      <c r="H16" s="56">
        <v>0</v>
      </c>
      <c r="I16" s="22" t="s">
        <v>384</v>
      </c>
    </row>
    <row r="17" ht="15" customHeight="1">
      <c r="A17" s="1"/>
      <c r="B17" s="1" t="s">
        <v>385</v>
      </c>
      <c r="C17" s="18">
        <f>E17-D17-Inputs!$D$227</f>
        <v>-80</v>
      </c>
      <c r="D17" s="42">
        <v>-145</v>
      </c>
      <c r="E17" s="42">
        <v>-311</v>
      </c>
      <c r="F17" s="42">
        <v>42</v>
      </c>
      <c r="G17" s="42">
        <v>75</v>
      </c>
      <c r="H17" s="56">
        <v>0</v>
      </c>
      <c r="I17" s="22" t="s">
        <v>384</v>
      </c>
    </row>
    <row r="18" ht="15" customHeight="1">
      <c r="A18" s="1"/>
      <c r="B18" s="1" t="s">
        <v>386</v>
      </c>
      <c r="C18" s="18">
        <f>E18-D18-Inputs!$D$228</f>
        <v>-3</v>
      </c>
      <c r="D18" s="42">
        <v>-11</v>
      </c>
      <c r="E18" s="42">
        <v>-198</v>
      </c>
      <c r="F18" s="42">
        <v>-392</v>
      </c>
      <c r="G18" s="42">
        <v>-17</v>
      </c>
      <c r="H18" s="56">
        <v>0</v>
      </c>
      <c r="I18" s="22" t="s">
        <v>384</v>
      </c>
    </row>
    <row r="19" ht="15" customHeight="1">
      <c r="A19" s="1"/>
      <c r="B19" s="1" t="s">
        <v>387</v>
      </c>
      <c r="C19" s="18">
        <f>E19-D19-Inputs!$D$229</f>
        <v>12</v>
      </c>
      <c r="D19" s="42">
        <v>3</v>
      </c>
      <c r="E19" s="42">
        <v>3</v>
      </c>
      <c r="F19" s="42">
        <v>-2</v>
      </c>
      <c r="G19" s="42">
        <v>-5</v>
      </c>
      <c r="H19" s="56">
        <v>0</v>
      </c>
      <c r="I19" s="22" t="s">
        <v>384</v>
      </c>
    </row>
    <row r="20" ht="15" customHeight="1">
      <c r="A20" s="1"/>
      <c r="B20" s="1" t="s">
        <v>388</v>
      </c>
      <c r="C20" s="18">
        <f>E20-D20-Inputs!$D$230</f>
        <v>17</v>
      </c>
      <c r="D20" s="42">
        <v>26</v>
      </c>
      <c r="E20" s="42">
        <v>58</v>
      </c>
      <c r="F20" s="42">
        <v>44</v>
      </c>
      <c r="G20" s="42">
        <v>18</v>
      </c>
      <c r="H20" s="56">
        <v>0</v>
      </c>
      <c r="I20" s="22" t="s">
        <v>384</v>
      </c>
    </row>
    <row r="21" ht="15" customHeight="1">
      <c r="A21" s="1"/>
      <c r="B21" s="41" t="s">
        <v>389</v>
      </c>
      <c r="C21" s="18">
        <f>E21-D21-Inputs!$D$231</f>
        <v>13</v>
      </c>
      <c r="D21" s="42">
        <v>15</v>
      </c>
      <c r="E21" s="42">
        <v>-222</v>
      </c>
      <c r="F21" s="42">
        <v>-105</v>
      </c>
      <c r="G21" s="42">
        <v>-433</v>
      </c>
      <c r="H21" s="55">
        <f>C21*'Income Statement'!H24/'Income Statement'!C24</f>
        <v>14.819033323973946</v>
      </c>
      <c r="I21" s="22" t="s">
        <v>390</v>
      </c>
    </row>
    <row r="22" ht="15" customHeight="1">
      <c r="A22" s="1"/>
      <c r="B22" s="41" t="s">
        <v>391</v>
      </c>
      <c r="C22" s="18">
        <f>E22-D22-Inputs!$D$232</f>
        <v>119</v>
      </c>
      <c r="D22" s="42">
        <v>-42</v>
      </c>
      <c r="E22" s="42">
        <v>151</v>
      </c>
      <c r="F22" s="42">
        <v>217</v>
      </c>
      <c r="G22" s="42">
        <v>33</v>
      </c>
      <c r="H22" s="55">
        <f>C22*'Income Statement'!H24/'Income Statement'!C24</f>
        <v>135.65115119637687</v>
      </c>
      <c r="I22" s="22" t="s">
        <v>390</v>
      </c>
    </row>
    <row r="23" ht="15" customHeight="1">
      <c r="A23" s="1"/>
      <c r="B23" s="41" t="s">
        <v>328</v>
      </c>
      <c r="C23" s="18">
        <f>E23-D23-Inputs!$D$233</f>
        <v>-66</v>
      </c>
      <c r="D23" s="42">
        <v>250</v>
      </c>
      <c r="E23" s="42">
        <v>132</v>
      </c>
      <c r="F23" s="42">
        <v>-268</v>
      </c>
      <c r="G23" s="42">
        <v>-457</v>
      </c>
      <c r="H23" s="55">
        <f>C23*'Income Statement'!H24/'Income Statement'!C24</f>
        <v>-75.2350922601754</v>
      </c>
      <c r="I23" s="22" t="s">
        <v>390</v>
      </c>
    </row>
    <row r="24" ht="15" customHeight="1">
      <c r="A24" s="1"/>
      <c r="B24" s="41" t="s">
        <v>345</v>
      </c>
      <c r="C24" s="18">
        <f>E24-D24-Inputs!$D$234</f>
        <v>37</v>
      </c>
      <c r="D24" s="42">
        <v>198</v>
      </c>
      <c r="E24" s="42">
        <v>147</v>
      </c>
      <c r="F24" s="42">
        <v>247</v>
      </c>
      <c r="G24" s="42">
        <v>462</v>
      </c>
      <c r="H24" s="55">
        <f>C24*'Income Statement'!H24/'Income Statement'!C24</f>
        <v>42.17724869131046</v>
      </c>
      <c r="I24" s="22" t="s">
        <v>390</v>
      </c>
    </row>
    <row r="25" ht="15" customHeight="1">
      <c r="A25" s="1"/>
      <c r="B25" s="41" t="s">
        <v>392</v>
      </c>
      <c r="C25" s="18">
        <f>E25-D25-Inputs!$D$235</f>
        <v>273</v>
      </c>
      <c r="D25" s="42">
        <v>192</v>
      </c>
      <c r="E25" s="42">
        <v>119</v>
      </c>
      <c r="F25" s="42">
        <v>-531</v>
      </c>
      <c r="G25" s="42">
        <v>202</v>
      </c>
      <c r="H25" s="55">
        <f>C25*'Income Statement'!H24/'Income Statement'!C24</f>
        <v>311.19969980345286</v>
      </c>
      <c r="I25" s="22" t="s">
        <v>390</v>
      </c>
    </row>
    <row r="26" ht="15" customHeight="1">
      <c r="A26" s="1"/>
      <c r="B26" s="41" t="s">
        <v>393</v>
      </c>
      <c r="C26" s="18">
        <f>E26-D26-Inputs!$D$236</f>
        <v>29</v>
      </c>
      <c r="D26" s="42">
        <v>15</v>
      </c>
      <c r="E26" s="42">
        <v>-8</v>
      </c>
      <c r="F26" s="42">
        <v>36</v>
      </c>
      <c r="G26" s="42">
        <v>138</v>
      </c>
      <c r="H26" s="55">
        <f>C26*'Income Statement'!H24/'Income Statement'!C24</f>
        <v>33.05784356886496</v>
      </c>
      <c r="I26" s="22" t="s">
        <v>390</v>
      </c>
    </row>
    <row r="27" ht="15" customHeight="1">
      <c r="A27" s="1"/>
      <c r="B27" s="41" t="s">
        <v>394</v>
      </c>
      <c r="C27" s="18">
        <f>E27-D27-Inputs!$D$237</f>
        <v>-111</v>
      </c>
      <c r="D27" s="42">
        <v>-125</v>
      </c>
      <c r="E27" s="42">
        <v>-53</v>
      </c>
      <c r="F27" s="42">
        <v>92</v>
      </c>
      <c r="G27" s="42">
        <v>70</v>
      </c>
      <c r="H27" s="55">
        <f>C27*'Income Statement'!H24/'Income Statement'!C24</f>
        <v>-126.5317460739314</v>
      </c>
      <c r="I27" s="22" t="s">
        <v>390</v>
      </c>
    </row>
    <row r="28" ht="15" customHeight="1">
      <c r="A28" s="1"/>
      <c r="B28" s="66" t="s">
        <v>395</v>
      </c>
      <c r="C28" s="18">
        <f>E28-D28-Inputs!$D$238</f>
        <v>62</v>
      </c>
      <c r="D28" s="42">
        <v>70</v>
      </c>
      <c r="E28" s="42">
        <v>-69</v>
      </c>
      <c r="F28" s="42">
        <v>43</v>
      </c>
      <c r="G28" s="42">
        <v>-192</v>
      </c>
      <c r="H28" s="55">
        <f>C28*'Income Statement'!H24/'Income Statement'!C24</f>
        <v>70.67538969895267</v>
      </c>
      <c r="I28" s="22" t="s">
        <v>390</v>
      </c>
    </row>
    <row r="29" ht="15" customHeight="1">
      <c r="A29" s="1"/>
      <c r="B29" s="4" t="s">
        <v>396</v>
      </c>
      <c r="C29" s="49">
        <f t="shared" si="2" ref="C29:H29">C11+C12+C13+C14+C15+C16+C17+C18+C19+C20+C21+C22+C23+C24+C25+C26+C27+C28</f>
        <v>1683</v>
      </c>
      <c r="D29" s="49">
        <f t="shared" si="2"/>
        <v>1988</v>
      </c>
      <c r="E29" s="49">
        <f t="shared" si="2"/>
        <v>5250</v>
      </c>
      <c r="F29" s="49">
        <f t="shared" si="2"/>
        <v>1011</v>
      </c>
      <c r="G29" s="49">
        <f t="shared" si="2"/>
        <v>1303</v>
      </c>
      <c r="H29" s="50">
        <f t="shared" si="2"/>
        <v>2044.2055581257166</v>
      </c>
      <c r="I29" s="1"/>
    </row>
    <row r="30" ht="15" customHeight="1">
      <c r="A30" s="1"/>
      <c r="B30" s="1" t="s">
        <v>397</v>
      </c>
      <c r="C30" s="18">
        <f>E30-D30-Inputs!$D$239</f>
        <v>94</v>
      </c>
      <c r="D30" s="42">
        <v>-39</v>
      </c>
      <c r="E30" s="42">
        <v>219</v>
      </c>
      <c r="F30" s="42">
        <v>18</v>
      </c>
      <c r="G30" s="42">
        <v>-153</v>
      </c>
      <c r="H30" s="55">
        <f>'Income Statement'!H71</f>
        <v>20</v>
      </c>
      <c r="I30" s="22" t="s">
        <v>398</v>
      </c>
    </row>
    <row r="31" ht="15" customHeight="1">
      <c r="A31" s="1"/>
      <c r="B31" s="78" t="s">
        <v>399</v>
      </c>
      <c r="C31" s="49">
        <f t="shared" si="3" ref="C31:H62">C29+C30</f>
        <v>1777</v>
      </c>
      <c r="D31" s="49">
        <f t="shared" si="3"/>
        <v>1949</v>
      </c>
      <c r="E31" s="49">
        <f t="shared" si="3"/>
        <v>5469</v>
      </c>
      <c r="F31" s="49">
        <f t="shared" si="3"/>
        <v>1029</v>
      </c>
      <c r="G31" s="49">
        <f t="shared" si="3"/>
        <v>1150</v>
      </c>
      <c r="H31" s="50">
        <f t="shared" si="3"/>
        <v>2064.2055581257164</v>
      </c>
      <c r="I31" s="1"/>
    </row>
    <row r="32" ht="15" customHeight="1">
      <c r="A32" s="1"/>
      <c r="B32" s="35" t="s">
        <v>63</v>
      </c>
      <c r="C32" s="20"/>
      <c r="D32" s="20"/>
      <c r="E32" s="20"/>
      <c r="F32" s="20"/>
      <c r="G32" s="20"/>
      <c r="H32" s="38">
        <f>IF(AND(ISNUMBER(H31),ISNUMBER(C31)),IF(C31=0,"n.m.",H31/C31-1),"n.a.")</f>
        <v>0.1616238368743479</v>
      </c>
      <c r="I32" s="1"/>
    </row>
    <row r="33" ht="15" customHeight="1">
      <c r="A33" s="1"/>
      <c r="B33" s="1"/>
      <c r="C33" s="1"/>
      <c r="D33" s="1"/>
      <c r="E33" s="1"/>
      <c r="F33" s="1"/>
      <c r="G33" s="1"/>
      <c r="H33" s="32"/>
      <c r="I33" s="1"/>
    </row>
    <row r="34" ht="15" customHeight="1">
      <c r="A34" s="1"/>
      <c r="B34" s="4" t="s">
        <v>400</v>
      </c>
      <c r="C34" s="1"/>
      <c r="D34" s="1"/>
      <c r="E34" s="1"/>
      <c r="F34" s="1"/>
      <c r="G34" s="1"/>
      <c r="H34" s="32"/>
      <c r="I34" s="1"/>
    </row>
    <row r="35" ht="15" customHeight="1">
      <c r="A35" s="1"/>
      <c r="B35" s="1" t="s">
        <v>401</v>
      </c>
      <c r="C35" s="18">
        <f>E35-D35-Inputs!$D$240</f>
        <v>-51</v>
      </c>
      <c r="D35" s="42">
        <v>-171</v>
      </c>
      <c r="E35" s="42">
        <v>-1218</v>
      </c>
      <c r="F35" s="42">
        <v>-833</v>
      </c>
      <c r="G35" s="42">
        <v>-10</v>
      </c>
      <c r="H35" s="56">
        <v>0</v>
      </c>
      <c r="I35" s="22" t="s">
        <v>269</v>
      </c>
    </row>
    <row r="36" ht="15" customHeight="1">
      <c r="A36" s="1"/>
      <c r="B36" s="1" t="s">
        <v>402</v>
      </c>
      <c r="C36" s="18">
        <f>E36-D36-Inputs!$D$241</f>
        <v>-207</v>
      </c>
      <c r="D36" s="42">
        <v>-409</v>
      </c>
      <c r="E36" s="42">
        <v>-1001</v>
      </c>
      <c r="F36" s="42">
        <v>-181</v>
      </c>
      <c r="G36" s="42">
        <v>-236</v>
      </c>
      <c r="H36" s="56">
        <v>-280</v>
      </c>
      <c r="I36" s="22" t="s">
        <v>403</v>
      </c>
    </row>
    <row r="37" ht="15" customHeight="1">
      <c r="A37" s="1"/>
      <c r="B37" s="41" t="s">
        <v>107</v>
      </c>
      <c r="C37" s="19" t="s">
        <v>39</v>
      </c>
      <c r="D37" s="19" t="s">
        <v>39</v>
      </c>
      <c r="E37" s="19" t="s">
        <v>39</v>
      </c>
      <c r="F37" s="19" t="s">
        <v>39</v>
      </c>
      <c r="G37" s="19" t="s">
        <v>39</v>
      </c>
      <c r="H37" s="43">
        <f t="shared" si="6" ref="H37:H78">IF(AND(ISNUMBER(H36),ISNUMBER(C36)),(H36-C36),"n.a.")</f>
        <v>-73</v>
      </c>
      <c r="I37" s="1"/>
    </row>
    <row r="38" ht="15" customHeight="1">
      <c r="A38" s="1"/>
      <c r="B38" s="41" t="s">
        <v>77</v>
      </c>
      <c r="C38" s="19" t="s">
        <v>39</v>
      </c>
      <c r="D38" s="19">
        <f t="shared" si="4" ref="D38:H79">IF(AND(ISNUMBER(D36),ISNUMBER(C36)),(D36-C36),"n.a.")</f>
        <v>-202</v>
      </c>
      <c r="E38" s="19"/>
      <c r="F38" s="19">
        <f t="shared" si="7" ref="F38:F79">IF(AND(ISNUMBER(F36),ISNUMBER(D36)),(F36-D36),"n.a.")</f>
        <v>228</v>
      </c>
      <c r="G38" s="19">
        <f t="shared" si="4"/>
        <v>-55</v>
      </c>
      <c r="H38" s="43">
        <f t="shared" si="4"/>
        <v>-44</v>
      </c>
      <c r="I38" s="1"/>
    </row>
    <row r="39" ht="15" customHeight="1">
      <c r="A39" s="1"/>
      <c r="B39" s="1" t="s">
        <v>404</v>
      </c>
      <c r="C39" s="18">
        <f>E39-D39-Inputs!$D$242</f>
        <v>-7</v>
      </c>
      <c r="D39" s="42">
        <v>-175</v>
      </c>
      <c r="E39" s="42">
        <v>-752</v>
      </c>
      <c r="F39" s="42">
        <v>-27</v>
      </c>
      <c r="G39" s="42">
        <v>-122</v>
      </c>
      <c r="H39" s="56">
        <v>0</v>
      </c>
      <c r="I39" s="22" t="s">
        <v>269</v>
      </c>
    </row>
    <row r="40" ht="15" customHeight="1">
      <c r="A40" s="1"/>
      <c r="B40" s="1" t="s">
        <v>405</v>
      </c>
      <c r="C40" s="18">
        <f>E40-D40-Inputs!$D$243</f>
        <v>0</v>
      </c>
      <c r="D40" s="42">
        <v>72</v>
      </c>
      <c r="E40" s="42">
        <v>589</v>
      </c>
      <c r="F40" s="42">
        <v>192</v>
      </c>
      <c r="G40" s="42">
        <v>634</v>
      </c>
      <c r="H40" s="56">
        <v>0</v>
      </c>
      <c r="I40" s="22" t="s">
        <v>269</v>
      </c>
    </row>
    <row r="41" ht="15" customHeight="1">
      <c r="A41" s="1"/>
      <c r="B41" s="1" t="s">
        <v>406</v>
      </c>
      <c r="C41" s="18">
        <f>E41-D41-Inputs!$D$244</f>
        <v>3</v>
      </c>
      <c r="D41" s="42">
        <v>18</v>
      </c>
      <c r="E41" s="42">
        <v>194</v>
      </c>
      <c r="F41" s="42">
        <v>437</v>
      </c>
      <c r="G41" s="42">
        <v>25</v>
      </c>
      <c r="H41" s="56">
        <v>0</v>
      </c>
      <c r="I41" s="22" t="s">
        <v>269</v>
      </c>
    </row>
    <row r="42" ht="15" customHeight="1">
      <c r="A42" s="1"/>
      <c r="B42" s="1" t="s">
        <v>407</v>
      </c>
      <c r="C42" s="18">
        <f>E42-D42-Inputs!$D$245</f>
        <v>1</v>
      </c>
      <c r="D42" s="42">
        <v>-15</v>
      </c>
      <c r="E42" s="42">
        <v>59</v>
      </c>
      <c r="F42" s="42">
        <v>1</v>
      </c>
      <c r="G42" s="42">
        <v>27</v>
      </c>
      <c r="H42" s="56">
        <v>0</v>
      </c>
      <c r="I42" s="22" t="s">
        <v>269</v>
      </c>
    </row>
    <row r="43" ht="15" customHeight="1">
      <c r="A43" s="1"/>
      <c r="B43" s="1" t="s">
        <v>408</v>
      </c>
      <c r="C43" s="18">
        <f>E43-D43-Inputs!$D$246</f>
        <v>-112</v>
      </c>
      <c r="D43" s="42">
        <v>-14</v>
      </c>
      <c r="E43" s="42">
        <v>-129</v>
      </c>
      <c r="F43" s="42">
        <v>6</v>
      </c>
      <c r="G43" s="42">
        <v>63</v>
      </c>
      <c r="H43" s="56">
        <v>0</v>
      </c>
      <c r="I43" s="22" t="s">
        <v>269</v>
      </c>
    </row>
    <row r="44" ht="15" customHeight="1">
      <c r="A44" s="1"/>
      <c r="B44" s="1" t="s">
        <v>409</v>
      </c>
      <c r="C44" s="18">
        <f>E44-D44-Inputs!$D$247</f>
        <v>-6</v>
      </c>
      <c r="D44" s="42">
        <v>-5</v>
      </c>
      <c r="E44" s="42">
        <v>-10</v>
      </c>
      <c r="F44" s="42">
        <v>-1</v>
      </c>
      <c r="G44" s="42">
        <v>11</v>
      </c>
      <c r="H44" s="56">
        <v>0</v>
      </c>
      <c r="I44" s="22" t="s">
        <v>269</v>
      </c>
    </row>
    <row r="45" ht="15" customHeight="1">
      <c r="A45" s="1"/>
      <c r="B45" s="4" t="s">
        <v>410</v>
      </c>
      <c r="C45" s="49">
        <f t="shared" si="5" ref="C45:H45">C35+C36+C39+C40+C41+C42+C43+C44</f>
        <v>-379</v>
      </c>
      <c r="D45" s="49">
        <f t="shared" si="5"/>
        <v>-699</v>
      </c>
      <c r="E45" s="49">
        <f t="shared" si="5"/>
        <v>-2268</v>
      </c>
      <c r="F45" s="49">
        <f t="shared" si="5"/>
        <v>-406</v>
      </c>
      <c r="G45" s="49">
        <f t="shared" si="5"/>
        <v>392</v>
      </c>
      <c r="H45" s="50">
        <f t="shared" si="5"/>
        <v>-280</v>
      </c>
      <c r="I45" s="1"/>
    </row>
    <row r="46" ht="15" customHeight="1">
      <c r="A46" s="1"/>
      <c r="B46" s="1" t="s">
        <v>411</v>
      </c>
      <c r="C46" s="18">
        <f>E46-D46-Inputs!$D$248</f>
        <v>-27</v>
      </c>
      <c r="D46" s="42">
        <v>-52</v>
      </c>
      <c r="E46" s="42">
        <v>-121</v>
      </c>
      <c r="F46" s="42">
        <v>-34</v>
      </c>
      <c r="G46" s="42">
        <v>-61</v>
      </c>
      <c r="H46" s="56">
        <v>-40</v>
      </c>
      <c r="I46" s="22" t="s">
        <v>412</v>
      </c>
    </row>
    <row r="47" ht="15" customHeight="1">
      <c r="A47" s="1"/>
      <c r="B47" s="41" t="s">
        <v>107</v>
      </c>
      <c r="C47" s="19" t="s">
        <v>39</v>
      </c>
      <c r="D47" s="19" t="s">
        <v>39</v>
      </c>
      <c r="E47" s="19" t="s">
        <v>39</v>
      </c>
      <c r="F47" s="19" t="s">
        <v>39</v>
      </c>
      <c r="G47" s="19" t="s">
        <v>39</v>
      </c>
      <c r="H47" s="43">
        <f t="shared" si="6"/>
        <v>-13</v>
      </c>
      <c r="I47" s="1"/>
    </row>
    <row r="48" ht="15" customHeight="1">
      <c r="A48" s="1"/>
      <c r="B48" s="41" t="s">
        <v>77</v>
      </c>
      <c r="C48" s="19" t="s">
        <v>39</v>
      </c>
      <c r="D48" s="19">
        <f t="shared" si="4"/>
        <v>-25</v>
      </c>
      <c r="E48" s="19"/>
      <c r="F48" s="19">
        <f t="shared" si="7"/>
        <v>18</v>
      </c>
      <c r="G48" s="19">
        <f t="shared" si="4"/>
        <v>-27</v>
      </c>
      <c r="H48" s="43">
        <f t="shared" si="4"/>
        <v>21</v>
      </c>
      <c r="I48" s="1"/>
    </row>
    <row r="49" ht="15" customHeight="1">
      <c r="A49" s="1"/>
      <c r="B49" s="78" t="s">
        <v>413</v>
      </c>
      <c r="C49" s="49">
        <f t="shared" si="8" ref="C49:H49">C45+C46</f>
        <v>-406</v>
      </c>
      <c r="D49" s="49">
        <f t="shared" si="8"/>
        <v>-751</v>
      </c>
      <c r="E49" s="49">
        <f t="shared" si="8"/>
        <v>-2389</v>
      </c>
      <c r="F49" s="49">
        <f t="shared" si="8"/>
        <v>-440</v>
      </c>
      <c r="G49" s="49">
        <f t="shared" si="8"/>
        <v>331</v>
      </c>
      <c r="H49" s="50">
        <f t="shared" si="8"/>
        <v>-320</v>
      </c>
      <c r="I49" s="1"/>
    </row>
    <row r="50" ht="15" customHeight="1">
      <c r="A50" s="1"/>
      <c r="B50" s="1"/>
      <c r="C50" s="1"/>
      <c r="D50" s="1"/>
      <c r="E50" s="1"/>
      <c r="F50" s="1"/>
      <c r="G50" s="1"/>
      <c r="H50" s="32"/>
      <c r="I50" s="1"/>
    </row>
    <row r="51" ht="15" customHeight="1">
      <c r="A51" s="1"/>
      <c r="B51" s="4" t="s">
        <v>414</v>
      </c>
      <c r="C51" s="1"/>
      <c r="D51" s="1"/>
      <c r="E51" s="1"/>
      <c r="F51" s="1"/>
      <c r="G51" s="1"/>
      <c r="H51" s="32"/>
      <c r="I51" s="1"/>
    </row>
    <row r="52" ht="15" customHeight="1">
      <c r="A52" s="1"/>
      <c r="B52" s="1" t="s">
        <v>415</v>
      </c>
      <c r="C52" s="18">
        <f>E52-D52-Inputs!$D$249</f>
        <v>-205</v>
      </c>
      <c r="D52" s="42">
        <v>-19</v>
      </c>
      <c r="E52" s="42">
        <v>-85</v>
      </c>
      <c r="F52" s="42">
        <v>27</v>
      </c>
      <c r="G52" s="42">
        <v>-32</v>
      </c>
      <c r="H52" s="56">
        <v>0</v>
      </c>
      <c r="I52" s="22" t="s">
        <v>416</v>
      </c>
    </row>
    <row r="53" ht="15" customHeight="1">
      <c r="A53" s="1"/>
      <c r="B53" s="1" t="s">
        <v>417</v>
      </c>
      <c r="C53" s="18">
        <f>E53-D53-Inputs!$D$250</f>
        <v>-4</v>
      </c>
      <c r="D53" s="42">
        <v>-3</v>
      </c>
      <c r="E53" s="42">
        <v>1083</v>
      </c>
      <c r="F53" s="42">
        <v>23</v>
      </c>
      <c r="G53" s="42">
        <v>13</v>
      </c>
      <c r="H53" s="56">
        <v>0</v>
      </c>
      <c r="I53" s="22" t="s">
        <v>416</v>
      </c>
    </row>
    <row r="54" ht="15" customHeight="1">
      <c r="A54" s="1"/>
      <c r="B54" s="1" t="s">
        <v>418</v>
      </c>
      <c r="C54" s="18">
        <f>E54-D54-Inputs!$D$251</f>
        <v>-88</v>
      </c>
      <c r="D54" s="42">
        <v>-214</v>
      </c>
      <c r="E54" s="42">
        <v>-433</v>
      </c>
      <c r="F54" s="42">
        <v>-30</v>
      </c>
      <c r="G54" s="42">
        <v>-19</v>
      </c>
      <c r="H54" s="56">
        <v>0</v>
      </c>
      <c r="I54" s="22" t="s">
        <v>416</v>
      </c>
    </row>
    <row r="55" ht="15" customHeight="1">
      <c r="A55" s="1"/>
      <c r="B55" s="1" t="s">
        <v>419</v>
      </c>
      <c r="C55" s="18">
        <f>E55-D55-Inputs!$D$252</f>
        <v>14</v>
      </c>
      <c r="D55" s="42">
        <v>66</v>
      </c>
      <c r="E55" s="42">
        <v>99</v>
      </c>
      <c r="F55" s="42">
        <v>0</v>
      </c>
      <c r="G55" s="42">
        <v>0</v>
      </c>
      <c r="H55" s="56">
        <v>0</v>
      </c>
      <c r="I55" s="22" t="s">
        <v>420</v>
      </c>
    </row>
    <row r="56" ht="15" customHeight="1">
      <c r="A56" s="1"/>
      <c r="B56" s="1" t="s">
        <v>421</v>
      </c>
      <c r="C56" s="18">
        <f>E56-D56-Inputs!$D$253</f>
        <v>-366</v>
      </c>
      <c r="D56" s="42">
        <v>-350</v>
      </c>
      <c r="E56" s="42">
        <v>-1499</v>
      </c>
      <c r="F56" s="42">
        <v>-248</v>
      </c>
      <c r="G56" s="42">
        <v>-225</v>
      </c>
      <c r="H56" s="55">
        <f>-'Share Count'!H24</f>
        <v>-586.9667625</v>
      </c>
      <c r="I56" s="1"/>
    </row>
    <row r="57" ht="15" customHeight="1">
      <c r="A57" s="1"/>
      <c r="B57" s="1" t="s">
        <v>422</v>
      </c>
      <c r="C57" s="18">
        <f>E57-D57-Inputs!$D$254</f>
        <v>0</v>
      </c>
      <c r="D57" s="42">
        <v>0</v>
      </c>
      <c r="E57" s="42">
        <v>-1907</v>
      </c>
      <c r="F57" s="42">
        <v>-1614</v>
      </c>
      <c r="G57" s="42">
        <v>-547</v>
      </c>
      <c r="H57" s="56">
        <v>0</v>
      </c>
      <c r="I57" s="22" t="s">
        <v>416</v>
      </c>
    </row>
    <row r="58" ht="15" customHeight="1">
      <c r="A58" s="1"/>
      <c r="B58" s="1" t="s">
        <v>423</v>
      </c>
      <c r="C58" s="18">
        <f>E58-D58-Inputs!$D$255</f>
        <v>-9</v>
      </c>
      <c r="D58" s="42">
        <v>0</v>
      </c>
      <c r="E58" s="42">
        <v>-114</v>
      </c>
      <c r="F58" s="42">
        <v>0</v>
      </c>
      <c r="G58" s="42">
        <v>-123</v>
      </c>
      <c r="H58" s="56">
        <v>0</v>
      </c>
      <c r="I58" s="22" t="s">
        <v>416</v>
      </c>
    </row>
    <row r="59" ht="15" customHeight="1">
      <c r="A59" s="1"/>
      <c r="B59" s="1" t="s">
        <v>424</v>
      </c>
      <c r="C59" s="18">
        <f>E59-D59-Inputs!$D$256</f>
        <v>-16</v>
      </c>
      <c r="D59" s="42">
        <v>-14</v>
      </c>
      <c r="E59" s="42">
        <v>-22</v>
      </c>
      <c r="F59" s="42">
        <v>-15</v>
      </c>
      <c r="G59" s="42">
        <v>-5</v>
      </c>
      <c r="H59" s="56">
        <v>0</v>
      </c>
      <c r="I59" s="22" t="s">
        <v>416</v>
      </c>
    </row>
    <row r="60" ht="15" customHeight="1">
      <c r="A60" s="1"/>
      <c r="B60" s="4" t="s">
        <v>425</v>
      </c>
      <c r="C60" s="49">
        <f t="shared" si="9" ref="C60:H60">C52+C53+C54+C55+C56+C57+C58+C59</f>
        <v>-674</v>
      </c>
      <c r="D60" s="49">
        <f t="shared" si="9"/>
        <v>-534</v>
      </c>
      <c r="E60" s="49">
        <f t="shared" si="9"/>
        <v>-2878</v>
      </c>
      <c r="F60" s="49">
        <f t="shared" si="9"/>
        <v>-1857</v>
      </c>
      <c r="G60" s="49">
        <f t="shared" si="9"/>
        <v>-938</v>
      </c>
      <c r="H60" s="50">
        <f t="shared" si="9"/>
        <v>-586.9667625</v>
      </c>
      <c r="I60" s="1"/>
    </row>
    <row r="61" ht="15" customHeight="1">
      <c r="A61" s="1"/>
      <c r="B61" s="1" t="s">
        <v>426</v>
      </c>
      <c r="C61" s="18">
        <f>E61-D61-Inputs!$D$257</f>
        <v>-1</v>
      </c>
      <c r="D61" s="42">
        <v>2</v>
      </c>
      <c r="E61" s="42">
        <v>1</v>
      </c>
      <c r="F61" s="42">
        <v>3</v>
      </c>
      <c r="G61" s="42">
        <v>-5</v>
      </c>
      <c r="H61" s="56">
        <v>0</v>
      </c>
      <c r="I61" s="1"/>
    </row>
    <row r="62" ht="15" customHeight="1">
      <c r="A62" s="1"/>
      <c r="B62" s="78" t="s">
        <v>427</v>
      </c>
      <c r="C62" s="49">
        <f t="shared" si="3"/>
        <v>-675</v>
      </c>
      <c r="D62" s="49">
        <f t="shared" si="3"/>
        <v>-532</v>
      </c>
      <c r="E62" s="49">
        <f t="shared" si="3"/>
        <v>-2877</v>
      </c>
      <c r="F62" s="49">
        <f t="shared" si="3"/>
        <v>-1854</v>
      </c>
      <c r="G62" s="49">
        <f t="shared" si="3"/>
        <v>-943</v>
      </c>
      <c r="H62" s="50">
        <f t="shared" si="3"/>
        <v>-586.9667625</v>
      </c>
      <c r="I62" s="1"/>
    </row>
    <row r="63" ht="15" customHeight="1">
      <c r="A63" s="1"/>
      <c r="B63" s="1"/>
      <c r="C63" s="1"/>
      <c r="D63" s="1"/>
      <c r="E63" s="1"/>
      <c r="F63" s="1"/>
      <c r="G63" s="1"/>
      <c r="H63" s="32"/>
      <c r="I63" s="1"/>
    </row>
    <row r="64" ht="15" customHeight="1">
      <c r="A64" s="1"/>
      <c r="B64" s="4" t="s">
        <v>428</v>
      </c>
      <c r="C64" s="1"/>
      <c r="D64" s="1"/>
      <c r="E64" s="1"/>
      <c r="F64" s="1"/>
      <c r="G64" s="1"/>
      <c r="H64" s="32"/>
      <c r="I64" s="1"/>
    </row>
    <row r="65" ht="15" customHeight="1">
      <c r="A65" s="1"/>
      <c r="B65" s="1" t="s">
        <v>429</v>
      </c>
      <c r="C65" s="18">
        <f>E65-D65-Inputs!$D$258</f>
        <v>-4</v>
      </c>
      <c r="D65" s="42">
        <v>16</v>
      </c>
      <c r="E65" s="42">
        <v>111</v>
      </c>
      <c r="F65" s="42">
        <v>-50</v>
      </c>
      <c r="G65" s="42">
        <v>4</v>
      </c>
      <c r="H65" s="56">
        <v>0</v>
      </c>
      <c r="I65" s="1"/>
    </row>
    <row r="66" ht="15" customHeight="1">
      <c r="A66" s="1"/>
      <c r="B66" s="23" t="s">
        <v>430</v>
      </c>
      <c r="C66" s="18">
        <f>E66-D66-Inputs!$D$259</f>
        <v>-21</v>
      </c>
      <c r="D66" s="42">
        <v>21</v>
      </c>
      <c r="E66" s="42">
        <v>0</v>
      </c>
      <c r="F66" s="42">
        <v>0</v>
      </c>
      <c r="G66" s="42">
        <v>0</v>
      </c>
      <c r="H66" s="56">
        <v>0</v>
      </c>
      <c r="I66" s="1"/>
    </row>
    <row r="67" ht="15" customHeight="1">
      <c r="A67" s="1"/>
      <c r="B67" s="4" t="s">
        <v>431</v>
      </c>
      <c r="C67" s="49">
        <f t="shared" si="10" ref="C67:H67">C31+C49+C62+C65+C66</f>
        <v>671</v>
      </c>
      <c r="D67" s="49">
        <f t="shared" si="10"/>
        <v>703</v>
      </c>
      <c r="E67" s="49">
        <f t="shared" si="10"/>
        <v>314</v>
      </c>
      <c r="F67" s="49">
        <f t="shared" si="10"/>
        <v>-1315</v>
      </c>
      <c r="G67" s="49">
        <f t="shared" si="10"/>
        <v>542</v>
      </c>
      <c r="H67" s="50">
        <f t="shared" si="10"/>
        <v>1157.2387956257164</v>
      </c>
      <c r="I67" s="1"/>
    </row>
    <row r="68" ht="15" customHeight="1">
      <c r="A68" s="1"/>
      <c r="B68" s="1" t="s">
        <v>432</v>
      </c>
      <c r="C68" s="42">
        <v>3266</v>
      </c>
      <c r="D68" s="18">
        <f>'Balance Sheet'!C11</f>
        <v>3937</v>
      </c>
      <c r="E68" s="42">
        <v>4326</v>
      </c>
      <c r="F68" s="18">
        <f>'Balance Sheet'!D11</f>
        <v>4640</v>
      </c>
      <c r="G68" s="18">
        <f>'Balance Sheet'!F11</f>
        <v>3325</v>
      </c>
      <c r="H68" s="55">
        <f>'Balance Sheet'!G11</f>
        <v>3867</v>
      </c>
      <c r="I68" s="1"/>
    </row>
    <row r="69" ht="15" customHeight="1">
      <c r="A69" s="1"/>
      <c r="B69" s="4" t="s">
        <v>433</v>
      </c>
      <c r="C69" s="49">
        <f t="shared" si="11" ref="C69:H69">C68+C67</f>
        <v>3937</v>
      </c>
      <c r="D69" s="49">
        <f t="shared" si="11"/>
        <v>4640</v>
      </c>
      <c r="E69" s="49">
        <f t="shared" si="11"/>
        <v>4640</v>
      </c>
      <c r="F69" s="49">
        <f t="shared" si="11"/>
        <v>3325</v>
      </c>
      <c r="G69" s="49">
        <f t="shared" si="11"/>
        <v>3867</v>
      </c>
      <c r="H69" s="50">
        <f t="shared" si="11"/>
        <v>5024.238795625716</v>
      </c>
      <c r="I69" s="1"/>
    </row>
    <row r="70" ht="15" customHeight="1">
      <c r="A70" s="1"/>
      <c r="B70" s="4" t="s">
        <v>434</v>
      </c>
      <c r="C70" s="33">
        <f>C69-'Balance Sheet'!C11</f>
        <v>0</v>
      </c>
      <c r="D70" s="33">
        <f>D69-'Balance Sheet'!D11</f>
        <v>0</v>
      </c>
      <c r="E70" s="33">
        <f>E69-'Balance Sheet'!E11</f>
        <v>0</v>
      </c>
      <c r="F70" s="33">
        <f>F69-'Balance Sheet'!F11</f>
        <v>0</v>
      </c>
      <c r="G70" s="33">
        <f>G69-'Balance Sheet'!G11</f>
        <v>0</v>
      </c>
      <c r="H70" s="34">
        <f>H69-'Balance Sheet'!H11</f>
        <v>0</v>
      </c>
      <c r="I70" s="22" t="s">
        <v>435</v>
      </c>
    </row>
    <row r="71" ht="15" customHeight="1">
      <c r="A71" s="1"/>
      <c r="B71" s="5" t="s">
        <v>436</v>
      </c>
      <c r="C71" s="52">
        <f>C67-('Balance Sheet'!C11-C68)</f>
        <v>0</v>
      </c>
      <c r="D71" s="52">
        <f>D67-('Balance Sheet'!D11-D68)</f>
        <v>0</v>
      </c>
      <c r="E71" s="52">
        <f>E67-('Balance Sheet'!E11-E68)</f>
        <v>0</v>
      </c>
      <c r="F71" s="52">
        <f>F67-('Balance Sheet'!F11-F68)</f>
        <v>0</v>
      </c>
      <c r="G71" s="52">
        <f>G67-('Balance Sheet'!G11-G68)</f>
        <v>0</v>
      </c>
      <c r="H71" s="53">
        <f>H67-('Balance Sheet'!H11-H68)</f>
        <v>0</v>
      </c>
      <c r="I71" s="22" t="s">
        <v>435</v>
      </c>
    </row>
    <row r="72" ht="15" customHeight="1">
      <c r="A72" s="1"/>
      <c r="B72" s="1"/>
      <c r="C72" s="1"/>
      <c r="D72" s="1"/>
      <c r="E72" s="1"/>
      <c r="F72" s="1"/>
      <c r="G72" s="1"/>
      <c r="H72" s="32"/>
      <c r="I72" s="1"/>
    </row>
    <row r="73" ht="15" customHeight="1">
      <c r="A73" s="1"/>
      <c r="B73" s="4" t="s">
        <v>437</v>
      </c>
      <c r="C73" s="1"/>
      <c r="D73" s="1"/>
      <c r="E73" s="1"/>
      <c r="F73" s="1"/>
      <c r="G73" s="1"/>
      <c r="H73" s="32"/>
      <c r="I73" s="1"/>
    </row>
    <row r="74" ht="15" customHeight="1">
      <c r="A74" s="1"/>
      <c r="B74" s="41" t="s">
        <v>438</v>
      </c>
      <c r="C74" s="18">
        <f>E74-D74-Inputs!$D$260</f>
        <v>145</v>
      </c>
      <c r="D74" s="42">
        <v>164</v>
      </c>
      <c r="E74" s="42">
        <v>581</v>
      </c>
      <c r="F74" s="42">
        <v>150</v>
      </c>
      <c r="G74" s="42">
        <v>155</v>
      </c>
      <c r="H74" s="56">
        <v>158</v>
      </c>
      <c r="I74" s="22" t="s">
        <v>439</v>
      </c>
    </row>
    <row r="75" ht="15" customHeight="1">
      <c r="A75" s="1"/>
      <c r="B75" s="62" t="s">
        <v>107</v>
      </c>
      <c r="C75" s="19" t="s">
        <v>39</v>
      </c>
      <c r="D75" s="19" t="s">
        <v>39</v>
      </c>
      <c r="E75" s="19" t="s">
        <v>39</v>
      </c>
      <c r="F75" s="19" t="s">
        <v>39</v>
      </c>
      <c r="G75" s="19" t="s">
        <v>39</v>
      </c>
      <c r="H75" s="43">
        <f t="shared" si="6"/>
        <v>13</v>
      </c>
      <c r="I75" s="1"/>
    </row>
    <row r="76" ht="15" customHeight="1">
      <c r="A76" s="1"/>
      <c r="B76" s="62" t="s">
        <v>77</v>
      </c>
      <c r="C76" s="19" t="s">
        <v>39</v>
      </c>
      <c r="D76" s="19">
        <f t="shared" si="4"/>
        <v>19</v>
      </c>
      <c r="E76" s="19"/>
      <c r="F76" s="19">
        <f t="shared" si="7"/>
        <v>-14</v>
      </c>
      <c r="G76" s="19">
        <f t="shared" si="4"/>
        <v>5</v>
      </c>
      <c r="H76" s="43">
        <f t="shared" si="4"/>
        <v>3</v>
      </c>
      <c r="I76" s="1"/>
    </row>
    <row r="77" ht="15" customHeight="1">
      <c r="A77" s="1"/>
      <c r="B77" s="41" t="s">
        <v>440</v>
      </c>
      <c r="C77" s="18">
        <f>E77-D77-Inputs!$D$261</f>
        <v>59</v>
      </c>
      <c r="D77" s="42">
        <v>57</v>
      </c>
      <c r="E77" s="42">
        <v>232</v>
      </c>
      <c r="F77" s="42">
        <v>60</v>
      </c>
      <c r="G77" s="42">
        <v>65</v>
      </c>
      <c r="H77" s="56">
        <v>64</v>
      </c>
      <c r="I77" s="22" t="s">
        <v>441</v>
      </c>
    </row>
    <row r="78" ht="15" customHeight="1">
      <c r="A78" s="1"/>
      <c r="B78" s="62" t="s">
        <v>107</v>
      </c>
      <c r="C78" s="19" t="s">
        <v>39</v>
      </c>
      <c r="D78" s="19" t="s">
        <v>39</v>
      </c>
      <c r="E78" s="19" t="s">
        <v>39</v>
      </c>
      <c r="F78" s="19" t="s">
        <v>39</v>
      </c>
      <c r="G78" s="19" t="s">
        <v>39</v>
      </c>
      <c r="H78" s="43">
        <f t="shared" si="6"/>
        <v>5</v>
      </c>
      <c r="I78" s="1"/>
    </row>
    <row r="79" ht="15" customHeight="1">
      <c r="A79" s="1"/>
      <c r="B79" s="62" t="s">
        <v>77</v>
      </c>
      <c r="C79" s="19" t="s">
        <v>39</v>
      </c>
      <c r="D79" s="19">
        <f t="shared" si="4"/>
        <v>-2</v>
      </c>
      <c r="E79" s="19"/>
      <c r="F79" s="19">
        <f t="shared" si="7"/>
        <v>3</v>
      </c>
      <c r="G79" s="19">
        <f t="shared" si="4"/>
        <v>5</v>
      </c>
      <c r="H79" s="43">
        <f t="shared" si="4"/>
        <v>-1</v>
      </c>
      <c r="I79" s="1"/>
    </row>
    <row r="80" ht="15" customHeight="1">
      <c r="A80" s="1"/>
      <c r="B80" s="35" t="s">
        <v>442</v>
      </c>
      <c r="C80" s="63">
        <f t="shared" si="12" ref="C80:H80">C74+C77-C13</f>
        <v>0</v>
      </c>
      <c r="D80" s="63">
        <f t="shared" si="12"/>
        <v>0</v>
      </c>
      <c r="E80" s="63">
        <f t="shared" si="12"/>
        <v>0</v>
      </c>
      <c r="F80" s="63">
        <f t="shared" si="12"/>
        <v>0</v>
      </c>
      <c r="G80" s="63">
        <f t="shared" si="12"/>
        <v>0</v>
      </c>
      <c r="H80" s="64">
        <f t="shared" si="12"/>
        <v>0</v>
      </c>
      <c r="I80" s="1"/>
    </row>
    <row r="81" ht="15" customHeight="1">
      <c r="A81" s="1"/>
      <c r="B81" s="4" t="s">
        <v>443</v>
      </c>
      <c r="C81" s="49">
        <f t="shared" si="13" ref="C81:H81">C29+C36+C41</f>
        <v>1479</v>
      </c>
      <c r="D81" s="49">
        <f t="shared" si="13"/>
        <v>1597</v>
      </c>
      <c r="E81" s="49">
        <f t="shared" si="13"/>
        <v>4443</v>
      </c>
      <c r="F81" s="49">
        <f t="shared" si="13"/>
        <v>1267</v>
      </c>
      <c r="G81" s="49">
        <f t="shared" si="13"/>
        <v>1092</v>
      </c>
      <c r="H81" s="50">
        <f t="shared" si="13"/>
        <v>1764.2055581257166</v>
      </c>
      <c r="I81" s="1"/>
    </row>
    <row r="82" ht="15" customHeight="1">
      <c r="A82" s="1"/>
      <c r="B82" s="41" t="s">
        <v>444</v>
      </c>
      <c r="C82" s="42">
        <v>1552</v>
      </c>
      <c r="D82" s="42">
        <v>1517</v>
      </c>
      <c r="E82" s="42">
        <v>4566</v>
      </c>
      <c r="F82" s="42">
        <v>1250</v>
      </c>
      <c r="G82" s="42">
        <v>881</v>
      </c>
      <c r="H82" s="43" t="s">
        <v>39</v>
      </c>
      <c r="I82" s="1"/>
    </row>
    <row r="83" ht="23.25" customHeight="1">
      <c r="A83" s="1"/>
      <c r="B83" s="78" t="s">
        <v>445</v>
      </c>
      <c r="C83" s="49">
        <f t="shared" si="14" ref="C83:G83">C82-C81</f>
        <v>73</v>
      </c>
      <c r="D83" s="49">
        <f t="shared" si="14"/>
        <v>-80</v>
      </c>
      <c r="E83" s="49">
        <f t="shared" si="14"/>
        <v>123</v>
      </c>
      <c r="F83" s="49">
        <f t="shared" si="14"/>
        <v>-17</v>
      </c>
      <c r="G83" s="49">
        <f t="shared" si="14"/>
        <v>-211</v>
      </c>
      <c r="H83" s="50">
        <f>H30+H46</f>
        <v>-20</v>
      </c>
      <c r="I83" s="22" t="s">
        <v>446</v>
      </c>
    </row>
    <row r="84" ht="15" customHeight="1">
      <c r="A84" s="1"/>
      <c r="B84" s="4" t="s">
        <v>447</v>
      </c>
      <c r="C84" s="49">
        <f t="shared" si="15" ref="C84:H84">C81+C83</f>
        <v>1552</v>
      </c>
      <c r="D84" s="49">
        <f t="shared" si="15"/>
        <v>1517</v>
      </c>
      <c r="E84" s="49">
        <f t="shared" si="15"/>
        <v>4566</v>
      </c>
      <c r="F84" s="49">
        <f t="shared" si="15"/>
        <v>1250</v>
      </c>
      <c r="G84" s="49">
        <f t="shared" si="15"/>
        <v>881</v>
      </c>
      <c r="H84" s="50">
        <f t="shared" si="15"/>
        <v>1744.2055581257166</v>
      </c>
      <c r="I84" s="1"/>
    </row>
    <row r="85" ht="15" customHeight="1">
      <c r="A85" s="1"/>
      <c r="B85" s="35" t="s">
        <v>448</v>
      </c>
      <c r="C85" s="36">
        <f>C84/'Income Statement'!C78</f>
        <v>1.2847682119205297</v>
      </c>
      <c r="D85" s="36">
        <f>D84/'Income Statement'!D78</f>
        <v>1.1916732128829537</v>
      </c>
      <c r="E85" s="36">
        <f>E84/'Income Statement'!E78</f>
        <v>0.9645120405576679</v>
      </c>
      <c r="F85" s="36">
        <f>F84/'Income Statement'!F78</f>
        <v>0.9441087613293051</v>
      </c>
      <c r="G85" s="36">
        <f>G84/'Income Statement'!G78</f>
        <v>0.7156783103168156</v>
      </c>
      <c r="H85" s="37">
        <f>H84/'Income Statement'!H78</f>
        <v>1.2358051631530844</v>
      </c>
      <c r="I85" s="1"/>
    </row>
    <row r="86" ht="15" customHeight="1">
      <c r="A86" s="1"/>
      <c r="B86" s="35" t="s">
        <v>449</v>
      </c>
      <c r="C86" s="36">
        <f>-C36/'Income Statement'!C24</f>
        <v>0.024378753974796843</v>
      </c>
      <c r="D86" s="36">
        <f>-D36/'Income Statement'!D24</f>
        <v>0.04518338488731772</v>
      </c>
      <c r="E86" s="36">
        <f>-E36/'Income Statement'!E24</f>
        <v>0.030132450331125826</v>
      </c>
      <c r="F86" s="36">
        <f>-F36/'Income Statement'!F24</f>
        <v>0.020723608884817953</v>
      </c>
      <c r="G86" s="36">
        <f>-G36/'Income Statement'!G24</f>
        <v>0.02490765171503958</v>
      </c>
      <c r="H86" s="37">
        <f>-H36/'Income Statement'!H24</f>
        <v>0.028928283711747636</v>
      </c>
      <c r="I86" s="1"/>
    </row>
    <row r="87" ht="15" customHeight="1">
      <c r="A87" s="1"/>
      <c r="B87" s="1"/>
      <c r="C87" s="1"/>
      <c r="D87" s="1"/>
      <c r="E87" s="1"/>
      <c r="F87" s="1"/>
      <c r="G87" s="1"/>
      <c r="H87" s="32"/>
      <c r="I87" s="1"/>
    </row>
    <row r="88" ht="15" customHeight="1">
      <c r="A88" s="1"/>
      <c r="B88" s="1"/>
      <c r="C88" s="1"/>
      <c r="D88" s="1"/>
      <c r="E88" s="1"/>
      <c r="F88" s="1"/>
      <c r="G88" s="1"/>
      <c r="H88" s="1"/>
      <c r="I88" s="1"/>
    </row>
    <row r="89" ht="15" customHeight="1">
      <c r="A89" s="1"/>
      <c r="B89" s="1"/>
      <c r="C89" s="1"/>
      <c r="D89" s="1"/>
      <c r="E89" s="1"/>
      <c r="F89" s="1"/>
      <c r="G89" s="1"/>
      <c r="H89" s="1"/>
      <c r="I8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705F0A3-5228-FCC8-04FA-B0C9A029C3A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450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451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4" t="s">
        <v>145</v>
      </c>
      <c r="C11" s="33">
        <f>E11-D11-Inputs!$D$262</f>
        <v>2891</v>
      </c>
      <c r="D11" s="39">
        <v>3175</v>
      </c>
      <c r="E11" s="39">
        <v>11407</v>
      </c>
      <c r="F11" s="39">
        <v>2992</v>
      </c>
      <c r="G11" s="39">
        <v>2994</v>
      </c>
      <c r="H11" s="61">
        <f t="shared" si="12" ref="H11:H27">C11*(1+H17)*(1+H20)*(1+H23)</f>
        <v>3075.4458</v>
      </c>
      <c r="I11" s="22" t="s">
        <v>452</v>
      </c>
    </row>
    <row r="12" ht="15" customHeight="1">
      <c r="A12" s="1"/>
      <c r="B12" s="41" t="s">
        <v>73</v>
      </c>
      <c r="C12" s="19" t="s">
        <v>39</v>
      </c>
      <c r="D12" s="42">
        <v>2624</v>
      </c>
      <c r="E12" s="42">
        <v>10138</v>
      </c>
      <c r="F12" s="42">
        <v>2548</v>
      </c>
      <c r="G12" s="42">
        <v>2793</v>
      </c>
      <c r="H12" s="43">
        <f t="shared" si="13" ref="H12:H81">C11</f>
        <v>2891</v>
      </c>
      <c r="I12" s="1"/>
    </row>
    <row r="13" ht="15" customHeight="1">
      <c r="A13" s="1"/>
      <c r="B13" s="35" t="s">
        <v>63</v>
      </c>
      <c r="C13" s="20" t="str">
        <f t="shared" si="2" ref="C13:H98">IF(AND(ISNUMBER(C11),ISNUMBER(C12)),IF(C12=0,"n.m.",C11/C12-1),"n.a.")</f>
        <v>n.a.</v>
      </c>
      <c r="D13" s="20">
        <f t="shared" si="2"/>
        <v>0.20998475609756095</v>
      </c>
      <c r="E13" s="20">
        <f t="shared" si="2"/>
        <v>0.12517261787334788</v>
      </c>
      <c r="F13" s="20">
        <f t="shared" si="2"/>
        <v>0.1742543171114599</v>
      </c>
      <c r="G13" s="20">
        <f t="shared" si="2"/>
        <v>0.0719656283566057</v>
      </c>
      <c r="H13" s="38">
        <f t="shared" si="2"/>
        <v>0.06380000000000008</v>
      </c>
      <c r="I13" s="1"/>
    </row>
    <row r="14" ht="15" customHeight="1">
      <c r="A14" s="1"/>
      <c r="B14" s="35" t="s">
        <v>64</v>
      </c>
      <c r="C14" s="20">
        <f t="shared" si="14" ref="C14:C83">IF(AND(ISNUMBER(C11),ISNUMBER(G12)),IF(G12=0,"n.m.",C11/G12-1),"n.a.")</f>
        <v>0.03508771929824572</v>
      </c>
      <c r="D14" s="20">
        <f t="shared" si="3" ref="D14:H83">IF(AND(ISNUMBER(D11),ISNUMBER(C11)),IF(C11=0,"n.m.",D11/C11-1),"n.a.")</f>
        <v>0.09823590453130415</v>
      </c>
      <c r="E14" s="20"/>
      <c r="F14" s="20">
        <f t="shared" si="15" ref="F14:F83">IF(AND(ISNUMBER(F11),ISNUMBER(D11)),IF(D11=0,"n.m.",F11/D11-1),"n.a.")</f>
        <v>-0.05763779527559054</v>
      </c>
      <c r="G14" s="20">
        <f t="shared" si="3"/>
        <v>0.0006684491978610207</v>
      </c>
      <c r="H14" s="38">
        <f t="shared" si="3"/>
        <v>0.027203006012024078</v>
      </c>
      <c r="I14" s="1"/>
    </row>
    <row r="15" ht="15" customHeight="1">
      <c r="A15" s="1"/>
      <c r="B15" s="35" t="s">
        <v>65</v>
      </c>
      <c r="C15" s="20">
        <f t="shared" si="4" ref="C15:H15">IF(AND(ISNUMBER(C11),ISNUMBER(C101)),IF(C101=0,"n.m.",C11/C101),"n.a.")</f>
        <v>0.34047815333882936</v>
      </c>
      <c r="D15" s="20">
        <f t="shared" si="4"/>
        <v>0.35075121520106056</v>
      </c>
      <c r="E15" s="20">
        <f t="shared" si="4"/>
        <v>0.3433774834437086</v>
      </c>
      <c r="F15" s="20">
        <f t="shared" si="4"/>
        <v>0.3425692695214106</v>
      </c>
      <c r="G15" s="20">
        <f t="shared" si="4"/>
        <v>0.3159894459102902</v>
      </c>
      <c r="H15" s="38">
        <f t="shared" si="4"/>
        <v>0.3177406022946524</v>
      </c>
      <c r="I15" s="1"/>
    </row>
    <row r="16" ht="15" customHeight="1">
      <c r="A16" s="1"/>
      <c r="B16" s="35" t="s">
        <v>84</v>
      </c>
      <c r="C16" s="20" t="s">
        <v>39</v>
      </c>
      <c r="D16" s="51">
        <v>0.11</v>
      </c>
      <c r="E16" s="51">
        <v>0.07</v>
      </c>
      <c r="F16" s="51">
        <v>0.05</v>
      </c>
      <c r="G16" s="51">
        <v>0.04</v>
      </c>
      <c r="H16" s="38">
        <f t="shared" si="17" ref="H16:H85">(1+H17)*(1+H20)-1</f>
        <v>0.08000000000000007</v>
      </c>
      <c r="I16" s="1"/>
    </row>
    <row r="17" ht="15" customHeight="1">
      <c r="A17" s="1"/>
      <c r="B17" s="44" t="s">
        <v>85</v>
      </c>
      <c r="C17" s="20" t="s">
        <v>39</v>
      </c>
      <c r="D17" s="51">
        <v>0.11</v>
      </c>
      <c r="E17" s="51">
        <v>0.07</v>
      </c>
      <c r="F17" s="51">
        <v>0.03</v>
      </c>
      <c r="G17" s="51">
        <v>0.03</v>
      </c>
      <c r="H17" s="45">
        <v>0.08</v>
      </c>
      <c r="I17" s="22" t="s">
        <v>453</v>
      </c>
    </row>
    <row r="18" ht="15" customHeight="1">
      <c r="A18" s="1"/>
      <c r="B18" s="46" t="s">
        <v>82</v>
      </c>
      <c r="C18" s="47" t="s">
        <v>39</v>
      </c>
      <c r="D18" s="47" t="str">
        <f t="shared" si="5" ref="D18:H87">IF(AND(ISNUMBER(D17),ISNUMBER(C17)),(D17-C17)*10000,"n.a.")</f>
        <v>n.a.</v>
      </c>
      <c r="E18" s="47"/>
      <c r="F18" s="47">
        <f t="shared" si="18" ref="F18:F87">IF(AND(ISNUMBER(F17),ISNUMBER(D17)),(F17-D17)*10000,"n.a.")</f>
        <v>-800</v>
      </c>
      <c r="G18" s="47">
        <f t="shared" si="5"/>
        <v>0</v>
      </c>
      <c r="H18" s="48">
        <f t="shared" si="5"/>
        <v>500</v>
      </c>
      <c r="I18" s="1"/>
    </row>
    <row r="19" ht="15" customHeight="1">
      <c r="A19" s="1"/>
      <c r="B19" s="46" t="s">
        <v>81</v>
      </c>
      <c r="C19" s="47" t="s">
        <v>39</v>
      </c>
      <c r="D19" s="47" t="s">
        <v>39</v>
      </c>
      <c r="E19" s="47" t="s">
        <v>39</v>
      </c>
      <c r="F19" s="47" t="s">
        <v>39</v>
      </c>
      <c r="G19" s="47" t="s">
        <v>39</v>
      </c>
      <c r="H19" s="48" t="str">
        <f t="shared" si="19" ref="H19:H88">IF(AND(ISNUMBER(H17),ISNUMBER(C17)),(H17-C17)*10000,"n.a.")</f>
        <v>n.a.</v>
      </c>
      <c r="I19" s="1"/>
    </row>
    <row r="20" ht="15" customHeight="1">
      <c r="A20" s="1"/>
      <c r="B20" s="35" t="s">
        <v>67</v>
      </c>
      <c r="C20" s="20" t="str">
        <f t="shared" si="6" ref="C20:G89">IF(AND(ISNUMBER(C16),ISNUMBER(C17)),(1+C16)/(1+C17)-1,"n.a.")</f>
        <v>n.a.</v>
      </c>
      <c r="D20" s="20">
        <f t="shared" si="6"/>
        <v>0</v>
      </c>
      <c r="E20" s="20">
        <f t="shared" si="6"/>
        <v>0</v>
      </c>
      <c r="F20" s="20">
        <f t="shared" si="6"/>
        <v>0.01941747572815533</v>
      </c>
      <c r="G20" s="20">
        <f t="shared" si="6"/>
        <v>0.009708737864077666</v>
      </c>
      <c r="H20" s="45">
        <v>0</v>
      </c>
      <c r="I20" s="1"/>
    </row>
    <row r="21" ht="15" customHeight="1">
      <c r="A21" s="1"/>
      <c r="B21" s="46" t="s">
        <v>81</v>
      </c>
      <c r="C21" s="47" t="s">
        <v>39</v>
      </c>
      <c r="D21" s="47" t="s">
        <v>39</v>
      </c>
      <c r="E21" s="47" t="s">
        <v>39</v>
      </c>
      <c r="F21" s="47" t="s">
        <v>39</v>
      </c>
      <c r="G21" s="47" t="s">
        <v>39</v>
      </c>
      <c r="H21" s="48" t="str">
        <f t="shared" si="9" ref="H21:H93">IF(AND(ISNUMBER(H20),ISNUMBER(C20)),(H20-C20)*10000,"n.a.")</f>
        <v>n.a.</v>
      </c>
      <c r="I21" s="1"/>
    </row>
    <row r="22" ht="15" customHeight="1">
      <c r="A22" s="1"/>
      <c r="B22" s="46" t="s">
        <v>82</v>
      </c>
      <c r="C22" s="47" t="s">
        <v>39</v>
      </c>
      <c r="D22" s="47" t="str">
        <f t="shared" si="7" ref="D22:H94">IF(AND(ISNUMBER(D20),ISNUMBER(C20)),(D20-C20)*10000,"n.a.")</f>
        <v>n.a.</v>
      </c>
      <c r="E22" s="47"/>
      <c r="F22" s="47">
        <f t="shared" si="10" ref="F22:F94">IF(AND(ISNUMBER(F20),ISNUMBER(D20)),(F20-D20)*10000,"n.a.")</f>
        <v>194.1747572815533</v>
      </c>
      <c r="G22" s="47">
        <f t="shared" si="7"/>
        <v>-97.08737864077665</v>
      </c>
      <c r="H22" s="48">
        <f t="shared" si="7"/>
        <v>-97.08737864077665</v>
      </c>
      <c r="I22" s="1"/>
    </row>
    <row r="23" ht="15" customHeight="1">
      <c r="A23" s="1"/>
      <c r="B23" s="35" t="s">
        <v>68</v>
      </c>
      <c r="C23" s="20" t="str">
        <f t="shared" si="8" ref="C23:G92">IF(AND(ISNUMBER(C13),ISNUMBER(C16)),(1+C13)/(1+C16)-1,"n.a.")</f>
        <v>n.a.</v>
      </c>
      <c r="D23" s="20">
        <f t="shared" si="8"/>
        <v>0.09007635684464943</v>
      </c>
      <c r="E23" s="20">
        <f t="shared" si="8"/>
        <v>0.05156319427415679</v>
      </c>
      <c r="F23" s="20">
        <f t="shared" si="8"/>
        <v>0.11833744486805697</v>
      </c>
      <c r="G23" s="20">
        <f t="shared" si="8"/>
        <v>0.03073618111212073</v>
      </c>
      <c r="H23" s="45">
        <v>-0.015</v>
      </c>
      <c r="I23" s="1"/>
    </row>
    <row r="24" ht="15" customHeight="1">
      <c r="A24" s="1"/>
      <c r="B24" s="46" t="s">
        <v>81</v>
      </c>
      <c r="C24" s="47" t="s">
        <v>39</v>
      </c>
      <c r="D24" s="47" t="s">
        <v>39</v>
      </c>
      <c r="E24" s="47" t="s">
        <v>39</v>
      </c>
      <c r="F24" s="47" t="s">
        <v>39</v>
      </c>
      <c r="G24" s="47" t="s">
        <v>39</v>
      </c>
      <c r="H24" s="48" t="str">
        <f t="shared" si="9"/>
        <v>n.a.</v>
      </c>
      <c r="I24" s="1"/>
    </row>
    <row r="25" ht="15" customHeight="1">
      <c r="A25" s="1"/>
      <c r="B25" s="46" t="s">
        <v>82</v>
      </c>
      <c r="C25" s="47" t="s">
        <v>39</v>
      </c>
      <c r="D25" s="47" t="str">
        <f t="shared" si="7"/>
        <v>n.a.</v>
      </c>
      <c r="E25" s="47"/>
      <c r="F25" s="47">
        <f t="shared" si="10"/>
        <v>282.6108802340754</v>
      </c>
      <c r="G25" s="47">
        <f t="shared" si="7"/>
        <v>-876.0126375593625</v>
      </c>
      <c r="H25" s="48">
        <f t="shared" si="7"/>
        <v>-457.3618111212073</v>
      </c>
      <c r="I25" s="1"/>
    </row>
    <row r="26" ht="15" customHeight="1">
      <c r="A26" s="1"/>
      <c r="B26" s="35" t="s">
        <v>88</v>
      </c>
      <c r="C26" s="20" t="str">
        <f t="shared" si="11" ref="C26:H95">IF(COUNT(C13,C20,C23)=3,(1+C13)/((1+C20)*(1+C23))-1,"n.a.")</f>
        <v>n.a.</v>
      </c>
      <c r="D26" s="20">
        <f t="shared" si="11"/>
        <v>0.1100000000000001</v>
      </c>
      <c r="E26" s="20">
        <f t="shared" si="11"/>
        <v>0.07000000000000006</v>
      </c>
      <c r="F26" s="20">
        <f t="shared" si="11"/>
        <v>0.03000000000000025</v>
      </c>
      <c r="G26" s="20">
        <f t="shared" si="11"/>
        <v>0.030000000000000027</v>
      </c>
      <c r="H26" s="38">
        <f t="shared" si="11"/>
        <v>0.08000000000000007</v>
      </c>
      <c r="I26" s="1"/>
    </row>
    <row r="27" ht="15" customHeight="1">
      <c r="A27" s="1"/>
      <c r="B27" s="4" t="s">
        <v>148</v>
      </c>
      <c r="C27" s="33">
        <f>E27-D27-Inputs!$D$263</f>
        <v>3221</v>
      </c>
      <c r="D27" s="39">
        <v>3247</v>
      </c>
      <c r="E27" s="39">
        <v>12424</v>
      </c>
      <c r="F27" s="39">
        <v>3391</v>
      </c>
      <c r="G27" s="39">
        <v>3788</v>
      </c>
      <c r="H27" s="61">
        <f t="shared" si="12"/>
        <v>3825.3240199999996</v>
      </c>
      <c r="I27" s="22" t="s">
        <v>454</v>
      </c>
    </row>
    <row r="28" ht="15" customHeight="1">
      <c r="A28" s="1"/>
      <c r="B28" s="41" t="s">
        <v>73</v>
      </c>
      <c r="C28" s="19" t="s">
        <v>39</v>
      </c>
      <c r="D28" s="42">
        <v>2934</v>
      </c>
      <c r="E28" s="42">
        <v>11370</v>
      </c>
      <c r="F28" s="42">
        <v>2810</v>
      </c>
      <c r="G28" s="42">
        <v>3146</v>
      </c>
      <c r="H28" s="43">
        <f t="shared" si="13"/>
        <v>3221</v>
      </c>
      <c r="I28" s="1"/>
    </row>
    <row r="29" ht="15" customHeight="1">
      <c r="A29" s="1"/>
      <c r="B29" s="35" t="s">
        <v>63</v>
      </c>
      <c r="C29" s="20" t="str">
        <f t="shared" si="2"/>
        <v>n.a.</v>
      </c>
      <c r="D29" s="20">
        <f t="shared" si="2"/>
        <v>0.1066802999318337</v>
      </c>
      <c r="E29" s="20">
        <f t="shared" si="2"/>
        <v>0.09270008795074758</v>
      </c>
      <c r="F29" s="20">
        <f t="shared" si="2"/>
        <v>0.2067615658362989</v>
      </c>
      <c r="G29" s="20">
        <f t="shared" si="2"/>
        <v>0.20406865861411316</v>
      </c>
      <c r="H29" s="38">
        <f t="shared" si="2"/>
        <v>0.1876199999999999</v>
      </c>
      <c r="I29" s="1"/>
    </row>
    <row r="30" ht="15" customHeight="1">
      <c r="A30" s="1"/>
      <c r="B30" s="35" t="s">
        <v>64</v>
      </c>
      <c r="C30" s="20">
        <f t="shared" si="14"/>
        <v>0.02383979656706936</v>
      </c>
      <c r="D30" s="20">
        <f t="shared" si="3"/>
        <v>0.008072027320707775</v>
      </c>
      <c r="E30" s="20"/>
      <c r="F30" s="20">
        <f t="shared" si="15"/>
        <v>0.044348629504157744</v>
      </c>
      <c r="G30" s="20">
        <f t="shared" si="3"/>
        <v>0.1170746092598054</v>
      </c>
      <c r="H30" s="38">
        <f t="shared" si="3"/>
        <v>0.00985322597676852</v>
      </c>
      <c r="I30" s="1"/>
    </row>
    <row r="31" ht="15" customHeight="1">
      <c r="A31" s="1"/>
      <c r="B31" s="35" t="s">
        <v>65</v>
      </c>
      <c r="C31" s="20">
        <f t="shared" si="16" ref="C31:H31">IF(AND(ISNUMBER(C27),ISNUMBER(C101)),IF(C101=0,"n.m.",C27/C101),"n.a.")</f>
        <v>0.37934283358850546</v>
      </c>
      <c r="D31" s="20">
        <f t="shared" si="16"/>
        <v>0.35870525850640744</v>
      </c>
      <c r="E31" s="20">
        <f t="shared" si="16"/>
        <v>0.3739915713425647</v>
      </c>
      <c r="F31" s="20">
        <f t="shared" si="16"/>
        <v>0.38825280512937943</v>
      </c>
      <c r="G31" s="20">
        <f t="shared" si="16"/>
        <v>0.39978891820580476</v>
      </c>
      <c r="H31" s="38">
        <f t="shared" si="16"/>
        <v>0.3952144947854392</v>
      </c>
      <c r="I31" s="1"/>
    </row>
    <row r="32" ht="15" customHeight="1">
      <c r="A32" s="1"/>
      <c r="B32" s="35" t="s">
        <v>84</v>
      </c>
      <c r="C32" s="20" t="s">
        <v>39</v>
      </c>
      <c r="D32" s="51">
        <v>0.09</v>
      </c>
      <c r="E32" s="51">
        <v>0.1</v>
      </c>
      <c r="F32" s="51">
        <v>0.19</v>
      </c>
      <c r="G32" s="51">
        <v>0.19</v>
      </c>
      <c r="H32" s="38">
        <f t="shared" si="17"/>
        <v>0.18999999999999995</v>
      </c>
      <c r="I32" s="1"/>
    </row>
    <row r="33" ht="15" customHeight="1">
      <c r="A33" s="1"/>
      <c r="B33" s="44" t="s">
        <v>85</v>
      </c>
      <c r="C33" s="20" t="s">
        <v>39</v>
      </c>
      <c r="D33" s="51">
        <v>0.1</v>
      </c>
      <c r="E33" s="51">
        <v>0.1</v>
      </c>
      <c r="F33" s="51">
        <v>0.18</v>
      </c>
      <c r="G33" s="51">
        <v>0.19</v>
      </c>
      <c r="H33" s="45">
        <v>0.19</v>
      </c>
      <c r="I33" s="22" t="s">
        <v>453</v>
      </c>
    </row>
    <row r="34" ht="15" customHeight="1">
      <c r="A34" s="1"/>
      <c r="B34" s="46" t="s">
        <v>82</v>
      </c>
      <c r="C34" s="47" t="s">
        <v>39</v>
      </c>
      <c r="D34" s="47" t="str">
        <f t="shared" si="5"/>
        <v>n.a.</v>
      </c>
      <c r="E34" s="47"/>
      <c r="F34" s="47">
        <f t="shared" si="18"/>
        <v>799.9999999999999</v>
      </c>
      <c r="G34" s="47">
        <f t="shared" si="5"/>
        <v>100.00000000000009</v>
      </c>
      <c r="H34" s="48">
        <f t="shared" si="5"/>
        <v>0</v>
      </c>
      <c r="I34" s="1"/>
    </row>
    <row r="35" ht="15" customHeight="1">
      <c r="A35" s="1"/>
      <c r="B35" s="46" t="s">
        <v>81</v>
      </c>
      <c r="C35" s="47" t="s">
        <v>39</v>
      </c>
      <c r="D35" s="47" t="s">
        <v>39</v>
      </c>
      <c r="E35" s="47" t="s">
        <v>39</v>
      </c>
      <c r="F35" s="47" t="s">
        <v>39</v>
      </c>
      <c r="G35" s="47" t="s">
        <v>39</v>
      </c>
      <c r="H35" s="48" t="str">
        <f t="shared" si="19"/>
        <v>n.a.</v>
      </c>
      <c r="I35" s="1"/>
    </row>
    <row r="36" ht="15" customHeight="1">
      <c r="A36" s="1"/>
      <c r="B36" s="35" t="s">
        <v>67</v>
      </c>
      <c r="C36" s="20" t="str">
        <f t="shared" si="6"/>
        <v>n.a.</v>
      </c>
      <c r="D36" s="20">
        <f t="shared" si="6"/>
        <v>-0.00909090909090915</v>
      </c>
      <c r="E36" s="20">
        <f t="shared" si="6"/>
        <v>0</v>
      </c>
      <c r="F36" s="20">
        <f t="shared" si="6"/>
        <v>0.008474576271186418</v>
      </c>
      <c r="G36" s="20">
        <f t="shared" si="6"/>
        <v>0</v>
      </c>
      <c r="H36" s="45">
        <v>0</v>
      </c>
      <c r="I36" s="1"/>
    </row>
    <row r="37" ht="15" customHeight="1">
      <c r="A37" s="1"/>
      <c r="B37" s="46" t="s">
        <v>81</v>
      </c>
      <c r="C37" s="47" t="s">
        <v>39</v>
      </c>
      <c r="D37" s="47" t="s">
        <v>39</v>
      </c>
      <c r="E37" s="47" t="s">
        <v>39</v>
      </c>
      <c r="F37" s="47" t="s">
        <v>39</v>
      </c>
      <c r="G37" s="47" t="s">
        <v>39</v>
      </c>
      <c r="H37" s="48" t="str">
        <f t="shared" si="9"/>
        <v>n.a.</v>
      </c>
      <c r="I37" s="1"/>
    </row>
    <row r="38" ht="15" customHeight="1">
      <c r="A38" s="1"/>
      <c r="B38" s="46" t="s">
        <v>82</v>
      </c>
      <c r="C38" s="47" t="s">
        <v>39</v>
      </c>
      <c r="D38" s="47" t="str">
        <f t="shared" si="7"/>
        <v>n.a.</v>
      </c>
      <c r="E38" s="47"/>
      <c r="F38" s="47">
        <f t="shared" si="10"/>
        <v>175.65485362095566</v>
      </c>
      <c r="G38" s="47">
        <f t="shared" si="7"/>
        <v>-84.74576271186419</v>
      </c>
      <c r="H38" s="48">
        <f t="shared" si="7"/>
        <v>0</v>
      </c>
      <c r="I38" s="1"/>
    </row>
    <row r="39" ht="15" customHeight="1">
      <c r="A39" s="1"/>
      <c r="B39" s="35" t="s">
        <v>68</v>
      </c>
      <c r="C39" s="20" t="str">
        <f t="shared" si="8"/>
        <v>n.a.</v>
      </c>
      <c r="D39" s="20">
        <f t="shared" si="8"/>
        <v>0.0153030274603978</v>
      </c>
      <c r="E39" s="20">
        <f t="shared" si="8"/>
        <v>-0.006636283681138666</v>
      </c>
      <c r="F39" s="20">
        <f t="shared" si="8"/>
        <v>0.014085349442268136</v>
      </c>
      <c r="G39" s="20">
        <f t="shared" si="8"/>
        <v>0.011822402196733695</v>
      </c>
      <c r="H39" s="45">
        <v>-0.002</v>
      </c>
      <c r="I39" s="1"/>
    </row>
    <row r="40" ht="15" customHeight="1">
      <c r="A40" s="1"/>
      <c r="B40" s="46" t="s">
        <v>81</v>
      </c>
      <c r="C40" s="47" t="s">
        <v>39</v>
      </c>
      <c r="D40" s="47" t="s">
        <v>39</v>
      </c>
      <c r="E40" s="47" t="s">
        <v>39</v>
      </c>
      <c r="F40" s="47" t="s">
        <v>39</v>
      </c>
      <c r="G40" s="47" t="s">
        <v>39</v>
      </c>
      <c r="H40" s="48" t="str">
        <f t="shared" si="9"/>
        <v>n.a.</v>
      </c>
      <c r="I40" s="1"/>
    </row>
    <row r="41" ht="15" customHeight="1">
      <c r="A41" s="1"/>
      <c r="B41" s="46" t="s">
        <v>82</v>
      </c>
      <c r="C41" s="47" t="s">
        <v>39</v>
      </c>
      <c r="D41" s="47" t="str">
        <f t="shared" si="7"/>
        <v>n.a.</v>
      </c>
      <c r="E41" s="47"/>
      <c r="F41" s="47">
        <f t="shared" si="10"/>
        <v>-12.176780181296643</v>
      </c>
      <c r="G41" s="47">
        <f t="shared" si="7"/>
        <v>-22.629472455344413</v>
      </c>
      <c r="H41" s="48">
        <f t="shared" si="7"/>
        <v>-138.22402196733694</v>
      </c>
      <c r="I41" s="1"/>
    </row>
    <row r="42" ht="15" customHeight="1">
      <c r="A42" s="1"/>
      <c r="B42" s="35" t="s">
        <v>88</v>
      </c>
      <c r="C42" s="20" t="str">
        <f t="shared" si="11"/>
        <v>n.a.</v>
      </c>
      <c r="D42" s="20">
        <f t="shared" si="11"/>
        <v>0.10000000000000009</v>
      </c>
      <c r="E42" s="20">
        <f t="shared" si="11"/>
        <v>0.10000000000000009</v>
      </c>
      <c r="F42" s="20">
        <f t="shared" si="11"/>
        <v>0.17999999999999994</v>
      </c>
      <c r="G42" s="20">
        <f t="shared" si="11"/>
        <v>0.19000000000000017</v>
      </c>
      <c r="H42" s="38">
        <f t="shared" si="11"/>
        <v>0.18999999999999995</v>
      </c>
      <c r="I42" s="1"/>
    </row>
    <row r="43" ht="15" customHeight="1">
      <c r="A43" s="1"/>
      <c r="B43" s="41" t="s">
        <v>149</v>
      </c>
      <c r="C43" s="18">
        <f>E43-D43-Inputs!$D$264</f>
        <v>2508</v>
      </c>
      <c r="D43" s="42">
        <v>2511</v>
      </c>
      <c r="E43" s="42">
        <v>9660</v>
      </c>
      <c r="F43" s="42">
        <v>2696</v>
      </c>
      <c r="G43" s="42">
        <v>3047</v>
      </c>
      <c r="H43" s="43">
        <f t="shared" si="26" ref="H43:H80">H27*G43/G27</f>
        <v>3077.022779551214</v>
      </c>
      <c r="I43" s="22" t="s">
        <v>455</v>
      </c>
    </row>
    <row r="44" ht="15" customHeight="1">
      <c r="A44" s="1"/>
      <c r="B44" s="41" t="s">
        <v>73</v>
      </c>
      <c r="C44" s="19" t="s">
        <v>39</v>
      </c>
      <c r="D44" s="42">
        <v>2222</v>
      </c>
      <c r="E44" s="42">
        <v>8623</v>
      </c>
      <c r="F44" s="42">
        <v>2197</v>
      </c>
      <c r="G44" s="42">
        <v>2444</v>
      </c>
      <c r="H44" s="43">
        <f t="shared" si="13"/>
        <v>2508</v>
      </c>
      <c r="I44" s="1"/>
    </row>
    <row r="45" ht="15" customHeight="1">
      <c r="A45" s="1"/>
      <c r="B45" s="35" t="s">
        <v>63</v>
      </c>
      <c r="C45" s="20" t="str">
        <f t="shared" si="2"/>
        <v>n.a.</v>
      </c>
      <c r="D45" s="20">
        <f t="shared" si="2"/>
        <v>0.13006300630063006</v>
      </c>
      <c r="E45" s="20">
        <f t="shared" si="2"/>
        <v>0.12025977038153779</v>
      </c>
      <c r="F45" s="20">
        <f t="shared" si="2"/>
        <v>0.22712790168411479</v>
      </c>
      <c r="G45" s="20">
        <f t="shared" si="2"/>
        <v>0.24672667757774147</v>
      </c>
      <c r="H45" s="38">
        <f t="shared" si="2"/>
        <v>0.22688308594546025</v>
      </c>
      <c r="I45" s="1"/>
    </row>
    <row r="46" ht="15" customHeight="1">
      <c r="A46" s="1"/>
      <c r="B46" s="35" t="s">
        <v>64</v>
      </c>
      <c r="C46" s="20">
        <f t="shared" si="14"/>
        <v>0.026186579378068675</v>
      </c>
      <c r="D46" s="20">
        <f t="shared" si="3"/>
        <v>0.0011961722488038617</v>
      </c>
      <c r="E46" s="20"/>
      <c r="F46" s="20">
        <f t="shared" si="15"/>
        <v>0.0736758263639985</v>
      </c>
      <c r="G46" s="20">
        <f t="shared" si="3"/>
        <v>0.13019287833827886</v>
      </c>
      <c r="H46" s="38">
        <f t="shared" si="3"/>
        <v>0.009853225976768742</v>
      </c>
      <c r="I46" s="1"/>
    </row>
    <row r="47" ht="15" customHeight="1">
      <c r="A47" s="1"/>
      <c r="B47" s="35" t="s">
        <v>65</v>
      </c>
      <c r="C47" s="20">
        <f t="shared" si="20" ref="C47:H47">IF(AND(ISNUMBER(C43),ISNUMBER(C101)),IF(C101=0,"n.m.",C43/C101),"n.a.")</f>
        <v>0.29537156989753854</v>
      </c>
      <c r="D47" s="20">
        <f t="shared" si="20"/>
        <v>0.2773972602739726</v>
      </c>
      <c r="E47" s="20">
        <f t="shared" si="20"/>
        <v>0.29078868151715836</v>
      </c>
      <c r="F47" s="20">
        <f t="shared" si="20"/>
        <v>0.30867872681474695</v>
      </c>
      <c r="G47" s="20">
        <f t="shared" si="20"/>
        <v>0.3215831134564644</v>
      </c>
      <c r="H47" s="38">
        <f t="shared" si="20"/>
        <v>0.31790352840845654</v>
      </c>
      <c r="I47" s="1"/>
    </row>
    <row r="48" ht="15" customHeight="1">
      <c r="A48" s="1"/>
      <c r="B48" s="35" t="s">
        <v>84</v>
      </c>
      <c r="C48" s="20" t="s">
        <v>39</v>
      </c>
      <c r="D48" s="51">
        <v>0.13</v>
      </c>
      <c r="E48" s="51">
        <v>0.12</v>
      </c>
      <c r="F48" s="51">
        <v>0.22</v>
      </c>
      <c r="G48" s="51">
        <v>0.25</v>
      </c>
      <c r="H48" s="38">
        <f t="shared" si="17"/>
        <v>0.22688308594546025</v>
      </c>
      <c r="I48" s="1"/>
    </row>
    <row r="49" ht="15" customHeight="1">
      <c r="A49" s="1"/>
      <c r="B49" s="44" t="s">
        <v>85</v>
      </c>
      <c r="C49" s="20" t="s">
        <v>39</v>
      </c>
      <c r="D49" s="51">
        <v>0.13</v>
      </c>
      <c r="E49" s="51">
        <v>0.12</v>
      </c>
      <c r="F49" s="51">
        <v>0.22</v>
      </c>
      <c r="G49" s="51">
        <v>0.24</v>
      </c>
      <c r="H49" s="38">
        <f t="shared" si="25" ref="H49:H86">IF(COUNT(H45,H52,H55)=3,(1+H45)/((1+H52)*(1+H55))-1,"n.a.")</f>
        <v>0.22688308594546025</v>
      </c>
      <c r="I49" s="22" t="s">
        <v>456</v>
      </c>
    </row>
    <row r="50" ht="15" customHeight="1">
      <c r="A50" s="1"/>
      <c r="B50" s="46" t="s">
        <v>82</v>
      </c>
      <c r="C50" s="47" t="s">
        <v>39</v>
      </c>
      <c r="D50" s="47" t="str">
        <f t="shared" si="5"/>
        <v>n.a.</v>
      </c>
      <c r="E50" s="47"/>
      <c r="F50" s="47">
        <f t="shared" si="18"/>
        <v>900</v>
      </c>
      <c r="G50" s="47">
        <f t="shared" si="5"/>
        <v>199.9999999999999</v>
      </c>
      <c r="H50" s="48">
        <f t="shared" si="5"/>
        <v>-131.1691405453974</v>
      </c>
      <c r="I50" s="1"/>
    </row>
    <row r="51" ht="15" customHeight="1">
      <c r="A51" s="1"/>
      <c r="B51" s="46" t="s">
        <v>81</v>
      </c>
      <c r="C51" s="47" t="s">
        <v>39</v>
      </c>
      <c r="D51" s="47" t="s">
        <v>39</v>
      </c>
      <c r="E51" s="47" t="s">
        <v>39</v>
      </c>
      <c r="F51" s="47" t="s">
        <v>39</v>
      </c>
      <c r="G51" s="47" t="s">
        <v>39</v>
      </c>
      <c r="H51" s="48" t="str">
        <f t="shared" si="19"/>
        <v>n.a.</v>
      </c>
      <c r="I51" s="1"/>
    </row>
    <row r="52" ht="15" customHeight="1">
      <c r="A52" s="1"/>
      <c r="B52" s="35" t="s">
        <v>67</v>
      </c>
      <c r="C52" s="20" t="str">
        <f t="shared" si="6"/>
        <v>n.a.</v>
      </c>
      <c r="D52" s="20">
        <f t="shared" si="6"/>
        <v>0</v>
      </c>
      <c r="E52" s="20">
        <f t="shared" si="6"/>
        <v>0</v>
      </c>
      <c r="F52" s="20">
        <f t="shared" si="6"/>
        <v>0</v>
      </c>
      <c r="G52" s="20">
        <f t="shared" si="6"/>
        <v>0.008064516129032251</v>
      </c>
      <c r="H52" s="45">
        <v>0</v>
      </c>
      <c r="I52" s="1"/>
    </row>
    <row r="53" ht="15" customHeight="1">
      <c r="A53" s="1"/>
      <c r="B53" s="46" t="s">
        <v>81</v>
      </c>
      <c r="C53" s="47" t="s">
        <v>39</v>
      </c>
      <c r="D53" s="47" t="s">
        <v>39</v>
      </c>
      <c r="E53" s="47" t="s">
        <v>39</v>
      </c>
      <c r="F53" s="47" t="s">
        <v>39</v>
      </c>
      <c r="G53" s="47" t="s">
        <v>39</v>
      </c>
      <c r="H53" s="48" t="str">
        <f t="shared" si="9"/>
        <v>n.a.</v>
      </c>
      <c r="I53" s="1"/>
    </row>
    <row r="54" ht="15" customHeight="1">
      <c r="A54" s="1"/>
      <c r="B54" s="46" t="s">
        <v>82</v>
      </c>
      <c r="C54" s="47" t="s">
        <v>39</v>
      </c>
      <c r="D54" s="47" t="str">
        <f t="shared" si="7"/>
        <v>n.a.</v>
      </c>
      <c r="E54" s="47"/>
      <c r="F54" s="47">
        <f t="shared" si="10"/>
        <v>0</v>
      </c>
      <c r="G54" s="47">
        <f t="shared" si="7"/>
        <v>80.6451612903225</v>
      </c>
      <c r="H54" s="48">
        <f t="shared" si="7"/>
        <v>-80.6451612903225</v>
      </c>
      <c r="I54" s="1"/>
    </row>
    <row r="55" ht="15" customHeight="1">
      <c r="A55" s="1"/>
      <c r="B55" s="35" t="s">
        <v>68</v>
      </c>
      <c r="C55" s="20" t="str">
        <f t="shared" si="8"/>
        <v>n.a.</v>
      </c>
      <c r="D55" s="20">
        <f t="shared" si="8"/>
        <v>0.00005575778816835353</v>
      </c>
      <c r="E55" s="20">
        <f t="shared" si="8"/>
        <v>0.00023193784065855816</v>
      </c>
      <c r="F55" s="20">
        <f t="shared" si="8"/>
        <v>0.00584254236402848</v>
      </c>
      <c r="G55" s="20">
        <f t="shared" si="8"/>
        <v>-0.002618657937806801</v>
      </c>
      <c r="H55" s="45">
        <v>0</v>
      </c>
      <c r="I55" s="1"/>
    </row>
    <row r="56" ht="15" customHeight="1">
      <c r="A56" s="1"/>
      <c r="B56" s="46" t="s">
        <v>81</v>
      </c>
      <c r="C56" s="47" t="s">
        <v>39</v>
      </c>
      <c r="D56" s="47" t="s">
        <v>39</v>
      </c>
      <c r="E56" s="47" t="s">
        <v>39</v>
      </c>
      <c r="F56" s="47" t="s">
        <v>39</v>
      </c>
      <c r="G56" s="47" t="s">
        <v>39</v>
      </c>
      <c r="H56" s="48" t="str">
        <f t="shared" si="9"/>
        <v>n.a.</v>
      </c>
      <c r="I56" s="1"/>
    </row>
    <row r="57" ht="15" customHeight="1">
      <c r="A57" s="1"/>
      <c r="B57" s="46" t="s">
        <v>82</v>
      </c>
      <c r="C57" s="47" t="s">
        <v>39</v>
      </c>
      <c r="D57" s="47" t="str">
        <f t="shared" si="7"/>
        <v>n.a.</v>
      </c>
      <c r="E57" s="47"/>
      <c r="F57" s="47">
        <f t="shared" si="10"/>
        <v>57.86784575860126</v>
      </c>
      <c r="G57" s="47">
        <f t="shared" si="7"/>
        <v>-84.61200301835281</v>
      </c>
      <c r="H57" s="48">
        <f t="shared" si="7"/>
        <v>26.18657937806801</v>
      </c>
      <c r="I57" s="1"/>
    </row>
    <row r="58" ht="15" customHeight="1">
      <c r="A58" s="1"/>
      <c r="B58" s="35" t="s">
        <v>88</v>
      </c>
      <c r="C58" s="20" t="str">
        <f t="shared" si="11"/>
        <v>n.a.</v>
      </c>
      <c r="D58" s="20">
        <f t="shared" si="11"/>
        <v>0.1299999999999999</v>
      </c>
      <c r="E58" s="20">
        <f t="shared" si="11"/>
        <v>0.1200000000000001</v>
      </c>
      <c r="F58" s="20">
        <f t="shared" si="11"/>
        <v>0.21999999999999997</v>
      </c>
      <c r="G58" s="20">
        <f t="shared" si="11"/>
        <v>0.24</v>
      </c>
      <c r="H58" s="38">
        <f t="shared" si="11"/>
        <v>0.22688308594546025</v>
      </c>
      <c r="I58" s="1"/>
    </row>
    <row r="59" ht="15" customHeight="1">
      <c r="A59" s="1"/>
      <c r="B59" s="41" t="s">
        <v>150</v>
      </c>
      <c r="C59" s="19">
        <f t="shared" si="21" ref="C59:H96">C27-C43</f>
        <v>713</v>
      </c>
      <c r="D59" s="19">
        <f t="shared" si="21"/>
        <v>736</v>
      </c>
      <c r="E59" s="19">
        <f t="shared" si="21"/>
        <v>2764</v>
      </c>
      <c r="F59" s="19">
        <f t="shared" si="21"/>
        <v>695</v>
      </c>
      <c r="G59" s="19">
        <f t="shared" si="21"/>
        <v>741</v>
      </c>
      <c r="H59" s="43">
        <f t="shared" si="21"/>
        <v>748.3012404487854</v>
      </c>
      <c r="I59" s="1"/>
    </row>
    <row r="60" ht="15" customHeight="1">
      <c r="A60" s="1"/>
      <c r="B60" s="62" t="s">
        <v>151</v>
      </c>
      <c r="C60" s="19" t="str">
        <f t="shared" si="22" ref="C60:H97">IF(COUNT(C28,C44)=2,C28-C44,"n.a.")</f>
        <v>n.a.</v>
      </c>
      <c r="D60" s="19">
        <f t="shared" si="22"/>
        <v>712</v>
      </c>
      <c r="E60" s="19">
        <f t="shared" si="22"/>
        <v>2747</v>
      </c>
      <c r="F60" s="19">
        <f t="shared" si="22"/>
        <v>613</v>
      </c>
      <c r="G60" s="19">
        <f t="shared" si="22"/>
        <v>702</v>
      </c>
      <c r="H60" s="43">
        <f t="shared" si="22"/>
        <v>713</v>
      </c>
      <c r="I60" s="1"/>
    </row>
    <row r="61" ht="15" customHeight="1">
      <c r="A61" s="1"/>
      <c r="B61" s="46" t="s">
        <v>63</v>
      </c>
      <c r="C61" s="20" t="str">
        <f t="shared" si="2"/>
        <v>n.a.</v>
      </c>
      <c r="D61" s="20">
        <f t="shared" si="2"/>
        <v>0.03370786516853941</v>
      </c>
      <c r="E61" s="20">
        <f t="shared" si="2"/>
        <v>0.00618856934838008</v>
      </c>
      <c r="F61" s="20">
        <f t="shared" si="2"/>
        <v>0.13376835236541607</v>
      </c>
      <c r="G61" s="20">
        <f t="shared" si="2"/>
        <v>0.05555555555555558</v>
      </c>
      <c r="H61" s="38">
        <f t="shared" si="2"/>
        <v>0.04951085616940443</v>
      </c>
      <c r="I61" s="1"/>
    </row>
    <row r="62" ht="15" customHeight="1">
      <c r="A62" s="1"/>
      <c r="B62" s="62" t="s">
        <v>77</v>
      </c>
      <c r="C62" s="19">
        <f t="shared" si="28" ref="C62:C99">IF(AND(ISNUMBER(C59),ISNUMBER(G60)),(C59-G60),"n.a.")</f>
        <v>11</v>
      </c>
      <c r="D62" s="19">
        <f t="shared" si="23" ref="D62:H99">IF(AND(ISNUMBER(D59),ISNUMBER(C59)),(D59-C59),"n.a.")</f>
        <v>23</v>
      </c>
      <c r="E62" s="19"/>
      <c r="F62" s="19">
        <f t="shared" si="29" ref="F62:F99">IF(AND(ISNUMBER(F59),ISNUMBER(D59)),(F59-D59),"n.a.")</f>
        <v>-41</v>
      </c>
      <c r="G62" s="19">
        <f t="shared" si="23"/>
        <v>46</v>
      </c>
      <c r="H62" s="43">
        <f t="shared" si="23"/>
        <v>7.301240448785393</v>
      </c>
      <c r="I62" s="1"/>
    </row>
    <row r="63" ht="23.25" customHeight="1">
      <c r="A63" s="1"/>
      <c r="B63" s="79" t="s">
        <v>457</v>
      </c>
      <c r="C63" s="20" t="s">
        <v>39</v>
      </c>
      <c r="D63" s="20" t="s">
        <v>39</v>
      </c>
      <c r="E63" s="20" t="s">
        <v>39</v>
      </c>
      <c r="F63" s="20" t="s">
        <v>39</v>
      </c>
      <c r="G63" s="20" t="s">
        <v>39</v>
      </c>
      <c r="H63" s="38" t="s">
        <v>39</v>
      </c>
      <c r="I63" s="1"/>
    </row>
    <row r="64" ht="15" customHeight="1">
      <c r="A64" s="1"/>
      <c r="B64" s="4" t="s">
        <v>152</v>
      </c>
      <c r="C64" s="33">
        <f>E64-D64-Inputs!$D$265</f>
        <v>2379</v>
      </c>
      <c r="D64" s="39">
        <v>2630</v>
      </c>
      <c r="E64" s="39">
        <v>9389</v>
      </c>
      <c r="F64" s="39">
        <v>2351</v>
      </c>
      <c r="G64" s="39">
        <v>2693</v>
      </c>
      <c r="H64" s="34">
        <f>'Revenue summary'!H46-H11-H27</f>
        <v>2778.338791835599</v>
      </c>
      <c r="I64" s="22" t="s">
        <v>458</v>
      </c>
    </row>
    <row r="65" ht="15" customHeight="1">
      <c r="A65" s="1"/>
      <c r="B65" s="41" t="s">
        <v>73</v>
      </c>
      <c r="C65" s="19" t="s">
        <v>39</v>
      </c>
      <c r="D65" s="42">
        <v>2438</v>
      </c>
      <c r="E65" s="42">
        <v>9075</v>
      </c>
      <c r="F65" s="42">
        <v>2024</v>
      </c>
      <c r="G65" s="42">
        <v>2356</v>
      </c>
      <c r="H65" s="43">
        <f t="shared" si="13"/>
        <v>2379</v>
      </c>
      <c r="I65" s="1"/>
    </row>
    <row r="66" ht="15" customHeight="1">
      <c r="A66" s="1"/>
      <c r="B66" s="35" t="s">
        <v>63</v>
      </c>
      <c r="C66" s="20" t="str">
        <f t="shared" si="2"/>
        <v>n.a.</v>
      </c>
      <c r="D66" s="20">
        <f t="shared" si="2"/>
        <v>0.07875307629204276</v>
      </c>
      <c r="E66" s="20">
        <f t="shared" si="2"/>
        <v>0.03460055096418735</v>
      </c>
      <c r="F66" s="20">
        <f t="shared" si="2"/>
        <v>0.1615612648221343</v>
      </c>
      <c r="G66" s="20">
        <f t="shared" si="2"/>
        <v>0.1430390492359932</v>
      </c>
      <c r="H66" s="38">
        <f t="shared" si="2"/>
        <v>0.16785993771988172</v>
      </c>
      <c r="I66" s="1"/>
    </row>
    <row r="67" ht="15" customHeight="1">
      <c r="A67" s="1"/>
      <c r="B67" s="35" t="s">
        <v>64</v>
      </c>
      <c r="C67" s="20">
        <f t="shared" si="14"/>
        <v>0.009762308998302105</v>
      </c>
      <c r="D67" s="20">
        <f t="shared" si="3"/>
        <v>0.10550651534258093</v>
      </c>
      <c r="E67" s="20"/>
      <c r="F67" s="20">
        <f t="shared" si="15"/>
        <v>-0.10608365019011412</v>
      </c>
      <c r="G67" s="20">
        <f t="shared" si="3"/>
        <v>0.1454700127605275</v>
      </c>
      <c r="H67" s="38">
        <f t="shared" si="3"/>
        <v>0.03168911690887444</v>
      </c>
      <c r="I67" s="1"/>
    </row>
    <row r="68" ht="15" customHeight="1">
      <c r="A68" s="1"/>
      <c r="B68" s="35" t="s">
        <v>65</v>
      </c>
      <c r="C68" s="20">
        <f t="shared" si="24" ref="C68:H68">IF(AND(ISNUMBER(C64),ISNUMBER(C101)),IF(C101=0,"n.m.",C64/C101),"n.a.")</f>
        <v>0.2801790130726652</v>
      </c>
      <c r="D68" s="20">
        <f t="shared" si="24"/>
        <v>0.29054352629253205</v>
      </c>
      <c r="E68" s="20">
        <f t="shared" si="24"/>
        <v>0.28263094521372667</v>
      </c>
      <c r="F68" s="20">
        <f t="shared" si="24"/>
        <v>0.26917792534921</v>
      </c>
      <c r="G68" s="20">
        <f t="shared" si="24"/>
        <v>0.28422163588390503</v>
      </c>
      <c r="H68" s="38">
        <f t="shared" si="24"/>
        <v>0.2870449029199084</v>
      </c>
      <c r="I68" s="1"/>
    </row>
    <row r="69" ht="15" customHeight="1">
      <c r="A69" s="1"/>
      <c r="B69" s="35" t="s">
        <v>84</v>
      </c>
      <c r="C69" s="20" t="s">
        <v>39</v>
      </c>
      <c r="D69" s="51">
        <v>0.07</v>
      </c>
      <c r="E69" s="51">
        <v>0.04</v>
      </c>
      <c r="F69" s="51">
        <v>0.13</v>
      </c>
      <c r="G69" s="51">
        <v>0.13</v>
      </c>
      <c r="H69" s="38">
        <f t="shared" si="17"/>
        <v>0.15629696803948678</v>
      </c>
      <c r="I69" s="1"/>
    </row>
    <row r="70" ht="15" customHeight="1">
      <c r="A70" s="1"/>
      <c r="B70" s="44" t="s">
        <v>85</v>
      </c>
      <c r="C70" s="20" t="s">
        <v>39</v>
      </c>
      <c r="D70" s="51">
        <v>0.07</v>
      </c>
      <c r="E70" s="51">
        <v>0.03</v>
      </c>
      <c r="F70" s="51">
        <v>0.12</v>
      </c>
      <c r="G70" s="51">
        <v>0.13</v>
      </c>
      <c r="H70" s="38">
        <f t="shared" si="25"/>
        <v>0.15629696803948678</v>
      </c>
      <c r="I70" s="22" t="s">
        <v>456</v>
      </c>
    </row>
    <row r="71" ht="15" customHeight="1">
      <c r="A71" s="1"/>
      <c r="B71" s="46" t="s">
        <v>82</v>
      </c>
      <c r="C71" s="47" t="s">
        <v>39</v>
      </c>
      <c r="D71" s="47" t="str">
        <f t="shared" si="5"/>
        <v>n.a.</v>
      </c>
      <c r="E71" s="47"/>
      <c r="F71" s="47">
        <f t="shared" si="18"/>
        <v>499.9999999999999</v>
      </c>
      <c r="G71" s="47">
        <f t="shared" si="5"/>
        <v>100.00000000000009</v>
      </c>
      <c r="H71" s="48">
        <f t="shared" si="5"/>
        <v>262.9696803948678</v>
      </c>
      <c r="I71" s="1"/>
    </row>
    <row r="72" ht="15" customHeight="1">
      <c r="A72" s="1"/>
      <c r="B72" s="46" t="s">
        <v>81</v>
      </c>
      <c r="C72" s="47" t="s">
        <v>39</v>
      </c>
      <c r="D72" s="47" t="s">
        <v>39</v>
      </c>
      <c r="E72" s="47" t="s">
        <v>39</v>
      </c>
      <c r="F72" s="47" t="s">
        <v>39</v>
      </c>
      <c r="G72" s="47" t="s">
        <v>39</v>
      </c>
      <c r="H72" s="48" t="str">
        <f t="shared" si="19"/>
        <v>n.a.</v>
      </c>
      <c r="I72" s="1"/>
    </row>
    <row r="73" ht="15" customHeight="1">
      <c r="A73" s="1"/>
      <c r="B73" s="35" t="s">
        <v>67</v>
      </c>
      <c r="C73" s="20" t="str">
        <f t="shared" si="6"/>
        <v>n.a.</v>
      </c>
      <c r="D73" s="20">
        <f t="shared" si="6"/>
        <v>0</v>
      </c>
      <c r="E73" s="20">
        <f t="shared" si="6"/>
        <v>0.009708737864077666</v>
      </c>
      <c r="F73" s="20">
        <f t="shared" si="6"/>
        <v>0.008928571428571175</v>
      </c>
      <c r="G73" s="20">
        <f t="shared" si="6"/>
        <v>0</v>
      </c>
      <c r="H73" s="45">
        <v>0</v>
      </c>
      <c r="I73" s="1"/>
    </row>
    <row r="74" ht="15" customHeight="1">
      <c r="A74" s="1"/>
      <c r="B74" s="46" t="s">
        <v>81</v>
      </c>
      <c r="C74" s="47" t="s">
        <v>39</v>
      </c>
      <c r="D74" s="47" t="s">
        <v>39</v>
      </c>
      <c r="E74" s="47" t="s">
        <v>39</v>
      </c>
      <c r="F74" s="47" t="s">
        <v>39</v>
      </c>
      <c r="G74" s="47" t="s">
        <v>39</v>
      </c>
      <c r="H74" s="48" t="str">
        <f t="shared" si="9"/>
        <v>n.a.</v>
      </c>
      <c r="I74" s="1"/>
    </row>
    <row r="75" ht="15" customHeight="1">
      <c r="A75" s="1"/>
      <c r="B75" s="46" t="s">
        <v>82</v>
      </c>
      <c r="C75" s="47" t="s">
        <v>39</v>
      </c>
      <c r="D75" s="47" t="str">
        <f t="shared" si="7"/>
        <v>n.a.</v>
      </c>
      <c r="E75" s="47"/>
      <c r="F75" s="47">
        <f t="shared" si="10"/>
        <v>89.28571428571175</v>
      </c>
      <c r="G75" s="47">
        <f t="shared" si="7"/>
        <v>-89.28571428571175</v>
      </c>
      <c r="H75" s="48">
        <f t="shared" si="7"/>
        <v>0</v>
      </c>
      <c r="I75" s="1"/>
    </row>
    <row r="76" ht="15" customHeight="1">
      <c r="A76" s="1"/>
      <c r="B76" s="35" t="s">
        <v>68</v>
      </c>
      <c r="C76" s="20" t="str">
        <f t="shared" si="8"/>
        <v>n.a.</v>
      </c>
      <c r="D76" s="20">
        <f t="shared" si="8"/>
        <v>0.008180445132750291</v>
      </c>
      <c r="E76" s="20">
        <f t="shared" si="8"/>
        <v>-0.005191777919050677</v>
      </c>
      <c r="F76" s="20">
        <f t="shared" si="8"/>
        <v>0.027930322851446476</v>
      </c>
      <c r="G76" s="20">
        <f t="shared" si="8"/>
        <v>0.011538981624772848</v>
      </c>
      <c r="H76" s="45">
        <v>0.01</v>
      </c>
      <c r="I76" s="1"/>
    </row>
    <row r="77" ht="15" customHeight="1">
      <c r="A77" s="1"/>
      <c r="B77" s="46" t="s">
        <v>81</v>
      </c>
      <c r="C77" s="47" t="s">
        <v>39</v>
      </c>
      <c r="D77" s="47" t="s">
        <v>39</v>
      </c>
      <c r="E77" s="47" t="s">
        <v>39</v>
      </c>
      <c r="F77" s="47" t="s">
        <v>39</v>
      </c>
      <c r="G77" s="47" t="s">
        <v>39</v>
      </c>
      <c r="H77" s="48" t="str">
        <f t="shared" si="9"/>
        <v>n.a.</v>
      </c>
      <c r="I77" s="1"/>
    </row>
    <row r="78" ht="15" customHeight="1">
      <c r="A78" s="1"/>
      <c r="B78" s="46" t="s">
        <v>82</v>
      </c>
      <c r="C78" s="47" t="s">
        <v>39</v>
      </c>
      <c r="D78" s="47" t="str">
        <f t="shared" si="7"/>
        <v>n.a.</v>
      </c>
      <c r="E78" s="47"/>
      <c r="F78" s="47">
        <f t="shared" si="10"/>
        <v>197.49877718696186</v>
      </c>
      <c r="G78" s="47">
        <f t="shared" si="7"/>
        <v>-163.9134122667363</v>
      </c>
      <c r="H78" s="48">
        <f t="shared" si="7"/>
        <v>-15.389816247728481</v>
      </c>
      <c r="I78" s="1"/>
    </row>
    <row r="79" ht="15" customHeight="1">
      <c r="A79" s="1"/>
      <c r="B79" s="35" t="s">
        <v>88</v>
      </c>
      <c r="C79" s="20" t="str">
        <f t="shared" si="11"/>
        <v>n.a.</v>
      </c>
      <c r="D79" s="20">
        <f t="shared" si="11"/>
        <v>0.06999999999999984</v>
      </c>
      <c r="E79" s="20">
        <f t="shared" si="11"/>
        <v>0.030000000000000027</v>
      </c>
      <c r="F79" s="20">
        <f t="shared" si="11"/>
        <v>0.11999999999999988</v>
      </c>
      <c r="G79" s="20">
        <f t="shared" si="11"/>
        <v>0.1299999999999999</v>
      </c>
      <c r="H79" s="38">
        <f t="shared" si="11"/>
        <v>0.15629696803948678</v>
      </c>
      <c r="I79" s="1"/>
    </row>
    <row r="80" ht="15" customHeight="1">
      <c r="A80" s="1"/>
      <c r="B80" s="41" t="s">
        <v>154</v>
      </c>
      <c r="C80" s="18">
        <f>E80-D80-Inputs!$D$266</f>
        <v>949</v>
      </c>
      <c r="D80" s="42">
        <v>955</v>
      </c>
      <c r="E80" s="42">
        <v>3650</v>
      </c>
      <c r="F80" s="42">
        <v>949</v>
      </c>
      <c r="G80" s="42">
        <v>1081</v>
      </c>
      <c r="H80" s="43">
        <f t="shared" si="26"/>
        <v>1115.2559353784932</v>
      </c>
      <c r="I80" s="22" t="s">
        <v>459</v>
      </c>
    </row>
    <row r="81" ht="15" customHeight="1">
      <c r="A81" s="1"/>
      <c r="B81" s="41" t="s">
        <v>73</v>
      </c>
      <c r="C81" s="19" t="s">
        <v>39</v>
      </c>
      <c r="D81" s="42">
        <v>921</v>
      </c>
      <c r="E81" s="42">
        <v>3705</v>
      </c>
      <c r="F81" s="42">
        <v>809</v>
      </c>
      <c r="G81" s="42">
        <v>937</v>
      </c>
      <c r="H81" s="43">
        <f t="shared" si="13"/>
        <v>949</v>
      </c>
      <c r="I81" s="1"/>
    </row>
    <row r="82" ht="15" customHeight="1">
      <c r="A82" s="1"/>
      <c r="B82" s="35" t="s">
        <v>63</v>
      </c>
      <c r="C82" s="20" t="str">
        <f t="shared" si="2"/>
        <v>n.a.</v>
      </c>
      <c r="D82" s="20">
        <f t="shared" si="2"/>
        <v>0.036916395222584164</v>
      </c>
      <c r="E82" s="20">
        <f t="shared" si="2"/>
        <v>-0.014844804318488558</v>
      </c>
      <c r="F82" s="20">
        <f t="shared" si="2"/>
        <v>0.17305315203955507</v>
      </c>
      <c r="G82" s="20">
        <f t="shared" si="2"/>
        <v>0.1536819637139808</v>
      </c>
      <c r="H82" s="38">
        <f t="shared" si="2"/>
        <v>0.17519065898682107</v>
      </c>
      <c r="I82" s="1"/>
    </row>
    <row r="83" ht="15" customHeight="1">
      <c r="A83" s="1"/>
      <c r="B83" s="35" t="s">
        <v>64</v>
      </c>
      <c r="C83" s="20">
        <f t="shared" si="14"/>
        <v>0.012806830309498363</v>
      </c>
      <c r="D83" s="20">
        <f t="shared" si="3"/>
        <v>0.006322444678608985</v>
      </c>
      <c r="E83" s="20"/>
      <c r="F83" s="20">
        <f t="shared" si="15"/>
        <v>-0.006282722513089034</v>
      </c>
      <c r="G83" s="20">
        <f t="shared" si="3"/>
        <v>0.13909378292939945</v>
      </c>
      <c r="H83" s="38">
        <f t="shared" si="3"/>
        <v>0.03168911690887444</v>
      </c>
      <c r="I83" s="1"/>
    </row>
    <row r="84" ht="15" customHeight="1">
      <c r="A84" s="1"/>
      <c r="B84" s="35" t="s">
        <v>65</v>
      </c>
      <c r="C84" s="20">
        <f t="shared" si="27" ref="C84:H84">IF(AND(ISNUMBER(C80),ISNUMBER(C101)),IF(C101=0,"n.m.",C80/C101),"n.a.")</f>
        <v>0.11176539865740195</v>
      </c>
      <c r="D84" s="20">
        <f t="shared" si="27"/>
        <v>0.1055015466195316</v>
      </c>
      <c r="E84" s="20">
        <f t="shared" si="27"/>
        <v>0.1098735701384708</v>
      </c>
      <c r="F84" s="20">
        <f t="shared" si="27"/>
        <v>0.10865582779940462</v>
      </c>
      <c r="G84" s="20">
        <f t="shared" si="27"/>
        <v>0.11408970976253298</v>
      </c>
      <c r="H84" s="38">
        <f t="shared" si="27"/>
        <v>0.11522300039228407</v>
      </c>
      <c r="I84" s="1"/>
    </row>
    <row r="85" ht="15" customHeight="1">
      <c r="A85" s="1"/>
      <c r="B85" s="35" t="s">
        <v>84</v>
      </c>
      <c r="C85" s="20" t="s">
        <v>39</v>
      </c>
      <c r="D85" s="51">
        <v>0.02</v>
      </c>
      <c r="E85" s="51">
        <v>-0.02</v>
      </c>
      <c r="F85" s="51">
        <v>0.12</v>
      </c>
      <c r="G85" s="51">
        <v>0.09</v>
      </c>
      <c r="H85" s="38">
        <f t="shared" si="17"/>
        <v>0.10658254141885215</v>
      </c>
      <c r="I85" s="1"/>
    </row>
    <row r="86" ht="15" customHeight="1">
      <c r="A86" s="1"/>
      <c r="B86" s="44" t="s">
        <v>85</v>
      </c>
      <c r="C86" s="20" t="s">
        <v>39</v>
      </c>
      <c r="D86" s="51">
        <v>0</v>
      </c>
      <c r="E86" s="51">
        <v>-0.04</v>
      </c>
      <c r="F86" s="51">
        <v>0.11</v>
      </c>
      <c r="G86" s="51">
        <v>0.1</v>
      </c>
      <c r="H86" s="38">
        <f t="shared" si="25"/>
        <v>0.10658254141885215</v>
      </c>
      <c r="I86" s="22" t="s">
        <v>456</v>
      </c>
    </row>
    <row r="87" ht="15" customHeight="1">
      <c r="A87" s="1"/>
      <c r="B87" s="46" t="s">
        <v>82</v>
      </c>
      <c r="C87" s="47" t="s">
        <v>39</v>
      </c>
      <c r="D87" s="47" t="str">
        <f t="shared" si="5"/>
        <v>n.a.</v>
      </c>
      <c r="E87" s="47"/>
      <c r="F87" s="47">
        <f t="shared" si="18"/>
        <v>1100</v>
      </c>
      <c r="G87" s="47">
        <f t="shared" si="5"/>
        <v>-99.99999999999994</v>
      </c>
      <c r="H87" s="48">
        <f t="shared" si="5"/>
        <v>65.82541418852145</v>
      </c>
      <c r="I87" s="1"/>
    </row>
    <row r="88" ht="15" customHeight="1">
      <c r="A88" s="1"/>
      <c r="B88" s="46" t="s">
        <v>81</v>
      </c>
      <c r="C88" s="47" t="s">
        <v>39</v>
      </c>
      <c r="D88" s="47" t="s">
        <v>39</v>
      </c>
      <c r="E88" s="47" t="s">
        <v>39</v>
      </c>
      <c r="F88" s="47" t="s">
        <v>39</v>
      </c>
      <c r="G88" s="47" t="s">
        <v>39</v>
      </c>
      <c r="H88" s="48" t="str">
        <f t="shared" si="19"/>
        <v>n.a.</v>
      </c>
      <c r="I88" s="1"/>
    </row>
    <row r="89" ht="15" customHeight="1">
      <c r="A89" s="1"/>
      <c r="B89" s="35" t="s">
        <v>67</v>
      </c>
      <c r="C89" s="20" t="str">
        <f t="shared" si="6"/>
        <v>n.a.</v>
      </c>
      <c r="D89" s="20">
        <f t="shared" si="6"/>
        <v>0.020000000000000018</v>
      </c>
      <c r="E89" s="20">
        <f t="shared" si="6"/>
        <v>0.02083333333333326</v>
      </c>
      <c r="F89" s="20">
        <f t="shared" si="6"/>
        <v>0.009009009009008917</v>
      </c>
      <c r="G89" s="20">
        <f t="shared" si="6"/>
        <v>-0.00909090909090915</v>
      </c>
      <c r="H89" s="45">
        <v>0</v>
      </c>
      <c r="I89" s="1"/>
    </row>
    <row r="90" ht="15" customHeight="1">
      <c r="A90" s="1"/>
      <c r="B90" s="46" t="s">
        <v>81</v>
      </c>
      <c r="C90" s="47" t="s">
        <v>39</v>
      </c>
      <c r="D90" s="47" t="s">
        <v>39</v>
      </c>
      <c r="E90" s="47" t="s">
        <v>39</v>
      </c>
      <c r="F90" s="47" t="s">
        <v>39</v>
      </c>
      <c r="G90" s="47" t="s">
        <v>39</v>
      </c>
      <c r="H90" s="48" t="str">
        <f t="shared" si="9"/>
        <v>n.a.</v>
      </c>
      <c r="I90" s="1"/>
    </row>
    <row r="91" ht="15" customHeight="1">
      <c r="A91" s="1"/>
      <c r="B91" s="46" t="s">
        <v>82</v>
      </c>
      <c r="C91" s="47" t="s">
        <v>39</v>
      </c>
      <c r="D91" s="47" t="str">
        <f t="shared" si="7"/>
        <v>n.a.</v>
      </c>
      <c r="E91" s="47"/>
      <c r="F91" s="47">
        <f t="shared" si="10"/>
        <v>-109.90990990991101</v>
      </c>
      <c r="G91" s="47">
        <f t="shared" si="7"/>
        <v>-180.99918099918065</v>
      </c>
      <c r="H91" s="48">
        <f t="shared" si="7"/>
        <v>90.90909090909149</v>
      </c>
      <c r="I91" s="1"/>
    </row>
    <row r="92" ht="15" customHeight="1">
      <c r="A92" s="1"/>
      <c r="B92" s="35" t="s">
        <v>68</v>
      </c>
      <c r="C92" s="20" t="str">
        <f t="shared" si="8"/>
        <v>n.a.</v>
      </c>
      <c r="D92" s="20">
        <f t="shared" si="8"/>
        <v>0.016584701198611995</v>
      </c>
      <c r="E92" s="20">
        <f t="shared" si="8"/>
        <v>0.005260403756644383</v>
      </c>
      <c r="F92" s="20">
        <f t="shared" si="8"/>
        <v>0.04736888574960263</v>
      </c>
      <c r="G92" s="20">
        <f t="shared" si="8"/>
        <v>0.05842381992108314</v>
      </c>
      <c r="H92" s="45">
        <v>0.062</v>
      </c>
      <c r="I92" s="1"/>
    </row>
    <row r="93" ht="15" customHeight="1">
      <c r="A93" s="1"/>
      <c r="B93" s="46" t="s">
        <v>81</v>
      </c>
      <c r="C93" s="47" t="s">
        <v>39</v>
      </c>
      <c r="D93" s="47" t="s">
        <v>39</v>
      </c>
      <c r="E93" s="47" t="s">
        <v>39</v>
      </c>
      <c r="F93" s="47" t="s">
        <v>39</v>
      </c>
      <c r="G93" s="47" t="s">
        <v>39</v>
      </c>
      <c r="H93" s="48" t="str">
        <f t="shared" si="9"/>
        <v>n.a.</v>
      </c>
      <c r="I93" s="1"/>
    </row>
    <row r="94" ht="15" customHeight="1">
      <c r="A94" s="1"/>
      <c r="B94" s="46" t="s">
        <v>82</v>
      </c>
      <c r="C94" s="47" t="s">
        <v>39</v>
      </c>
      <c r="D94" s="47" t="str">
        <f t="shared" si="7"/>
        <v>n.a.</v>
      </c>
      <c r="E94" s="47"/>
      <c r="F94" s="47">
        <f t="shared" si="10"/>
        <v>307.84184550990636</v>
      </c>
      <c r="G94" s="47">
        <f t="shared" si="7"/>
        <v>110.54934171480512</v>
      </c>
      <c r="H94" s="48">
        <f t="shared" si="7"/>
        <v>35.761800789168575</v>
      </c>
      <c r="I94" s="1"/>
    </row>
    <row r="95" ht="15" customHeight="1">
      <c r="A95" s="1"/>
      <c r="B95" s="35" t="s">
        <v>88</v>
      </c>
      <c r="C95" s="20" t="str">
        <f t="shared" si="11"/>
        <v>n.a.</v>
      </c>
      <c r="D95" s="20">
        <f t="shared" si="11"/>
        <v>0</v>
      </c>
      <c r="E95" s="20">
        <f t="shared" si="11"/>
        <v>-0.039999999999999925</v>
      </c>
      <c r="F95" s="20">
        <f t="shared" si="11"/>
        <v>0.11000000000000032</v>
      </c>
      <c r="G95" s="20">
        <f t="shared" si="11"/>
        <v>0.10000000000000031</v>
      </c>
      <c r="H95" s="38">
        <f t="shared" si="11"/>
        <v>0.10658254141885215</v>
      </c>
      <c r="I95" s="1"/>
    </row>
    <row r="96" ht="15" customHeight="1">
      <c r="A96" s="1"/>
      <c r="B96" s="41" t="s">
        <v>155</v>
      </c>
      <c r="C96" s="19">
        <f t="shared" si="21"/>
        <v>1430</v>
      </c>
      <c r="D96" s="19">
        <f t="shared" si="21"/>
        <v>1675</v>
      </c>
      <c r="E96" s="19">
        <f t="shared" si="21"/>
        <v>5739</v>
      </c>
      <c r="F96" s="19">
        <f t="shared" si="21"/>
        <v>1402</v>
      </c>
      <c r="G96" s="19">
        <f t="shared" si="21"/>
        <v>1612</v>
      </c>
      <c r="H96" s="43">
        <f t="shared" si="21"/>
        <v>1663.0828564571057</v>
      </c>
      <c r="I96" s="1"/>
    </row>
    <row r="97" ht="15" customHeight="1">
      <c r="A97" s="1"/>
      <c r="B97" s="62" t="s">
        <v>151</v>
      </c>
      <c r="C97" s="19" t="str">
        <f t="shared" si="22"/>
        <v>n.a.</v>
      </c>
      <c r="D97" s="19">
        <f t="shared" si="22"/>
        <v>1517</v>
      </c>
      <c r="E97" s="19">
        <f t="shared" si="22"/>
        <v>5370</v>
      </c>
      <c r="F97" s="19">
        <f t="shared" si="22"/>
        <v>1215</v>
      </c>
      <c r="G97" s="19">
        <f t="shared" si="22"/>
        <v>1419</v>
      </c>
      <c r="H97" s="43">
        <f t="shared" si="22"/>
        <v>1430</v>
      </c>
      <c r="I97" s="1"/>
    </row>
    <row r="98" ht="15" customHeight="1">
      <c r="A98" s="1"/>
      <c r="B98" s="46" t="s">
        <v>63</v>
      </c>
      <c r="C98" s="20" t="str">
        <f t="shared" si="2"/>
        <v>n.a.</v>
      </c>
      <c r="D98" s="20">
        <f t="shared" si="2"/>
        <v>0.10415293342122611</v>
      </c>
      <c r="E98" s="20">
        <f t="shared" si="2"/>
        <v>0.06871508379888258</v>
      </c>
      <c r="F98" s="20">
        <f t="shared" si="2"/>
        <v>0.15390946502057612</v>
      </c>
      <c r="G98" s="20">
        <f t="shared" si="2"/>
        <v>0.13601127554615933</v>
      </c>
      <c r="H98" s="38">
        <f t="shared" si="2"/>
        <v>0.16299500451545845</v>
      </c>
      <c r="I98" s="1"/>
    </row>
    <row r="99" ht="15" customHeight="1">
      <c r="A99" s="1"/>
      <c r="B99" s="62" t="s">
        <v>77</v>
      </c>
      <c r="C99" s="19">
        <f t="shared" si="28"/>
        <v>11</v>
      </c>
      <c r="D99" s="19">
        <f t="shared" si="23"/>
        <v>245</v>
      </c>
      <c r="E99" s="19"/>
      <c r="F99" s="19">
        <f t="shared" si="29"/>
        <v>-273</v>
      </c>
      <c r="G99" s="19">
        <f t="shared" si="23"/>
        <v>210</v>
      </c>
      <c r="H99" s="43">
        <f t="shared" si="23"/>
        <v>51.08285645710566</v>
      </c>
      <c r="I99" s="1"/>
    </row>
    <row r="100" ht="23.25" customHeight="1">
      <c r="A100" s="1"/>
      <c r="B100" s="79" t="s">
        <v>457</v>
      </c>
      <c r="C100" s="20" t="s">
        <v>39</v>
      </c>
      <c r="D100" s="20" t="s">
        <v>39</v>
      </c>
      <c r="E100" s="20" t="s">
        <v>39</v>
      </c>
      <c r="F100" s="20" t="s">
        <v>39</v>
      </c>
      <c r="G100" s="20" t="s">
        <v>39</v>
      </c>
      <c r="H100" s="38" t="s">
        <v>39</v>
      </c>
      <c r="I100" s="1"/>
    </row>
    <row r="101" ht="15" customHeight="1">
      <c r="A101" s="1"/>
      <c r="B101" s="4" t="s">
        <v>460</v>
      </c>
      <c r="C101" s="49">
        <f t="shared" si="30" ref="C101:H101">C11+C27+C64</f>
        <v>8491</v>
      </c>
      <c r="D101" s="49">
        <f t="shared" si="30"/>
        <v>9052</v>
      </c>
      <c r="E101" s="49">
        <f t="shared" si="30"/>
        <v>33220</v>
      </c>
      <c r="F101" s="49">
        <f t="shared" si="30"/>
        <v>8734</v>
      </c>
      <c r="G101" s="49">
        <f t="shared" si="30"/>
        <v>9475</v>
      </c>
      <c r="H101" s="50">
        <f t="shared" si="30"/>
        <v>9679.108611835598</v>
      </c>
      <c r="I101" s="1"/>
    </row>
    <row r="102" ht="15" customHeight="1">
      <c r="A102" s="1"/>
      <c r="B102" s="4" t="s">
        <v>461</v>
      </c>
      <c r="C102" s="33">
        <f>C101-'Revenue summary'!C46</f>
        <v>0</v>
      </c>
      <c r="D102" s="33">
        <f>D101-'Revenue summary'!D46</f>
        <v>0</v>
      </c>
      <c r="E102" s="33">
        <f>E101-'Revenue summary'!E46</f>
        <v>0</v>
      </c>
      <c r="F102" s="33">
        <f>F101-'Revenue summary'!F46</f>
        <v>0</v>
      </c>
      <c r="G102" s="33">
        <f>G101-'Revenue summary'!G46</f>
        <v>0</v>
      </c>
      <c r="H102" s="34">
        <f>H101-'Revenue summary'!H46</f>
        <v>0</v>
      </c>
      <c r="I102" s="22" t="s">
        <v>462</v>
      </c>
    </row>
    <row r="103" ht="15" customHeight="1">
      <c r="A103" s="1"/>
      <c r="B103" s="1"/>
      <c r="C103" s="1"/>
      <c r="D103" s="1"/>
      <c r="E103" s="1"/>
      <c r="F103" s="1"/>
      <c r="G103" s="1"/>
      <c r="H103" s="32"/>
      <c r="I103" s="1"/>
    </row>
    <row r="104" ht="15" customHeight="1">
      <c r="A104" s="1"/>
      <c r="B104" s="4" t="s">
        <v>463</v>
      </c>
      <c r="C104" s="1"/>
      <c r="D104" s="1"/>
      <c r="E104" s="1"/>
      <c r="F104" s="1"/>
      <c r="G104" s="1"/>
      <c r="H104" s="32"/>
      <c r="I104" s="1"/>
    </row>
    <row r="105" ht="15" customHeight="1">
      <c r="A105" s="1"/>
      <c r="B105" s="1" t="s">
        <v>145</v>
      </c>
      <c r="C105" s="18">
        <f>E105-D105-Inputs!$D$267</f>
        <v>2759</v>
      </c>
      <c r="D105" s="42">
        <v>3530</v>
      </c>
      <c r="E105" s="42">
        <v>12169</v>
      </c>
      <c r="F105" s="42">
        <v>3755</v>
      </c>
      <c r="G105" s="42">
        <v>3360</v>
      </c>
      <c r="H105" s="43" t="s">
        <v>39</v>
      </c>
      <c r="I105" s="22" t="s">
        <v>464</v>
      </c>
    </row>
    <row r="106" ht="15" customHeight="1">
      <c r="A106" s="1"/>
      <c r="B106" s="41" t="s">
        <v>77</v>
      </c>
      <c r="C106" s="19" t="s">
        <v>39</v>
      </c>
      <c r="D106" s="19">
        <f t="shared" si="31" ref="D106:G114">IF(AND(ISNUMBER(D105),ISNUMBER(C105)),(D105-C105),"n.a.")</f>
        <v>771</v>
      </c>
      <c r="E106" s="19"/>
      <c r="F106" s="19">
        <f t="shared" si="32" ref="F106:F114">IF(AND(ISNUMBER(F105),ISNUMBER(D105)),(F105-D105),"n.a.")</f>
        <v>225</v>
      </c>
      <c r="G106" s="19">
        <f t="shared" si="31"/>
        <v>-395</v>
      </c>
      <c r="H106" s="43" t="s">
        <v>39</v>
      </c>
      <c r="I106" s="1"/>
    </row>
    <row r="107" ht="15" customHeight="1">
      <c r="A107" s="1"/>
      <c r="B107" s="1" t="s">
        <v>148</v>
      </c>
      <c r="C107" s="18">
        <f>E107-D107-Inputs!$D$268</f>
        <v>3499</v>
      </c>
      <c r="D107" s="42">
        <v>4281</v>
      </c>
      <c r="E107" s="42">
        <v>14537</v>
      </c>
      <c r="F107" s="42">
        <v>4584</v>
      </c>
      <c r="G107" s="42">
        <v>5728</v>
      </c>
      <c r="H107" s="43" t="s">
        <v>39</v>
      </c>
      <c r="I107" s="22" t="s">
        <v>464</v>
      </c>
    </row>
    <row r="108" ht="15" customHeight="1">
      <c r="A108" s="1"/>
      <c r="B108" s="41" t="s">
        <v>77</v>
      </c>
      <c r="C108" s="19" t="s">
        <v>39</v>
      </c>
      <c r="D108" s="19">
        <f t="shared" si="31"/>
        <v>782</v>
      </c>
      <c r="E108" s="19"/>
      <c r="F108" s="19">
        <f t="shared" si="32"/>
        <v>303</v>
      </c>
      <c r="G108" s="19">
        <f t="shared" si="31"/>
        <v>1144</v>
      </c>
      <c r="H108" s="43" t="s">
        <v>39</v>
      </c>
      <c r="I108" s="1"/>
    </row>
    <row r="109" ht="15" customHeight="1">
      <c r="A109" s="1"/>
      <c r="B109" s="41" t="s">
        <v>149</v>
      </c>
      <c r="C109" s="18">
        <f>E109-D109-Inputs!$D$269</f>
        <v>2831</v>
      </c>
      <c r="D109" s="42">
        <v>3467</v>
      </c>
      <c r="E109" s="42">
        <v>11591</v>
      </c>
      <c r="F109" s="42">
        <v>3852</v>
      </c>
      <c r="G109" s="42">
        <v>4917</v>
      </c>
      <c r="H109" s="43" t="s">
        <v>39</v>
      </c>
      <c r="I109" s="22" t="s">
        <v>464</v>
      </c>
    </row>
    <row r="110" ht="15" customHeight="1">
      <c r="A110" s="1"/>
      <c r="B110" s="62" t="s">
        <v>77</v>
      </c>
      <c r="C110" s="19" t="s">
        <v>39</v>
      </c>
      <c r="D110" s="19">
        <f t="shared" si="31"/>
        <v>636</v>
      </c>
      <c r="E110" s="19"/>
      <c r="F110" s="19">
        <f t="shared" si="32"/>
        <v>385</v>
      </c>
      <c r="G110" s="19">
        <f t="shared" si="31"/>
        <v>1065</v>
      </c>
      <c r="H110" s="43" t="s">
        <v>39</v>
      </c>
      <c r="I110" s="1"/>
    </row>
    <row r="111" ht="15" customHeight="1">
      <c r="A111" s="1"/>
      <c r="B111" s="1" t="s">
        <v>152</v>
      </c>
      <c r="C111" s="18">
        <f>E111-D111-Inputs!$D$270</f>
        <v>2348</v>
      </c>
      <c r="D111" s="42">
        <v>2505</v>
      </c>
      <c r="E111" s="42">
        <v>10059</v>
      </c>
      <c r="F111" s="42">
        <v>2959</v>
      </c>
      <c r="G111" s="42">
        <v>2954</v>
      </c>
      <c r="H111" s="43" t="s">
        <v>39</v>
      </c>
      <c r="I111" s="22" t="s">
        <v>464</v>
      </c>
    </row>
    <row r="112" ht="15" customHeight="1">
      <c r="A112" s="1"/>
      <c r="B112" s="41" t="s">
        <v>77</v>
      </c>
      <c r="C112" s="19" t="s">
        <v>39</v>
      </c>
      <c r="D112" s="19">
        <f t="shared" si="31"/>
        <v>157</v>
      </c>
      <c r="E112" s="19"/>
      <c r="F112" s="19">
        <f t="shared" si="32"/>
        <v>454</v>
      </c>
      <c r="G112" s="19">
        <f t="shared" si="31"/>
        <v>-5</v>
      </c>
      <c r="H112" s="43" t="s">
        <v>39</v>
      </c>
      <c r="I112" s="1"/>
    </row>
    <row r="113" ht="15" customHeight="1">
      <c r="A113" s="1"/>
      <c r="B113" s="41" t="s">
        <v>154</v>
      </c>
      <c r="C113" s="18">
        <f>E113-D113-Inputs!$D$271</f>
        <v>873</v>
      </c>
      <c r="D113" s="42">
        <v>903</v>
      </c>
      <c r="E113" s="42">
        <v>3805</v>
      </c>
      <c r="F113" s="42">
        <v>1152</v>
      </c>
      <c r="G113" s="42">
        <v>1133</v>
      </c>
      <c r="H113" s="43" t="s">
        <v>39</v>
      </c>
      <c r="I113" s="22" t="s">
        <v>464</v>
      </c>
    </row>
    <row r="114" ht="15" customHeight="1">
      <c r="A114" s="1"/>
      <c r="B114" s="62" t="s">
        <v>77</v>
      </c>
      <c r="C114" s="19" t="s">
        <v>39</v>
      </c>
      <c r="D114" s="19">
        <f t="shared" si="31"/>
        <v>30</v>
      </c>
      <c r="E114" s="19"/>
      <c r="F114" s="19">
        <f t="shared" si="32"/>
        <v>249</v>
      </c>
      <c r="G114" s="19">
        <f t="shared" si="31"/>
        <v>-19</v>
      </c>
      <c r="H114" s="43" t="s">
        <v>39</v>
      </c>
      <c r="I114" s="1"/>
    </row>
    <row r="115" ht="15" customHeight="1">
      <c r="A115" s="1"/>
      <c r="B115" s="4" t="s">
        <v>465</v>
      </c>
      <c r="C115" s="49">
        <f t="shared" si="33" ref="C115:G115">C105+C107+C111</f>
        <v>8606</v>
      </c>
      <c r="D115" s="49">
        <f t="shared" si="33"/>
        <v>10316</v>
      </c>
      <c r="E115" s="49">
        <f t="shared" si="33"/>
        <v>36765</v>
      </c>
      <c r="F115" s="49">
        <f t="shared" si="33"/>
        <v>11298</v>
      </c>
      <c r="G115" s="49">
        <f t="shared" si="33"/>
        <v>12042</v>
      </c>
      <c r="H115" s="50" t="s">
        <v>39</v>
      </c>
      <c r="I115" s="1"/>
    </row>
    <row r="116" ht="15" customHeight="1">
      <c r="A116" s="1"/>
      <c r="B116" s="5" t="s">
        <v>466</v>
      </c>
      <c r="C116" s="52">
        <f>C115-'Revenue summary'!C82</f>
        <v>0</v>
      </c>
      <c r="D116" s="52">
        <f>D115-'Revenue summary'!D82</f>
        <v>0</v>
      </c>
      <c r="E116" s="52">
        <f>E115-'Revenue summary'!E82</f>
        <v>0</v>
      </c>
      <c r="F116" s="52">
        <f>F115-'Revenue summary'!F82</f>
        <v>0</v>
      </c>
      <c r="G116" s="52">
        <f>G115-'Revenue summary'!G82</f>
        <v>0</v>
      </c>
      <c r="H116" s="64" t="s">
        <v>39</v>
      </c>
      <c r="I116" s="1"/>
    </row>
    <row r="117" ht="15" customHeight="1">
      <c r="A117" s="1"/>
      <c r="B117" s="1"/>
      <c r="C117" s="1"/>
      <c r="D117" s="1"/>
      <c r="E117" s="1"/>
      <c r="F117" s="1"/>
      <c r="G117" s="1"/>
      <c r="H117" s="32"/>
      <c r="I117" s="1"/>
    </row>
    <row r="118" ht="15" customHeight="1">
      <c r="A118" s="1"/>
      <c r="B118" s="4" t="s">
        <v>467</v>
      </c>
      <c r="C118" s="1"/>
      <c r="D118" s="1"/>
      <c r="E118" s="1"/>
      <c r="F118" s="1"/>
      <c r="G118" s="1"/>
      <c r="H118" s="1"/>
      <c r="I118" s="22" t="s">
        <v>468</v>
      </c>
    </row>
    <row r="119" ht="15" customHeight="1">
      <c r="A119" s="1"/>
      <c r="B119" s="5" t="s">
        <v>469</v>
      </c>
      <c r="C119" s="80">
        <f>'Segment - Electrification'!C55+'Segment - Motion'!C55+'Segment - Automation'!C55</f>
        <v>2832</v>
      </c>
      <c r="D119" s="80">
        <f>'Segment - Electrification'!D55+'Segment - Motion'!D55+'Segment - Automation'!D55</f>
        <v>3108</v>
      </c>
      <c r="E119" s="80">
        <f>'Segment - Electrification'!E55+'Segment - Motion'!E55+'Segment - Automation'!E55</f>
        <v>11198</v>
      </c>
      <c r="F119" s="80">
        <f>'Segment - Electrification'!F55+'Segment - Motion'!F55+'Segment - Automation'!F55</f>
        <v>2953</v>
      </c>
      <c r="G119" s="80">
        <f>'Segment - Electrification'!G55+'Segment - Motion'!G55+'Segment - Automation'!G55</f>
        <v>2948</v>
      </c>
      <c r="H119" s="81">
        <f>'Segment - Electrification'!H55+'Segment - Motion'!H55+'Segment - Automation'!H55</f>
        <v>2998.363135020013</v>
      </c>
      <c r="I119" s="22"/>
    </row>
    <row r="120" ht="15" customHeight="1">
      <c r="B120" s="1" t="s">
        <v>470</v>
      </c>
      <c r="C120" s="82">
        <f t="shared" si="34" ref="C120:H120">C11-C119</f>
        <v>59</v>
      </c>
      <c r="D120" s="82">
        <f t="shared" si="34"/>
        <v>67</v>
      </c>
      <c r="E120" s="82">
        <f t="shared" si="34"/>
        <v>209</v>
      </c>
      <c r="F120" s="82">
        <f t="shared" si="34"/>
        <v>39</v>
      </c>
      <c r="G120" s="82">
        <f t="shared" si="34"/>
        <v>46</v>
      </c>
      <c r="H120" s="83">
        <f t="shared" si="34"/>
        <v>77.08266497998693</v>
      </c>
      <c r="I120" s="22" t="str">
        <f t="shared" si="36" ref="I120:I128">IF(AND(ISNUMBER(H120),H120&lt;0),"3Q26E NEGATIVE: model allocation residual from unreconciled standalone Geo drivers, not actual negative Corporate sales","Historical = implied Corporate &amp; Other third-party revenue in region; 3Q26E = model allocation residual (unreconciled)")</f>
        <v>Historical = implied Corporate &amp; Other third-party revenue in region; 3Q26E = model allocation residual (unreconciled)</v>
      </c>
    </row>
    <row r="121" ht="15" customHeight="1">
      <c r="B121" s="5" t="s">
        <v>472</v>
      </c>
      <c r="C121" s="80">
        <f>'Segment - Electrification'!C61+'Segment - Motion'!C61+'Segment - Automation'!C61</f>
        <v>3180</v>
      </c>
      <c r="D121" s="80">
        <f>'Segment - Electrification'!D61+'Segment - Motion'!D61+'Segment - Automation'!D61</f>
        <v>3213</v>
      </c>
      <c r="E121" s="80">
        <f>'Segment - Electrification'!E61+'Segment - Motion'!E61+'Segment - Automation'!E61</f>
        <v>12276</v>
      </c>
      <c r="F121" s="80">
        <f>'Segment - Electrification'!F61+'Segment - Motion'!F61+'Segment - Automation'!F61</f>
        <v>3360</v>
      </c>
      <c r="G121" s="80">
        <f>'Segment - Electrification'!G61+'Segment - Motion'!G61+'Segment - Automation'!G61</f>
        <v>3729</v>
      </c>
      <c r="H121" s="81">
        <f>'Segment - Electrification'!H61+'Segment - Motion'!H61+'Segment - Automation'!H61</f>
        <v>3837.351976187299</v>
      </c>
      <c r="I121" s="22"/>
    </row>
    <row r="122" ht="15" customHeight="1">
      <c r="B122" s="1" t="s">
        <v>473</v>
      </c>
      <c r="C122" s="82">
        <f t="shared" si="35" ref="C122:H122">C27-C121</f>
        <v>41</v>
      </c>
      <c r="D122" s="82">
        <f t="shared" si="35"/>
        <v>34</v>
      </c>
      <c r="E122" s="82">
        <f t="shared" si="35"/>
        <v>148</v>
      </c>
      <c r="F122" s="82">
        <f t="shared" si="35"/>
        <v>31</v>
      </c>
      <c r="G122" s="82">
        <f t="shared" si="35"/>
        <v>59</v>
      </c>
      <c r="H122" s="83">
        <f t="shared" si="35"/>
        <v>-12.027956187299424</v>
      </c>
      <c r="I122" s="22" t="str">
        <f t="shared" si="36"/>
        <v>3Q26E NEGATIVE: model allocation residual from unreconciled standalone Geo drivers, not actual negative Corporate sales</v>
      </c>
    </row>
    <row r="123" ht="15" customHeight="1">
      <c r="B123" s="5" t="s">
        <v>475</v>
      </c>
      <c r="C123" s="80">
        <f>'Segment - Electrification'!C67+'Segment - Motion'!C67+'Segment - Automation'!C67</f>
        <v>2481</v>
      </c>
      <c r="D123" s="80">
        <f>'Segment - Electrification'!D67+'Segment - Motion'!D67+'Segment - Automation'!D67</f>
        <v>2494</v>
      </c>
      <c r="E123" s="80">
        <f>'Segment - Electrification'!E67+'Segment - Motion'!E67+'Segment - Automation'!E67</f>
        <v>9573</v>
      </c>
      <c r="F123" s="80">
        <f>'Segment - Electrification'!F67+'Segment - Motion'!F67+'Segment - Automation'!F67</f>
        <v>2673</v>
      </c>
      <c r="G123" s="80">
        <f>'Segment - Electrification'!G67+'Segment - Motion'!G67+'Segment - Automation'!G67</f>
        <v>3004</v>
      </c>
      <c r="H123" s="81">
        <f>'Segment - Electrification'!H67+'Segment - Motion'!H67+'Segment - Automation'!H67</f>
        <v>3095.4643224233487</v>
      </c>
      <c r="I123" s="22"/>
    </row>
    <row r="124" ht="15" customHeight="1">
      <c r="B124" s="1" t="s">
        <v>476</v>
      </c>
      <c r="C124" s="82">
        <f t="shared" si="37" ref="C124:H124">C43-C123</f>
        <v>27</v>
      </c>
      <c r="D124" s="82">
        <f t="shared" si="37"/>
        <v>17</v>
      </c>
      <c r="E124" s="82">
        <f t="shared" si="37"/>
        <v>87</v>
      </c>
      <c r="F124" s="82">
        <f t="shared" si="37"/>
        <v>23</v>
      </c>
      <c r="G124" s="82">
        <f t="shared" si="37"/>
        <v>43</v>
      </c>
      <c r="H124" s="83">
        <f t="shared" si="37"/>
        <v>-18.441542872134505</v>
      </c>
      <c r="I124" s="22" t="str">
        <f t="shared" si="36"/>
        <v>3Q26E NEGATIVE: model allocation residual from unreconciled standalone Geo drivers, not actual negative Corporate sales</v>
      </c>
    </row>
    <row r="125" ht="15" customHeight="1">
      <c r="B125" s="5" t="s">
        <v>477</v>
      </c>
      <c r="C125" s="80">
        <f>'Segment - Electrification'!C78+'Segment - Motion'!C78+'Segment - Automation'!C78</f>
        <v>2364</v>
      </c>
      <c r="D125" s="80">
        <f>'Segment - Electrification'!D78+'Segment - Motion'!D78+'Segment - Automation'!D78</f>
        <v>2606</v>
      </c>
      <c r="E125" s="80">
        <f>'Segment - Electrification'!E78+'Segment - Motion'!E78+'Segment - Automation'!E78</f>
        <v>9324</v>
      </c>
      <c r="F125" s="80">
        <f>'Segment - Electrification'!F78+'Segment - Motion'!F78+'Segment - Automation'!F78</f>
        <v>2345</v>
      </c>
      <c r="G125" s="80">
        <f>'Segment - Electrification'!G78+'Segment - Motion'!G78+'Segment - Automation'!G78</f>
        <v>2685</v>
      </c>
      <c r="H125" s="81">
        <f>'Segment - Electrification'!H78+'Segment - Motion'!H78+'Segment - Automation'!H78</f>
        <v>2736.1679718187384</v>
      </c>
      <c r="I125" s="22"/>
    </row>
    <row r="126" ht="15" customHeight="1">
      <c r="B126" s="1" t="s">
        <v>478</v>
      </c>
      <c r="C126" s="82">
        <f t="shared" si="38" ref="C126:H126">C64-C125</f>
        <v>15</v>
      </c>
      <c r="D126" s="82">
        <f t="shared" si="38"/>
        <v>24</v>
      </c>
      <c r="E126" s="82">
        <f t="shared" si="38"/>
        <v>65</v>
      </c>
      <c r="F126" s="82">
        <f t="shared" si="38"/>
        <v>6</v>
      </c>
      <c r="G126" s="82">
        <f t="shared" si="38"/>
        <v>8</v>
      </c>
      <c r="H126" s="83">
        <f t="shared" si="38"/>
        <v>42.17082001686049</v>
      </c>
      <c r="I126" s="22" t="str">
        <f t="shared" si="36"/>
        <v>Historical = implied Corporate &amp; Other third-party revenue in region; 3Q26E = model allocation residual (unreconciled)</v>
      </c>
    </row>
    <row r="127" ht="15" customHeight="1">
      <c r="B127" s="5" t="s">
        <v>479</v>
      </c>
      <c r="C127" s="80">
        <f>'Segment - Electrification'!C84+'Segment - Motion'!C84+'Segment - Automation'!C84</f>
        <v>944</v>
      </c>
      <c r="D127" s="80">
        <f>'Segment - Electrification'!D84+'Segment - Motion'!D84+'Segment - Automation'!D84</f>
        <v>950</v>
      </c>
      <c r="E127" s="80">
        <f>'Segment - Electrification'!E84+'Segment - Motion'!E84+'Segment - Automation'!E84</f>
        <v>3633</v>
      </c>
      <c r="F127" s="80">
        <f>'Segment - Electrification'!F84+'Segment - Motion'!F84+'Segment - Automation'!F84</f>
        <v>949</v>
      </c>
      <c r="G127" s="80">
        <f>'Segment - Electrification'!G84+'Segment - Motion'!G84+'Segment - Automation'!G84</f>
        <v>1081</v>
      </c>
      <c r="H127" s="81">
        <f>'Segment - Electrification'!H84+'Segment - Motion'!H84+'Segment - Automation'!H84</f>
        <v>1103.2721173148257</v>
      </c>
      <c r="I127" s="22"/>
    </row>
    <row r="128" ht="15" customHeight="1">
      <c r="B128" s="1" t="s">
        <v>480</v>
      </c>
      <c r="C128" s="82">
        <f t="shared" si="39" ref="C128:H128">C80-C127</f>
        <v>5</v>
      </c>
      <c r="D128" s="82">
        <f t="shared" si="39"/>
        <v>5</v>
      </c>
      <c r="E128" s="82">
        <f t="shared" si="39"/>
        <v>17</v>
      </c>
      <c r="F128" s="82">
        <f t="shared" si="39"/>
        <v>0</v>
      </c>
      <c r="G128" s="82">
        <f t="shared" si="39"/>
        <v>0</v>
      </c>
      <c r="H128" s="83">
        <f t="shared" si="39"/>
        <v>11.983818063667513</v>
      </c>
      <c r="I128" s="22" t="str">
        <f t="shared" si="36"/>
        <v>Historical = implied Corporate &amp; Other third-party revenue in region; 3Q26E = model allocation residual (unreconciled)</v>
      </c>
    </row>
    <row r="129" ht="15" customHeight="1">
      <c r="B129" s="5" t="s">
        <v>481</v>
      </c>
      <c r="C129" s="80">
        <f>'Segment - Electrification'!C95+'Segment - Motion'!C95+'Segment - Automation'!C95</f>
        <v>8376</v>
      </c>
      <c r="D129" s="80">
        <f>'Segment - Electrification'!D95+'Segment - Motion'!D95+'Segment - Automation'!D95</f>
        <v>8927</v>
      </c>
      <c r="E129" s="80">
        <f>'Segment - Electrification'!E95+'Segment - Motion'!E95+'Segment - Automation'!E95</f>
        <v>32798</v>
      </c>
      <c r="F129" s="80">
        <f>'Segment - Electrification'!F95+'Segment - Motion'!F95+'Segment - Automation'!F95</f>
        <v>8658</v>
      </c>
      <c r="G129" s="80">
        <f>'Segment - Electrification'!G95+'Segment - Motion'!G95+'Segment - Automation'!G95</f>
        <v>9362</v>
      </c>
      <c r="H129" s="81">
        <f>'Segment - Electrification'!H95+'Segment - Motion'!H95+'Segment - Automation'!H95</f>
        <v>9571.88308302605</v>
      </c>
      <c r="I129" s="22"/>
    </row>
    <row r="130" ht="15" customHeight="1">
      <c r="B130" s="1" t="s">
        <v>482</v>
      </c>
      <c r="C130" s="82">
        <f t="shared" si="40" ref="C130:H130">C101-C129</f>
        <v>115</v>
      </c>
      <c r="D130" s="82">
        <f t="shared" si="40"/>
        <v>125</v>
      </c>
      <c r="E130" s="82">
        <f t="shared" si="40"/>
        <v>422</v>
      </c>
      <c r="F130" s="82">
        <f t="shared" si="40"/>
        <v>76</v>
      </c>
      <c r="G130" s="82">
        <f t="shared" si="40"/>
        <v>113</v>
      </c>
      <c r="H130" s="83">
        <f t="shared" si="40"/>
        <v>107.22552880954754</v>
      </c>
      <c r="I130" s="22" t="s">
        <v>483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7B28E2A-CB68-B6A8-66B8-7933D27A07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</row>
    <row r="3" ht="15" customHeight="1">
      <c r="A3" s="1"/>
      <c r="B3" s="4" t="s">
        <v>484</v>
      </c>
      <c r="C3" s="1"/>
      <c r="D3" s="1"/>
      <c r="E3" s="1"/>
      <c r="F3" s="1"/>
      <c r="G3" s="1"/>
      <c r="H3" s="1"/>
      <c r="I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</row>
    <row r="6" ht="15" customHeight="1">
      <c r="A6" s="1"/>
      <c r="B6" s="6" t="s">
        <v>60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9" t="s">
        <v>11</v>
      </c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</row>
    <row r="10" ht="15" customHeight="1">
      <c r="A10" s="1"/>
      <c r="B10" s="4" t="s">
        <v>485</v>
      </c>
      <c r="C10" s="1"/>
      <c r="D10" s="1"/>
      <c r="E10" s="1"/>
      <c r="F10" s="1"/>
      <c r="G10" s="1"/>
      <c r="H10" s="32"/>
      <c r="I10" s="1"/>
    </row>
    <row r="11" ht="15" customHeight="1">
      <c r="A11" s="1"/>
      <c r="B11" s="1" t="s">
        <v>486</v>
      </c>
      <c r="C11" s="42">
        <v>1844</v>
      </c>
      <c r="D11" s="42">
        <v>1844</v>
      </c>
      <c r="E11" s="19">
        <f t="shared" si="2" ref="E11:H14">D11</f>
        <v>1844</v>
      </c>
      <c r="F11" s="42">
        <v>1844</v>
      </c>
      <c r="G11" s="42">
        <v>1823</v>
      </c>
      <c r="H11" s="43">
        <f t="shared" si="2"/>
        <v>1823</v>
      </c>
      <c r="I11" s="22" t="s">
        <v>487</v>
      </c>
    </row>
    <row r="12" ht="15" customHeight="1">
      <c r="A12" s="1"/>
      <c r="B12" s="1" t="s">
        <v>488</v>
      </c>
      <c r="C12" s="42">
        <v>22</v>
      </c>
      <c r="D12" s="42">
        <v>26</v>
      </c>
      <c r="E12" s="19">
        <f t="shared" si="2"/>
        <v>26</v>
      </c>
      <c r="F12" s="42">
        <v>29</v>
      </c>
      <c r="G12" s="42">
        <v>8</v>
      </c>
      <c r="H12" s="43">
        <f>G12+H18-H25</f>
        <v>13.426504999999999</v>
      </c>
      <c r="I12" s="1"/>
    </row>
    <row r="13" ht="15" customHeight="1">
      <c r="A13" s="1"/>
      <c r="B13" s="4" t="s">
        <v>489</v>
      </c>
      <c r="C13" s="49">
        <f t="shared" si="3" ref="C13:H15">C11-C12</f>
        <v>1822</v>
      </c>
      <c r="D13" s="49">
        <f t="shared" si="3"/>
        <v>1818</v>
      </c>
      <c r="E13" s="49">
        <f t="shared" si="3"/>
        <v>1818</v>
      </c>
      <c r="F13" s="49">
        <f t="shared" si="3"/>
        <v>1815</v>
      </c>
      <c r="G13" s="49">
        <f t="shared" si="3"/>
        <v>1815</v>
      </c>
      <c r="H13" s="50">
        <f t="shared" si="3"/>
        <v>1809.573495</v>
      </c>
      <c r="I13" s="1"/>
    </row>
    <row r="14" ht="15" customHeight="1">
      <c r="A14" s="1"/>
      <c r="B14" s="41" t="s">
        <v>490</v>
      </c>
      <c r="C14" s="42">
        <v>1822</v>
      </c>
      <c r="D14" s="42">
        <v>1818</v>
      </c>
      <c r="E14" s="19">
        <f t="shared" si="2"/>
        <v>1818</v>
      </c>
      <c r="F14" s="42">
        <v>1814</v>
      </c>
      <c r="G14" s="42">
        <v>1815</v>
      </c>
      <c r="H14" s="43">
        <f>H31</f>
        <v>1809.5734949999999</v>
      </c>
      <c r="I14" s="1"/>
    </row>
    <row r="15" ht="15" customHeight="1">
      <c r="A15" s="1"/>
      <c r="B15" s="35" t="s">
        <v>491</v>
      </c>
      <c r="C15" s="63">
        <f t="shared" si="3"/>
        <v>0</v>
      </c>
      <c r="D15" s="63">
        <f t="shared" si="3"/>
        <v>0</v>
      </c>
      <c r="E15" s="63">
        <f t="shared" si="3"/>
        <v>0</v>
      </c>
      <c r="F15" s="63">
        <f t="shared" si="3"/>
        <v>1</v>
      </c>
      <c r="G15" s="63">
        <f t="shared" si="3"/>
        <v>0</v>
      </c>
      <c r="H15" s="64">
        <f t="shared" si="3"/>
        <v>0</v>
      </c>
      <c r="I15" s="22" t="s">
        <v>492</v>
      </c>
    </row>
    <row r="16" ht="15" customHeight="1">
      <c r="A16" s="1"/>
      <c r="B16" s="1"/>
      <c r="C16" s="1"/>
      <c r="D16" s="1"/>
      <c r="E16" s="1"/>
      <c r="F16" s="1"/>
      <c r="G16" s="1"/>
      <c r="H16" s="32"/>
      <c r="I16" s="1"/>
    </row>
    <row r="17" ht="15" customHeight="1">
      <c r="A17" s="1"/>
      <c r="B17" s="4" t="s">
        <v>493</v>
      </c>
      <c r="C17" s="1"/>
      <c r="D17" s="1"/>
      <c r="E17" s="1"/>
      <c r="F17" s="1"/>
      <c r="G17" s="1"/>
      <c r="H17" s="32"/>
      <c r="I17" s="1"/>
    </row>
    <row r="18" ht="15" customHeight="1">
      <c r="A18" s="1"/>
      <c r="B18" s="41" t="s">
        <v>494</v>
      </c>
      <c r="C18" s="84" t="s">
        <v>39</v>
      </c>
      <c r="D18" s="84" t="s">
        <v>39</v>
      </c>
      <c r="E18" s="84" t="s">
        <v>39</v>
      </c>
      <c r="F18" s="85">
        <v>2.610604</v>
      </c>
      <c r="G18" s="85">
        <v>1.528217</v>
      </c>
      <c r="H18" s="86">
        <f>H19-G19</f>
        <v>5.7265049999999995</v>
      </c>
      <c r="I18" s="1"/>
    </row>
    <row r="19" ht="15" customHeight="1">
      <c r="A19" s="1"/>
      <c r="B19" s="41" t="s">
        <v>495</v>
      </c>
      <c r="C19" s="84" t="s">
        <v>39</v>
      </c>
      <c r="D19" s="84" t="s">
        <v>39</v>
      </c>
      <c r="E19" s="84" t="s">
        <v>39</v>
      </c>
      <c r="F19" s="84">
        <f>F18</f>
        <v>2.610604</v>
      </c>
      <c r="G19" s="84">
        <f>F19+G18</f>
        <v>4.138821</v>
      </c>
      <c r="H19" s="87">
        <v>9.865326</v>
      </c>
      <c r="I19" s="22" t="s">
        <v>496</v>
      </c>
    </row>
    <row r="20" ht="15" customHeight="1">
      <c r="A20" s="1"/>
      <c r="B20" s="41" t="s">
        <v>497</v>
      </c>
      <c r="C20" s="19" t="s">
        <v>39</v>
      </c>
      <c r="D20" s="19" t="s">
        <v>39</v>
      </c>
      <c r="E20" s="19" t="s">
        <v>39</v>
      </c>
      <c r="F20" s="19" t="s">
        <v>39</v>
      </c>
      <c r="G20" s="42">
        <v>147</v>
      </c>
      <c r="H20" s="43" t="s">
        <v>39</v>
      </c>
      <c r="I20" s="1"/>
    </row>
    <row r="21" ht="15" customHeight="1">
      <c r="A21" s="1"/>
      <c r="B21" s="41" t="s">
        <v>498</v>
      </c>
      <c r="C21" s="29" t="s">
        <v>39</v>
      </c>
      <c r="D21" s="29" t="s">
        <v>39</v>
      </c>
      <c r="E21" s="29" t="s">
        <v>39</v>
      </c>
      <c r="F21" s="29" t="s">
        <v>39</v>
      </c>
      <c r="G21" s="29">
        <f>G20/G18</f>
        <v>96.19052791586536</v>
      </c>
      <c r="H21" s="88">
        <v>102.5</v>
      </c>
      <c r="I21" s="22" t="s">
        <v>499</v>
      </c>
    </row>
    <row r="22" ht="15" customHeight="1">
      <c r="A22" s="1"/>
      <c r="B22" s="62" t="s">
        <v>500</v>
      </c>
      <c r="C22" s="29" t="s">
        <v>39</v>
      </c>
      <c r="D22" s="29" t="str">
        <f t="shared" si="4" ref="D22:H39">IF(AND(ISNUMBER(D21),ISNUMBER(C21)),(D21-C21),"n.a.")</f>
        <v>n.a.</v>
      </c>
      <c r="E22" s="29"/>
      <c r="F22" s="29" t="str">
        <f t="shared" si="5" ref="F22:F39">IF(AND(ISNUMBER(F21),ISNUMBER(D21)),(F21-D21),"n.a.")</f>
        <v>n.a.</v>
      </c>
      <c r="G22" s="29" t="str">
        <f t="shared" si="4"/>
        <v>n.a.</v>
      </c>
      <c r="H22" s="71">
        <f t="shared" si="4"/>
        <v>6.30947208413464</v>
      </c>
      <c r="I22" s="1"/>
    </row>
    <row r="23" ht="15" customHeight="1">
      <c r="A23" s="1"/>
      <c r="B23" s="62" t="s">
        <v>501</v>
      </c>
      <c r="C23" s="29" t="s">
        <v>39</v>
      </c>
      <c r="D23" s="29" t="s">
        <v>39</v>
      </c>
      <c r="E23" s="29" t="s">
        <v>39</v>
      </c>
      <c r="F23" s="29" t="s">
        <v>39</v>
      </c>
      <c r="G23" s="29" t="s">
        <v>39</v>
      </c>
      <c r="H23" s="71" t="s">
        <v>39</v>
      </c>
      <c r="I23" s="22" t="s">
        <v>502</v>
      </c>
    </row>
    <row r="24" ht="15" customHeight="1">
      <c r="A24" s="1"/>
      <c r="B24" s="41" t="s">
        <v>503</v>
      </c>
      <c r="C24" s="18">
        <f>-'Cash Flow Statement'!C56</f>
        <v>366</v>
      </c>
      <c r="D24" s="18">
        <f>-'Cash Flow Statement'!D56</f>
        <v>350</v>
      </c>
      <c r="E24" s="18">
        <f>-'Cash Flow Statement'!E56</f>
        <v>1499</v>
      </c>
      <c r="F24" s="18">
        <f>-'Cash Flow Statement'!F56</f>
        <v>248</v>
      </c>
      <c r="G24" s="18">
        <f>-'Cash Flow Statement'!G56</f>
        <v>225</v>
      </c>
      <c r="H24" s="43">
        <f>H18*H21</f>
        <v>586.9667625</v>
      </c>
      <c r="I24" s="22" t="s">
        <v>504</v>
      </c>
    </row>
    <row r="25" ht="15" customHeight="1">
      <c r="A25" s="1"/>
      <c r="B25" s="41" t="s">
        <v>505</v>
      </c>
      <c r="C25" s="19" t="s">
        <v>39</v>
      </c>
      <c r="D25" s="19" t="s">
        <v>39</v>
      </c>
      <c r="E25" s="19" t="s">
        <v>39</v>
      </c>
      <c r="F25" s="19" t="s">
        <v>39</v>
      </c>
      <c r="G25" s="19" t="s">
        <v>39</v>
      </c>
      <c r="H25" s="56">
        <v>0.3</v>
      </c>
      <c r="I25" s="22" t="s">
        <v>506</v>
      </c>
    </row>
    <row r="26" ht="15" customHeight="1">
      <c r="A26" s="1"/>
      <c r="B26" s="62" t="s">
        <v>507</v>
      </c>
      <c r="C26" s="19" t="s">
        <v>39</v>
      </c>
      <c r="D26" s="19" t="s">
        <v>39</v>
      </c>
      <c r="E26" s="19" t="s">
        <v>39</v>
      </c>
      <c r="F26" s="19" t="s">
        <v>39</v>
      </c>
      <c r="G26" s="19" t="s">
        <v>39</v>
      </c>
      <c r="H26" s="43" t="s">
        <v>39</v>
      </c>
      <c r="I26" s="22" t="s">
        <v>508</v>
      </c>
    </row>
    <row r="27" ht="15" customHeight="1">
      <c r="A27" s="1"/>
      <c r="B27" s="62" t="s">
        <v>509</v>
      </c>
      <c r="C27" s="19" t="s">
        <v>39</v>
      </c>
      <c r="D27" s="19" t="s">
        <v>39</v>
      </c>
      <c r="E27" s="19" t="s">
        <v>39</v>
      </c>
      <c r="F27" s="19" t="s">
        <v>39</v>
      </c>
      <c r="G27" s="19" t="s">
        <v>39</v>
      </c>
      <c r="H27" s="43" t="s">
        <v>39</v>
      </c>
      <c r="I27" s="1"/>
    </row>
    <row r="28" ht="15" customHeight="1">
      <c r="A28" s="1"/>
      <c r="B28" s="1"/>
      <c r="C28" s="1"/>
      <c r="D28" s="1"/>
      <c r="E28" s="1"/>
      <c r="F28" s="1"/>
      <c r="G28" s="1"/>
      <c r="H28" s="32"/>
      <c r="I28" s="1"/>
    </row>
    <row r="29" ht="15" customHeight="1">
      <c r="A29" s="1"/>
      <c r="B29" s="4" t="s">
        <v>510</v>
      </c>
      <c r="C29" s="1"/>
      <c r="D29" s="1"/>
      <c r="E29" s="1"/>
      <c r="F29" s="1"/>
      <c r="G29" s="1"/>
      <c r="H29" s="32"/>
      <c r="I29" s="1"/>
    </row>
    <row r="30" ht="15" customHeight="1">
      <c r="A30" s="1"/>
      <c r="B30" s="1" t="s">
        <v>511</v>
      </c>
      <c r="C30" s="19"/>
      <c r="D30" s="19"/>
      <c r="E30" s="19"/>
      <c r="F30" s="19"/>
      <c r="G30" s="19"/>
      <c r="H30" s="43">
        <f>G14</f>
        <v>1815</v>
      </c>
      <c r="I30" s="1"/>
    </row>
    <row r="31" ht="15" customHeight="1">
      <c r="A31" s="1"/>
      <c r="B31" s="4" t="s">
        <v>512</v>
      </c>
      <c r="C31" s="49"/>
      <c r="D31" s="49"/>
      <c r="E31" s="49"/>
      <c r="F31" s="49"/>
      <c r="G31" s="49"/>
      <c r="H31" s="50">
        <f>H30-H18+H25</f>
        <v>1809.5734949999999</v>
      </c>
      <c r="I31" s="1"/>
    </row>
    <row r="32" ht="15" customHeight="1">
      <c r="A32" s="1"/>
      <c r="B32" s="1" t="s">
        <v>513</v>
      </c>
      <c r="C32" s="42">
        <v>1823</v>
      </c>
      <c r="D32" s="42">
        <v>1820</v>
      </c>
      <c r="E32" s="42">
        <v>1827</v>
      </c>
      <c r="F32" s="42">
        <v>1817</v>
      </c>
      <c r="G32" s="42">
        <v>1815</v>
      </c>
      <c r="H32" s="43">
        <f>AVERAGE(H30,H31)</f>
        <v>1812.2867474999998</v>
      </c>
      <c r="I32" s="22" t="s">
        <v>514</v>
      </c>
    </row>
    <row r="33" ht="15" customHeight="1">
      <c r="A33" s="1"/>
      <c r="B33" s="41" t="s">
        <v>507</v>
      </c>
      <c r="C33" s="19" t="s">
        <v>39</v>
      </c>
      <c r="D33" s="19">
        <f t="shared" si="4"/>
        <v>-3</v>
      </c>
      <c r="E33" s="19"/>
      <c r="F33" s="19">
        <f t="shared" si="5"/>
        <v>-3</v>
      </c>
      <c r="G33" s="19">
        <f t="shared" si="4"/>
        <v>-2</v>
      </c>
      <c r="H33" s="43">
        <f t="shared" si="4"/>
        <v>-2.7132525000001806</v>
      </c>
      <c r="I33" s="1"/>
    </row>
    <row r="34" ht="15" customHeight="1">
      <c r="A34" s="1"/>
      <c r="B34" s="35" t="s">
        <v>63</v>
      </c>
      <c r="C34" s="20" t="s">
        <v>39</v>
      </c>
      <c r="D34" s="20" t="s">
        <v>39</v>
      </c>
      <c r="E34" s="20" t="s">
        <v>39</v>
      </c>
      <c r="F34" s="20" t="s">
        <v>39</v>
      </c>
      <c r="G34" s="20" t="s">
        <v>39</v>
      </c>
      <c r="H34" s="38">
        <f t="shared" si="7" ref="H34:H40">IF(AND(ISNUMBER(H32),ISNUMBER(C32)),IF(C32=0,"n.m.",H32/C32-1),"n.a.")</f>
        <v>-0.005876715578716496</v>
      </c>
      <c r="I34" s="1"/>
    </row>
    <row r="35" ht="15" customHeight="1">
      <c r="A35" s="1"/>
      <c r="B35" s="41" t="s">
        <v>515</v>
      </c>
      <c r="C35" s="19">
        <f t="shared" si="6" ref="C35:G35">C38-C32</f>
        <v>4</v>
      </c>
      <c r="D35" s="19">
        <f t="shared" si="6"/>
        <v>3</v>
      </c>
      <c r="E35" s="19">
        <f t="shared" si="6"/>
        <v>4</v>
      </c>
      <c r="F35" s="19">
        <f t="shared" si="6"/>
        <v>4</v>
      </c>
      <c r="G35" s="19">
        <f t="shared" si="6"/>
        <v>3</v>
      </c>
      <c r="H35" s="56">
        <v>3</v>
      </c>
      <c r="I35" s="22" t="s">
        <v>516</v>
      </c>
    </row>
    <row r="36" ht="15" customHeight="1">
      <c r="A36" s="1"/>
      <c r="B36" s="62" t="s">
        <v>507</v>
      </c>
      <c r="C36" s="19" t="s">
        <v>39</v>
      </c>
      <c r="D36" s="19">
        <f t="shared" si="4"/>
        <v>-1</v>
      </c>
      <c r="E36" s="19"/>
      <c r="F36" s="19">
        <f t="shared" si="5"/>
        <v>1</v>
      </c>
      <c r="G36" s="19">
        <f t="shared" si="4"/>
        <v>-1</v>
      </c>
      <c r="H36" s="43">
        <f t="shared" si="4"/>
        <v>0</v>
      </c>
      <c r="I36" s="1"/>
    </row>
    <row r="37" ht="15" customHeight="1">
      <c r="A37" s="1"/>
      <c r="B37" s="62" t="s">
        <v>509</v>
      </c>
      <c r="C37" s="19" t="s">
        <v>39</v>
      </c>
      <c r="D37" s="19" t="s">
        <v>39</v>
      </c>
      <c r="E37" s="19" t="s">
        <v>39</v>
      </c>
      <c r="F37" s="19" t="s">
        <v>39</v>
      </c>
      <c r="G37" s="19" t="s">
        <v>39</v>
      </c>
      <c r="H37" s="43">
        <f>IF(AND(ISNUMBER(H35),ISNUMBER(C35)),(H35-C35),"n.a.")</f>
        <v>-1</v>
      </c>
      <c r="I37" s="1"/>
    </row>
    <row r="38" ht="15" customHeight="1">
      <c r="A38" s="1"/>
      <c r="B38" s="4" t="s">
        <v>517</v>
      </c>
      <c r="C38" s="59">
        <v>1827</v>
      </c>
      <c r="D38" s="59">
        <v>1823</v>
      </c>
      <c r="E38" s="59">
        <v>1831</v>
      </c>
      <c r="F38" s="59">
        <v>1821</v>
      </c>
      <c r="G38" s="59">
        <v>1818</v>
      </c>
      <c r="H38" s="50">
        <f>H32+H35</f>
        <v>1815.2867474999998</v>
      </c>
      <c r="I38" s="1"/>
    </row>
    <row r="39" ht="15" customHeight="1">
      <c r="A39" s="1"/>
      <c r="B39" s="41" t="s">
        <v>507</v>
      </c>
      <c r="C39" s="19" t="s">
        <v>39</v>
      </c>
      <c r="D39" s="19">
        <f t="shared" si="4"/>
        <v>-4</v>
      </c>
      <c r="E39" s="19"/>
      <c r="F39" s="19">
        <f t="shared" si="5"/>
        <v>-2</v>
      </c>
      <c r="G39" s="19">
        <f t="shared" si="4"/>
        <v>-3</v>
      </c>
      <c r="H39" s="43">
        <f t="shared" si="4"/>
        <v>-2.7132525000001806</v>
      </c>
      <c r="I39" s="1"/>
    </row>
    <row r="40" ht="15" customHeight="1">
      <c r="A40" s="1"/>
      <c r="B40" s="35" t="s">
        <v>63</v>
      </c>
      <c r="C40" s="20"/>
      <c r="D40" s="20"/>
      <c r="E40" s="20"/>
      <c r="F40" s="20"/>
      <c r="G40" s="20"/>
      <c r="H40" s="38">
        <f t="shared" si="7"/>
        <v>-0.006411194581280921</v>
      </c>
      <c r="I40" s="1"/>
    </row>
    <row r="41" ht="15" customHeight="1">
      <c r="A41" s="1"/>
      <c r="B41" s="1"/>
      <c r="C41" s="1"/>
      <c r="D41" s="1"/>
      <c r="E41" s="1"/>
      <c r="F41" s="1"/>
      <c r="G41" s="1"/>
      <c r="H41" s="32"/>
      <c r="I41" s="1"/>
    </row>
    <row r="42" ht="15" customHeight="1">
      <c r="A42" s="1"/>
      <c r="B42" s="4" t="s">
        <v>518</v>
      </c>
      <c r="C42" s="1"/>
      <c r="D42" s="1"/>
      <c r="E42" s="1"/>
      <c r="F42" s="1"/>
      <c r="G42" s="1"/>
      <c r="H42" s="32"/>
      <c r="I42" s="1"/>
    </row>
    <row r="43" ht="38.25" customHeight="1">
      <c r="A43" s="1"/>
      <c r="B43" s="89" t="s">
        <v>519</v>
      </c>
      <c r="C43" s="90" t="s">
        <v>39</v>
      </c>
      <c r="D43" s="90" t="s">
        <v>39</v>
      </c>
      <c r="E43" s="90" t="s">
        <v>39</v>
      </c>
      <c r="F43" s="90" t="s">
        <v>39</v>
      </c>
      <c r="G43" s="90">
        <f t="shared" si="8" ref="G43:H43">IF(ISNUMBER(F19),0,1)</f>
        <v>0</v>
      </c>
      <c r="H43" s="91">
        <f t="shared" si="8"/>
        <v>0</v>
      </c>
      <c r="I43" s="22" t="s">
        <v>520</v>
      </c>
    </row>
    <row r="44" ht="38.25" customHeight="1">
      <c r="B44" s="89" t="s">
        <v>521</v>
      </c>
      <c r="C44" s="90" t="s">
        <v>39</v>
      </c>
      <c r="D44" s="90" t="s">
        <v>39</v>
      </c>
      <c r="E44" s="90" t="s">
        <v>39</v>
      </c>
      <c r="F44" s="90">
        <f>IF(COUNT(F18,F19)=2,F19-F18,1)</f>
        <v>0</v>
      </c>
      <c r="G44" s="90">
        <f>IF(COUNT(F18,G18,G19)=3,G19-(F18+G18),1)</f>
        <v>0</v>
      </c>
      <c r="H44" s="91">
        <f>IF(COUNT(F18,G18,H18,H19)=4,H19-(F18+G18+H18),1)</f>
        <v>0</v>
      </c>
      <c r="I44" s="22" t="s">
        <v>522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5BCBD18-B3BC-D7AD-917E-776B6718AC9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18.00390625" customWidth="1"/>
    <col min="10" max="10" width="12.00390625" customWidth="1"/>
    <col min="11" max="11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523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1"/>
      <c r="J6" s="1"/>
      <c r="K6" s="1"/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  <c r="J7" s="1"/>
      <c r="K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  <c r="J8" s="1"/>
      <c r="K8" s="1"/>
    </row>
    <row r="9" ht="15" customHeight="1">
      <c r="A9" s="1"/>
      <c r="B9" s="22" t="s">
        <v>524</v>
      </c>
      <c r="C9" s="1"/>
      <c r="D9" s="1"/>
      <c r="E9" s="1"/>
      <c r="F9" s="1"/>
      <c r="G9" s="1"/>
      <c r="H9" s="1"/>
      <c r="I9" s="1"/>
      <c r="J9" s="1"/>
      <c r="K9" s="1"/>
    </row>
    <row r="10" ht="15" customHeight="1">
      <c r="A10" s="1"/>
      <c r="B10" s="4" t="s">
        <v>525</v>
      </c>
      <c r="C10" s="17" t="s">
        <v>526</v>
      </c>
      <c r="D10" s="17" t="s">
        <v>60</v>
      </c>
      <c r="E10" s="17" t="s">
        <v>527</v>
      </c>
      <c r="F10" s="17" t="s">
        <v>528</v>
      </c>
      <c r="G10" s="17" t="s">
        <v>529</v>
      </c>
      <c r="H10" s="17" t="s">
        <v>530</v>
      </c>
      <c r="I10" s="17" t="s">
        <v>531</v>
      </c>
      <c r="J10" s="17" t="s">
        <v>532</v>
      </c>
      <c r="K10" s="17"/>
    </row>
    <row r="11" ht="15" customHeight="1">
      <c r="A11" s="1"/>
      <c r="B11" s="1" t="s">
        <v>533</v>
      </c>
      <c r="C11" s="92">
        <f t="shared" si="2" ref="C11:C12">DATE(2026,1,29)</f>
        <v>46051</v>
      </c>
      <c r="D11" s="21" t="s">
        <v>534</v>
      </c>
      <c r="E11" s="51">
        <v>0.07</v>
      </c>
      <c r="F11" s="51">
        <v>0.1</v>
      </c>
      <c r="G11" s="20">
        <f t="shared" si="3" ref="G11:G31">IF(ISNUMBER(F11),AVERAGE(E11,F11),E11)</f>
        <v>0.085</v>
      </c>
      <c r="H11" s="36">
        <f>'Revenue summary'!F51</f>
        <v>0.11</v>
      </c>
      <c r="I11" s="21" t="str">
        <f t="shared" si="4" ref="I11:I31">IF(ISNUMBER(H11),IF(H11&gt;MAX(E11:F11),"Beat (above range)",IF(H11&gt;=G11,"At/above midpoint",IF(H11&gt;=MIN(E11:F11),"Below midpoint","Miss"))),"Pending")</f>
        <v>Beat (above range)</v>
      </c>
      <c r="J11" s="1"/>
      <c r="K11" s="22" t="s">
        <v>536</v>
      </c>
    </row>
    <row r="12" ht="15" customHeight="1">
      <c r="A12" s="1"/>
      <c r="B12" s="1" t="s">
        <v>533</v>
      </c>
      <c r="C12" s="92">
        <f t="shared" si="2"/>
        <v>46051</v>
      </c>
      <c r="D12" s="21" t="s">
        <v>537</v>
      </c>
      <c r="E12" s="51">
        <v>0.06</v>
      </c>
      <c r="F12" s="51">
        <v>0.09</v>
      </c>
      <c r="G12" s="20">
        <f t="shared" si="3"/>
        <v>0.075</v>
      </c>
      <c r="H12" s="20" t="s">
        <v>538</v>
      </c>
      <c r="I12" s="21" t="str">
        <f t="shared" si="4"/>
        <v>Pending</v>
      </c>
      <c r="J12" s="1"/>
      <c r="K12" s="22" t="s">
        <v>540</v>
      </c>
    </row>
    <row r="13" ht="15" customHeight="1">
      <c r="A13" s="1"/>
      <c r="B13" s="1" t="s">
        <v>533</v>
      </c>
      <c r="C13" s="92">
        <f t="shared" si="5" ref="C13:C15">DATE(2026,4,22)</f>
        <v>46134</v>
      </c>
      <c r="D13" s="21" t="s">
        <v>541</v>
      </c>
      <c r="E13" s="51">
        <v>0.08</v>
      </c>
      <c r="F13" s="51">
        <v>0.11</v>
      </c>
      <c r="G13" s="20">
        <f t="shared" si="3"/>
        <v>0.095</v>
      </c>
      <c r="H13" s="36">
        <f>'Revenue summary'!G51</f>
        <v>0.12</v>
      </c>
      <c r="I13" s="21" t="str">
        <f t="shared" si="4"/>
        <v>Beat (above range)</v>
      </c>
      <c r="J13" s="1"/>
      <c r="K13" s="22" t="s">
        <v>542</v>
      </c>
    </row>
    <row r="14" ht="23.25" customHeight="1">
      <c r="A14" s="1"/>
      <c r="B14" s="23" t="s">
        <v>543</v>
      </c>
      <c r="C14" s="92">
        <f t="shared" si="5"/>
        <v>46134</v>
      </c>
      <c r="D14" s="21" t="s">
        <v>541</v>
      </c>
      <c r="E14" s="51">
        <v>0.193</v>
      </c>
      <c r="F14" s="1"/>
      <c r="G14" s="20">
        <f t="shared" si="3"/>
        <v>0.193</v>
      </c>
      <c r="H14" s="36">
        <f>'Income Statement'!G122</f>
        <v>0.20220588235294118</v>
      </c>
      <c r="I14" s="93" t="str">
        <f t="shared" si="7" ref="I14:I17">IF(ISNUMBER(H14),IF(ISNUMBER(F14),IF(H14&gt;MAX(E14:F14),"Beat (above range)",IF(H14&gt;=G14,"At/above midpoint",IF(H14&gt;=MIN(E14:F14),"Below midpoint","Miss"))),IF(H14&gt;E14,"Above floor",IF(H14=E14,"At floor","Below floor"))),"Pending")</f>
        <v>Above floor</v>
      </c>
      <c r="J14" s="1"/>
      <c r="K14" s="22" t="s">
        <v>545</v>
      </c>
    </row>
    <row r="15" ht="15" customHeight="1">
      <c r="A15" s="1"/>
      <c r="B15" s="1" t="s">
        <v>533</v>
      </c>
      <c r="C15" s="92">
        <f t="shared" si="5"/>
        <v>46134</v>
      </c>
      <c r="D15" s="21" t="s">
        <v>537</v>
      </c>
      <c r="E15" s="51">
        <v>0.08</v>
      </c>
      <c r="F15" s="51">
        <v>0.11</v>
      </c>
      <c r="G15" s="20">
        <f t="shared" si="3"/>
        <v>0.095</v>
      </c>
      <c r="H15" s="20" t="s">
        <v>538</v>
      </c>
      <c r="I15" s="21" t="str">
        <f t="shared" si="4"/>
        <v>Pending</v>
      </c>
      <c r="J15" s="1"/>
      <c r="K15" s="22" t="s">
        <v>546</v>
      </c>
    </row>
    <row r="16" ht="15" customHeight="1">
      <c r="A16" s="1"/>
      <c r="B16" s="1" t="s">
        <v>533</v>
      </c>
      <c r="C16" s="92">
        <f t="shared" si="6" ref="C16:C31">DATE(2026,7,16)</f>
        <v>46219</v>
      </c>
      <c r="D16" s="21" t="s">
        <v>547</v>
      </c>
      <c r="E16" s="51">
        <v>0.11</v>
      </c>
      <c r="F16" s="51">
        <v>0.15</v>
      </c>
      <c r="G16" s="20">
        <f t="shared" si="3"/>
        <v>0.13</v>
      </c>
      <c r="H16" s="20" t="s">
        <v>538</v>
      </c>
      <c r="I16" s="21" t="str">
        <f t="shared" si="4"/>
        <v>Pending</v>
      </c>
      <c r="J16" s="36">
        <f>'Revenue summary'!H51</f>
        <v>0.1424354260299565</v>
      </c>
      <c r="K16" s="22" t="s">
        <v>548</v>
      </c>
    </row>
    <row r="17" ht="23.25" customHeight="1">
      <c r="A17" s="1"/>
      <c r="B17" s="23" t="s">
        <v>549</v>
      </c>
      <c r="C17" s="92">
        <f t="shared" si="6"/>
        <v>46219</v>
      </c>
      <c r="D17" s="21" t="s">
        <v>547</v>
      </c>
      <c r="E17" s="36">
        <f>'Income Statement'!G122</f>
        <v>0.20220588235294118</v>
      </c>
      <c r="F17" s="1"/>
      <c r="G17" s="20">
        <f t="shared" si="3"/>
        <v>0.20220588235294118</v>
      </c>
      <c r="H17" s="20" t="s">
        <v>538</v>
      </c>
      <c r="I17" s="93" t="str">
        <f t="shared" si="7"/>
        <v>Pending</v>
      </c>
      <c r="J17" s="36">
        <f>'Income Statement'!H122</f>
        <v>0.20498862188798422</v>
      </c>
      <c r="K17" s="22" t="s">
        <v>550</v>
      </c>
    </row>
    <row r="18" ht="15" customHeight="1">
      <c r="A18" s="1"/>
      <c r="B18" s="1" t="s">
        <v>533</v>
      </c>
      <c r="C18" s="92">
        <f t="shared" si="6"/>
        <v>46219</v>
      </c>
      <c r="D18" s="21" t="s">
        <v>537</v>
      </c>
      <c r="E18" s="51">
        <v>0.1</v>
      </c>
      <c r="F18" s="51">
        <v>0.13</v>
      </c>
      <c r="G18" s="20">
        <f t="shared" si="3"/>
        <v>0.115</v>
      </c>
      <c r="H18" s="20" t="s">
        <v>538</v>
      </c>
      <c r="I18" s="21" t="str">
        <f t="shared" si="4"/>
        <v>Pending</v>
      </c>
      <c r="J18" s="1"/>
      <c r="K18" s="22" t="s">
        <v>551</v>
      </c>
    </row>
    <row r="19" ht="23.25" customHeight="1">
      <c r="A19" s="1"/>
      <c r="B19" s="23" t="s">
        <v>552</v>
      </c>
      <c r="C19" s="92">
        <f t="shared" si="6"/>
        <v>46219</v>
      </c>
      <c r="D19" s="21" t="s">
        <v>547</v>
      </c>
      <c r="E19" s="42">
        <v>-125</v>
      </c>
      <c r="F19" s="42">
        <v>-125</v>
      </c>
      <c r="G19" s="19">
        <f t="shared" si="3"/>
        <v>-125</v>
      </c>
      <c r="H19" s="19" t="s">
        <v>538</v>
      </c>
      <c r="I19" s="21" t="str">
        <f t="shared" si="4"/>
        <v>Pending</v>
      </c>
      <c r="J19" s="18">
        <f>'Income Statement'!H105+'Income Statement'!H108</f>
        <v>-125</v>
      </c>
      <c r="K19" s="22" t="s">
        <v>553</v>
      </c>
    </row>
    <row r="20" ht="15" customHeight="1">
      <c r="A20" s="1"/>
      <c r="B20" s="1" t="s">
        <v>554</v>
      </c>
      <c r="C20" s="92">
        <f t="shared" si="6"/>
        <v>46219</v>
      </c>
      <c r="D20" s="21" t="s">
        <v>547</v>
      </c>
      <c r="E20" s="42">
        <v>-25</v>
      </c>
      <c r="F20" s="42">
        <v>-25</v>
      </c>
      <c r="G20" s="19">
        <f t="shared" si="3"/>
        <v>-25</v>
      </c>
      <c r="H20" s="19" t="s">
        <v>538</v>
      </c>
      <c r="I20" s="21" t="str">
        <f t="shared" si="4"/>
        <v>Pending</v>
      </c>
      <c r="J20" s="18">
        <f>'Income Statement'!H105</f>
        <v>-25</v>
      </c>
      <c r="K20" s="1"/>
    </row>
    <row r="21" ht="15" customHeight="1">
      <c r="A21" s="1"/>
      <c r="B21" s="23" t="s">
        <v>555</v>
      </c>
      <c r="C21" s="92">
        <f t="shared" si="6"/>
        <v>46219</v>
      </c>
      <c r="D21" s="21" t="s">
        <v>547</v>
      </c>
      <c r="E21" s="42">
        <v>-50</v>
      </c>
      <c r="F21" s="42">
        <v>-50</v>
      </c>
      <c r="G21" s="19">
        <f t="shared" si="3"/>
        <v>-50</v>
      </c>
      <c r="H21" s="19" t="s">
        <v>538</v>
      </c>
      <c r="I21" s="21" t="str">
        <f t="shared" si="4"/>
        <v>Pending</v>
      </c>
      <c r="J21" s="18">
        <f>-'Income Statement'!H128</f>
        <v>-50</v>
      </c>
      <c r="K21" s="1"/>
    </row>
    <row r="22" ht="15" customHeight="1">
      <c r="A22" s="1"/>
      <c r="B22" s="23" t="s">
        <v>556</v>
      </c>
      <c r="C22" s="92">
        <f t="shared" si="6"/>
        <v>46219</v>
      </c>
      <c r="D22" s="21" t="s">
        <v>547</v>
      </c>
      <c r="E22" s="42">
        <v>-25</v>
      </c>
      <c r="F22" s="42">
        <v>-25</v>
      </c>
      <c r="G22" s="19">
        <f t="shared" si="3"/>
        <v>-25</v>
      </c>
      <c r="H22" s="19" t="s">
        <v>538</v>
      </c>
      <c r="I22" s="21" t="str">
        <f t="shared" si="4"/>
        <v>Pending</v>
      </c>
      <c r="J22" s="18">
        <f>-'Income Statement'!H140</f>
        <v>-25</v>
      </c>
      <c r="K22" s="1"/>
    </row>
    <row r="23" ht="15" customHeight="1">
      <c r="A23" s="1"/>
      <c r="B23" s="23" t="s">
        <v>557</v>
      </c>
      <c r="C23" s="92">
        <f t="shared" si="6"/>
        <v>46219</v>
      </c>
      <c r="D23" s="21" t="s">
        <v>547</v>
      </c>
      <c r="E23" s="42">
        <v>-50</v>
      </c>
      <c r="F23" s="42">
        <v>-50</v>
      </c>
      <c r="G23" s="19">
        <f t="shared" si="3"/>
        <v>-50</v>
      </c>
      <c r="H23" s="19" t="s">
        <v>538</v>
      </c>
      <c r="I23" s="21" t="str">
        <f t="shared" si="4"/>
        <v>Pending</v>
      </c>
      <c r="J23" s="18">
        <f>-'Income Statement'!H131-'Income Statement'!H143</f>
        <v>-50</v>
      </c>
      <c r="K23" s="1"/>
    </row>
    <row r="24" ht="23.25" customHeight="1">
      <c r="A24" s="1"/>
      <c r="B24" s="23" t="s">
        <v>552</v>
      </c>
      <c r="C24" s="92">
        <f t="shared" si="6"/>
        <v>46219</v>
      </c>
      <c r="D24" s="21" t="s">
        <v>537</v>
      </c>
      <c r="E24" s="42">
        <v>-100</v>
      </c>
      <c r="F24" s="42">
        <v>-100</v>
      </c>
      <c r="G24" s="19">
        <f t="shared" si="3"/>
        <v>-100</v>
      </c>
      <c r="H24" s="19" t="s">
        <v>538</v>
      </c>
      <c r="I24" s="21" t="str">
        <f t="shared" si="4"/>
        <v>Pending</v>
      </c>
      <c r="J24" s="1"/>
      <c r="K24" s="22" t="s">
        <v>558</v>
      </c>
    </row>
    <row r="25" ht="15" customHeight="1">
      <c r="A25" s="1"/>
      <c r="B25" s="1" t="s">
        <v>559</v>
      </c>
      <c r="C25" s="92">
        <f t="shared" si="6"/>
        <v>46219</v>
      </c>
      <c r="D25" s="21" t="s">
        <v>537</v>
      </c>
      <c r="E25" s="42">
        <v>-100</v>
      </c>
      <c r="F25" s="42">
        <v>-100</v>
      </c>
      <c r="G25" s="19">
        <f t="shared" si="3"/>
        <v>-100</v>
      </c>
      <c r="H25" s="19" t="s">
        <v>538</v>
      </c>
      <c r="I25" s="21" t="str">
        <f t="shared" si="4"/>
        <v>Pending</v>
      </c>
      <c r="J25" s="1"/>
      <c r="K25" s="1"/>
    </row>
    <row r="26" ht="15" customHeight="1">
      <c r="A26" s="1"/>
      <c r="B26" s="23" t="s">
        <v>555</v>
      </c>
      <c r="C26" s="92">
        <f t="shared" si="6"/>
        <v>46219</v>
      </c>
      <c r="D26" s="21" t="s">
        <v>537</v>
      </c>
      <c r="E26" s="42">
        <v>-195</v>
      </c>
      <c r="F26" s="42">
        <v>-195</v>
      </c>
      <c r="G26" s="19">
        <f t="shared" si="3"/>
        <v>-195</v>
      </c>
      <c r="H26" s="19" t="s">
        <v>538</v>
      </c>
      <c r="I26" s="21" t="str">
        <f t="shared" si="4"/>
        <v>Pending</v>
      </c>
      <c r="J26" s="1"/>
      <c r="K26" s="1"/>
    </row>
    <row r="27" ht="15" customHeight="1">
      <c r="A27" s="1"/>
      <c r="B27" s="23" t="s">
        <v>556</v>
      </c>
      <c r="C27" s="92">
        <f t="shared" si="6"/>
        <v>46219</v>
      </c>
      <c r="D27" s="21" t="s">
        <v>537</v>
      </c>
      <c r="E27" s="42">
        <v>-75</v>
      </c>
      <c r="F27" s="42">
        <v>-75</v>
      </c>
      <c r="G27" s="19">
        <f t="shared" si="3"/>
        <v>-75</v>
      </c>
      <c r="H27" s="19" t="s">
        <v>538</v>
      </c>
      <c r="I27" s="21" t="str">
        <f t="shared" si="4"/>
        <v>Pending</v>
      </c>
      <c r="J27" s="1"/>
      <c r="K27" s="22" t="s">
        <v>560</v>
      </c>
    </row>
    <row r="28" ht="15" customHeight="1">
      <c r="A28" s="1"/>
      <c r="B28" s="23" t="s">
        <v>557</v>
      </c>
      <c r="C28" s="92">
        <f t="shared" si="6"/>
        <v>46219</v>
      </c>
      <c r="D28" s="21" t="s">
        <v>537</v>
      </c>
      <c r="E28" s="42">
        <v>-200</v>
      </c>
      <c r="F28" s="42">
        <v>-200</v>
      </c>
      <c r="G28" s="19">
        <f t="shared" si="3"/>
        <v>-200</v>
      </c>
      <c r="H28" s="19" t="s">
        <v>538</v>
      </c>
      <c r="I28" s="21" t="str">
        <f t="shared" si="4"/>
        <v>Pending</v>
      </c>
      <c r="J28" s="1"/>
      <c r="K28" s="1"/>
    </row>
    <row r="29" ht="15" customHeight="1">
      <c r="A29" s="1"/>
      <c r="B29" s="1" t="s">
        <v>561</v>
      </c>
      <c r="C29" s="92">
        <f t="shared" si="6"/>
        <v>46219</v>
      </c>
      <c r="D29" s="21" t="s">
        <v>537</v>
      </c>
      <c r="E29" s="42">
        <v>150</v>
      </c>
      <c r="F29" s="42">
        <v>150</v>
      </c>
      <c r="G29" s="19">
        <f t="shared" si="3"/>
        <v>150</v>
      </c>
      <c r="H29" s="19" t="s">
        <v>538</v>
      </c>
      <c r="I29" s="21" t="str">
        <f t="shared" si="4"/>
        <v>Pending</v>
      </c>
      <c r="J29" s="1"/>
      <c r="K29" s="1"/>
    </row>
    <row r="30" ht="15" customHeight="1">
      <c r="A30" s="1"/>
      <c r="B30" s="1" t="s">
        <v>234</v>
      </c>
      <c r="C30" s="92">
        <f t="shared" si="6"/>
        <v>46219</v>
      </c>
      <c r="D30" s="21" t="s">
        <v>537</v>
      </c>
      <c r="E30" s="51">
        <v>0.25</v>
      </c>
      <c r="F30" s="51">
        <v>0.25</v>
      </c>
      <c r="G30" s="20">
        <f t="shared" si="3"/>
        <v>0.25</v>
      </c>
      <c r="H30" s="20" t="s">
        <v>538</v>
      </c>
      <c r="I30" s="21" t="str">
        <f t="shared" si="4"/>
        <v>Pending</v>
      </c>
      <c r="J30" s="1"/>
      <c r="K30" s="1"/>
    </row>
    <row r="31" ht="15" customHeight="1">
      <c r="A31" s="1"/>
      <c r="B31" s="1" t="s">
        <v>562</v>
      </c>
      <c r="C31" s="92">
        <f t="shared" si="6"/>
        <v>46219</v>
      </c>
      <c r="D31" s="21" t="s">
        <v>537</v>
      </c>
      <c r="E31" s="42">
        <v>-1000</v>
      </c>
      <c r="F31" s="42">
        <v>-1000</v>
      </c>
      <c r="G31" s="19">
        <f t="shared" si="3"/>
        <v>-1000</v>
      </c>
      <c r="H31" s="19" t="s">
        <v>538</v>
      </c>
      <c r="I31" s="21" t="str">
        <f t="shared" si="4"/>
        <v>Pending</v>
      </c>
      <c r="J31" s="1"/>
      <c r="K31" s="1"/>
    </row>
    <row r="32" ht="1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5" customHeight="1">
      <c r="A33" s="1"/>
      <c r="B33" s="4" t="s">
        <v>563</v>
      </c>
      <c r="C33" s="1"/>
      <c r="D33" s="1"/>
      <c r="E33" s="1"/>
      <c r="F33" s="1"/>
      <c r="G33" s="1"/>
      <c r="H33" s="1"/>
      <c r="I33" s="1"/>
      <c r="J33" s="1"/>
      <c r="K33" s="1"/>
    </row>
    <row r="34" ht="23.25" customHeight="1">
      <c r="A34" s="1"/>
      <c r="B34" s="23" t="s">
        <v>564</v>
      </c>
      <c r="C34" s="1"/>
      <c r="D34" s="21" t="s">
        <v>547</v>
      </c>
      <c r="E34" s="18">
        <f>'Revenue summary'!C46*(1+E16)*(1+'Revenue summary'!H54)*(1+'Revenue summary'!H57)</f>
        <v>9404.304448500001</v>
      </c>
      <c r="F34" s="18">
        <f>'Revenue summary'!C46*(1+F16)*(1+'Revenue summary'!H54)*(1+'Revenue summary'!H57)</f>
        <v>9743.198302499999</v>
      </c>
      <c r="G34" s="18">
        <f>'Revenue summary'!C46*(1+G16)*(1+'Revenue summary'!H54)*(1+'Revenue summary'!H57)</f>
        <v>9573.7513755</v>
      </c>
      <c r="H34" s="1"/>
      <c r="I34" s="1"/>
      <c r="J34" s="18">
        <f>'Revenue summary'!H46</f>
        <v>9679.108611835598</v>
      </c>
      <c r="K34" s="22" t="s">
        <v>565</v>
      </c>
    </row>
    <row r="35" ht="23.25" customHeight="1">
      <c r="A35" s="1"/>
      <c r="B35" s="23" t="s">
        <v>566</v>
      </c>
      <c r="C35" s="1"/>
      <c r="D35" s="21" t="s">
        <v>547</v>
      </c>
      <c r="E35" s="19">
        <f>G34*E17</f>
        <v>1935.8688443106619</v>
      </c>
      <c r="F35" s="1"/>
      <c r="G35" s="1"/>
      <c r="H35" s="1"/>
      <c r="I35" s="1"/>
      <c r="J35" s="18">
        <f>'Income Statement'!H112</f>
        <v>1984.1071354442993</v>
      </c>
      <c r="K35" s="22" t="s">
        <v>567</v>
      </c>
    </row>
    <row r="36" ht="15" customHeight="1">
      <c r="A36" s="1"/>
      <c r="B36" s="1" t="s">
        <v>568</v>
      </c>
      <c r="C36" s="1"/>
      <c r="D36" s="1"/>
      <c r="E36" s="1"/>
      <c r="F36" s="1"/>
      <c r="G36" s="1"/>
      <c r="H36" s="1"/>
      <c r="I36" s="1"/>
      <c r="J36" s="1"/>
      <c r="K36" s="1"/>
    </row>
    <row r="37" ht="1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18A2158-E28F-53A2-1718-523B05592ACA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60.00390625" customWidth="1"/>
    <col min="10" max="10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</row>
    <row r="3" ht="15" customHeight="1">
      <c r="A3" s="1"/>
      <c r="B3" s="4" t="s">
        <v>569</v>
      </c>
      <c r="C3" s="1"/>
      <c r="D3" s="1"/>
      <c r="E3" s="1"/>
      <c r="F3" s="1"/>
      <c r="G3" s="1"/>
      <c r="H3" s="1"/>
      <c r="I3" s="1"/>
      <c r="J3" s="1"/>
      <c r="K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ht="15" customHeight="1">
      <c r="A6" s="1"/>
      <c r="B6" s="6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8" t="s">
        <v>10</v>
      </c>
      <c r="I6" s="1"/>
      <c r="J6" s="1"/>
      <c r="K6" s="1"/>
    </row>
    <row r="7" ht="15" customHeight="1">
      <c r="A7" s="1"/>
      <c r="B7" s="10" t="s">
        <v>12</v>
      </c>
      <c r="C7" s="11">
        <f>DATE(2025,9,30)</f>
        <v>45930</v>
      </c>
      <c r="D7" s="11">
        <f t="shared" si="0" ref="D7:E7">DATE(2025,12,31)</f>
        <v>46022</v>
      </c>
      <c r="E7" s="11">
        <f t="shared" si="0"/>
        <v>46022</v>
      </c>
      <c r="F7" s="11">
        <f>DATE(2026,3,31)</f>
        <v>46112</v>
      </c>
      <c r="G7" s="11">
        <f>DATE(2026,6,30)</f>
        <v>46203</v>
      </c>
      <c r="H7" s="12">
        <f>DATE(2026,9,30)</f>
        <v>46295</v>
      </c>
      <c r="I7" s="1"/>
      <c r="J7" s="1"/>
      <c r="K7" s="1"/>
    </row>
    <row r="8" ht="15" customHeight="1">
      <c r="A8" s="1"/>
      <c r="B8" s="13" t="s">
        <v>13</v>
      </c>
      <c r="C8" s="14">
        <f>C7-DATE(2025,6,30)</f>
        <v>92</v>
      </c>
      <c r="D8" s="14">
        <f t="shared" si="1" ref="D8:H8">D7-C7</f>
        <v>92</v>
      </c>
      <c r="E8" s="14">
        <f>E7-DATE(2024,12,31)</f>
        <v>365</v>
      </c>
      <c r="F8" s="14">
        <f>F7-D7</f>
        <v>90</v>
      </c>
      <c r="G8" s="14">
        <f t="shared" si="1"/>
        <v>91</v>
      </c>
      <c r="H8" s="15">
        <f t="shared" si="1"/>
        <v>92</v>
      </c>
      <c r="I8" s="1"/>
      <c r="J8" s="1"/>
      <c r="K8" s="1"/>
    </row>
    <row r="9" ht="15" customHeight="1">
      <c r="A9" s="1"/>
      <c r="B9" s="22" t="s">
        <v>570</v>
      </c>
      <c r="C9" s="1"/>
      <c r="D9" s="1"/>
      <c r="E9" s="1"/>
      <c r="F9" s="1"/>
      <c r="G9" s="1"/>
      <c r="H9" s="1"/>
      <c r="I9" s="1"/>
      <c r="J9" s="1"/>
      <c r="K9" s="1"/>
    </row>
    <row r="10" ht="15" customHeight="1">
      <c r="A10" s="1"/>
      <c r="B10" s="4" t="s">
        <v>571</v>
      </c>
      <c r="C10" s="17" t="s">
        <v>572</v>
      </c>
      <c r="D10" s="94" t="s">
        <v>573</v>
      </c>
      <c r="E10" s="17"/>
      <c r="F10" s="17"/>
      <c r="G10" s="17"/>
      <c r="H10" s="17"/>
      <c r="I10" s="94" t="s">
        <v>574</v>
      </c>
      <c r="J10" s="94" t="s">
        <v>575</v>
      </c>
      <c r="K10" s="17"/>
    </row>
    <row r="11" ht="24" customHeight="1">
      <c r="A11" s="1"/>
      <c r="B11" s="95" t="s">
        <v>576</v>
      </c>
      <c r="C11" s="96">
        <f t="shared" si="2" ref="C11:C12">DATE(2026,10,18)</f>
        <v>46313</v>
      </c>
      <c r="D11" s="97" t="s">
        <v>577</v>
      </c>
      <c r="E11" s="98"/>
      <c r="F11" s="98"/>
      <c r="G11" s="98"/>
      <c r="H11" s="98"/>
      <c r="I11" s="97" t="s">
        <v>578</v>
      </c>
      <c r="J11" s="97" t="s">
        <v>579</v>
      </c>
      <c r="K11" s="1"/>
    </row>
    <row r="12" ht="24" customHeight="1">
      <c r="A12" s="1"/>
      <c r="B12" s="95" t="s">
        <v>580</v>
      </c>
      <c r="C12" s="96">
        <f t="shared" si="2"/>
        <v>46313</v>
      </c>
      <c r="D12" s="97" t="s">
        <v>577</v>
      </c>
      <c r="E12" s="98"/>
      <c r="F12" s="98"/>
      <c r="G12" s="98"/>
      <c r="H12" s="98"/>
      <c r="I12" s="97" t="s">
        <v>581</v>
      </c>
      <c r="J12" s="97" t="s">
        <v>582</v>
      </c>
      <c r="K12" s="1"/>
    </row>
    <row r="13" ht="24" customHeight="1">
      <c r="A13" s="1"/>
      <c r="B13" s="98" t="s">
        <v>583</v>
      </c>
      <c r="C13" s="96">
        <f t="shared" si="3" ref="C13:C32">DATE(2026,7,16)</f>
        <v>46219</v>
      </c>
      <c r="D13" s="97" t="s">
        <v>15</v>
      </c>
      <c r="E13" s="98"/>
      <c r="F13" s="98"/>
      <c r="G13" s="98"/>
      <c r="H13" s="98"/>
      <c r="I13" s="97" t="s">
        <v>584</v>
      </c>
      <c r="J13" s="97" t="s">
        <v>585</v>
      </c>
      <c r="K13" s="1"/>
    </row>
    <row r="14" ht="45" customHeight="1">
      <c r="A14" s="1"/>
      <c r="B14" s="95" t="s">
        <v>586</v>
      </c>
      <c r="C14" s="96">
        <f t="shared" si="3"/>
        <v>46219</v>
      </c>
      <c r="D14" s="97" t="s">
        <v>15</v>
      </c>
      <c r="E14" s="98"/>
      <c r="F14" s="98"/>
      <c r="G14" s="98"/>
      <c r="H14" s="98"/>
      <c r="I14" s="97" t="s">
        <v>587</v>
      </c>
      <c r="J14" s="97" t="s">
        <v>588</v>
      </c>
      <c r="K14" s="1"/>
    </row>
    <row r="15" ht="24" customHeight="1">
      <c r="A15" s="1"/>
      <c r="B15" s="98" t="s">
        <v>589</v>
      </c>
      <c r="C15" s="96">
        <f t="shared" si="4" ref="C15:C16">DATE(2026,4,22)</f>
        <v>46134</v>
      </c>
      <c r="D15" s="97" t="s">
        <v>15</v>
      </c>
      <c r="E15" s="98"/>
      <c r="F15" s="98"/>
      <c r="G15" s="98"/>
      <c r="H15" s="98"/>
      <c r="I15" s="97" t="s">
        <v>590</v>
      </c>
      <c r="J15" s="97" t="s">
        <v>591</v>
      </c>
      <c r="K15" s="1"/>
    </row>
    <row r="16" ht="24" customHeight="1">
      <c r="A16" s="1"/>
      <c r="B16" s="95" t="s">
        <v>592</v>
      </c>
      <c r="C16" s="96">
        <f t="shared" si="4"/>
        <v>46134</v>
      </c>
      <c r="D16" s="97" t="s">
        <v>15</v>
      </c>
      <c r="E16" s="98"/>
      <c r="F16" s="98"/>
      <c r="G16" s="98"/>
      <c r="H16" s="98"/>
      <c r="I16" s="97" t="s">
        <v>593</v>
      </c>
      <c r="J16" s="97" t="s">
        <v>594</v>
      </c>
      <c r="K16" s="1"/>
    </row>
    <row r="17" ht="24" customHeight="1">
      <c r="A17" s="1"/>
      <c r="B17" s="98" t="s">
        <v>595</v>
      </c>
      <c r="C17" s="96">
        <f t="shared" si="5" ref="C17:C18">DATE(2026,1,29)</f>
        <v>46051</v>
      </c>
      <c r="D17" s="97" t="s">
        <v>15</v>
      </c>
      <c r="E17" s="98"/>
      <c r="F17" s="98"/>
      <c r="G17" s="98"/>
      <c r="H17" s="98"/>
      <c r="I17" s="97" t="s">
        <v>596</v>
      </c>
      <c r="J17" s="97" t="s">
        <v>597</v>
      </c>
      <c r="K17" s="1"/>
    </row>
    <row r="18" ht="24" customHeight="1">
      <c r="A18" s="1"/>
      <c r="B18" s="95" t="s">
        <v>598</v>
      </c>
      <c r="C18" s="96">
        <f t="shared" si="5"/>
        <v>46051</v>
      </c>
      <c r="D18" s="97" t="s">
        <v>15</v>
      </c>
      <c r="E18" s="98"/>
      <c r="F18" s="98"/>
      <c r="G18" s="98"/>
      <c r="H18" s="98"/>
      <c r="I18" s="97" t="s">
        <v>599</v>
      </c>
      <c r="J18" s="97" t="s">
        <v>600</v>
      </c>
      <c r="K18" s="1"/>
    </row>
    <row r="19" ht="24" customHeight="1">
      <c r="A19" s="1"/>
      <c r="B19" s="95" t="s">
        <v>601</v>
      </c>
      <c r="C19" s="96">
        <f>DATE(2025,10,16)</f>
        <v>45946</v>
      </c>
      <c r="D19" s="97" t="s">
        <v>15</v>
      </c>
      <c r="E19" s="98"/>
      <c r="F19" s="98"/>
      <c r="G19" s="98"/>
      <c r="H19" s="98"/>
      <c r="I19" s="97" t="s">
        <v>602</v>
      </c>
      <c r="J19" s="97" t="s">
        <v>603</v>
      </c>
      <c r="K19" s="1"/>
    </row>
    <row r="20" ht="34.5" customHeight="1">
      <c r="A20" s="1"/>
      <c r="B20" s="95" t="s">
        <v>604</v>
      </c>
      <c r="C20" s="96">
        <f>DATE(2026,10,13)</f>
        <v>46308</v>
      </c>
      <c r="D20" s="97" t="s">
        <v>605</v>
      </c>
      <c r="E20" s="98"/>
      <c r="F20" s="98"/>
      <c r="G20" s="98"/>
      <c r="H20" s="98"/>
      <c r="I20" s="97" t="s">
        <v>606</v>
      </c>
      <c r="J20" s="97" t="s">
        <v>607</v>
      </c>
      <c r="K20" s="1"/>
    </row>
    <row r="21" ht="34.5" customHeight="1">
      <c r="A21" s="1"/>
      <c r="B21" s="98" t="s">
        <v>608</v>
      </c>
      <c r="C21" s="96">
        <f>DATE(2026,7,9)</f>
        <v>46212</v>
      </c>
      <c r="D21" s="97" t="s">
        <v>605</v>
      </c>
      <c r="E21" s="98"/>
      <c r="F21" s="98"/>
      <c r="G21" s="98"/>
      <c r="H21" s="98"/>
      <c r="I21" s="97" t="s">
        <v>609</v>
      </c>
      <c r="J21" s="97" t="s">
        <v>610</v>
      </c>
      <c r="K21" s="1"/>
    </row>
    <row r="22" ht="34.5" customHeight="1">
      <c r="A22" s="1"/>
      <c r="B22" s="98" t="s">
        <v>611</v>
      </c>
      <c r="C22" s="96">
        <f>DATE(2026,4,15)</f>
        <v>46127</v>
      </c>
      <c r="D22" s="97" t="s">
        <v>605</v>
      </c>
      <c r="E22" s="98"/>
      <c r="F22" s="98"/>
      <c r="G22" s="98"/>
      <c r="H22" s="98"/>
      <c r="I22" s="97" t="s">
        <v>612</v>
      </c>
      <c r="J22" s="97" t="s">
        <v>613</v>
      </c>
      <c r="K22" s="1"/>
    </row>
    <row r="23" ht="45" customHeight="1">
      <c r="A23" s="1"/>
      <c r="B23" s="95" t="s">
        <v>614</v>
      </c>
      <c r="C23" s="99" t="s">
        <v>615</v>
      </c>
      <c r="D23" s="97" t="s">
        <v>15</v>
      </c>
      <c r="E23" s="98"/>
      <c r="F23" s="98"/>
      <c r="G23" s="98"/>
      <c r="H23" s="98"/>
      <c r="I23" s="97" t="s">
        <v>616</v>
      </c>
      <c r="J23" s="97" t="s">
        <v>617</v>
      </c>
      <c r="K23" s="1"/>
    </row>
    <row r="24" ht="34.5" customHeight="1">
      <c r="A24" s="1"/>
      <c r="B24" s="95" t="s">
        <v>618</v>
      </c>
      <c r="C24" s="96">
        <f>DATE(2026,9,30)</f>
        <v>46295</v>
      </c>
      <c r="D24" s="97" t="s">
        <v>619</v>
      </c>
      <c r="E24" s="98"/>
      <c r="F24" s="98"/>
      <c r="G24" s="98"/>
      <c r="H24" s="98"/>
      <c r="I24" s="97" t="s">
        <v>620</v>
      </c>
      <c r="J24" s="97" t="s">
        <v>621</v>
      </c>
      <c r="K24" s="1"/>
    </row>
    <row r="25" ht="34.5" customHeight="1">
      <c r="A25" s="1"/>
      <c r="B25" s="95" t="s">
        <v>622</v>
      </c>
      <c r="C25" s="96">
        <f>DATE(2026,10,16)</f>
        <v>46311</v>
      </c>
      <c r="D25" s="97" t="s">
        <v>623</v>
      </c>
      <c r="E25" s="98"/>
      <c r="F25" s="98"/>
      <c r="G25" s="98"/>
      <c r="H25" s="98"/>
      <c r="I25" s="97" t="s">
        <v>624</v>
      </c>
      <c r="J25" s="97" t="s">
        <v>625</v>
      </c>
      <c r="K25" s="1"/>
    </row>
    <row r="26" ht="45" customHeight="1">
      <c r="A26" s="1"/>
      <c r="B26" s="95" t="s">
        <v>626</v>
      </c>
      <c r="C26" s="96">
        <f>DATE(2026,10,9)</f>
        <v>46304</v>
      </c>
      <c r="D26" s="97" t="s">
        <v>627</v>
      </c>
      <c r="E26" s="98"/>
      <c r="F26" s="98"/>
      <c r="G26" s="98"/>
      <c r="H26" s="98"/>
      <c r="I26" s="97" t="s">
        <v>628</v>
      </c>
      <c r="J26" s="97" t="s">
        <v>629</v>
      </c>
      <c r="K26" s="1"/>
    </row>
    <row r="27" ht="34.5" customHeight="1">
      <c r="A27" s="1"/>
      <c r="B27" s="95" t="s">
        <v>630</v>
      </c>
      <c r="C27" s="96">
        <f t="shared" si="6" ref="C27:C28">DATE(2026,10,1)</f>
        <v>46296</v>
      </c>
      <c r="D27" s="97" t="s">
        <v>631</v>
      </c>
      <c r="E27" s="98"/>
      <c r="F27" s="98"/>
      <c r="G27" s="98"/>
      <c r="H27" s="98"/>
      <c r="I27" s="97" t="s">
        <v>632</v>
      </c>
      <c r="J27" s="97" t="s">
        <v>633</v>
      </c>
      <c r="K27" s="1"/>
    </row>
    <row r="28" ht="34.5" customHeight="1">
      <c r="A28" s="1"/>
      <c r="B28" s="95" t="s">
        <v>634</v>
      </c>
      <c r="C28" s="96">
        <f t="shared" si="6"/>
        <v>46296</v>
      </c>
      <c r="D28" s="97" t="s">
        <v>635</v>
      </c>
      <c r="E28" s="98"/>
      <c r="F28" s="98"/>
      <c r="G28" s="98"/>
      <c r="H28" s="98"/>
      <c r="I28" s="97" t="s">
        <v>636</v>
      </c>
      <c r="J28" s="97" t="s">
        <v>637</v>
      </c>
      <c r="K28" s="1"/>
    </row>
    <row r="29" ht="45" customHeight="1">
      <c r="A29" s="1"/>
      <c r="B29" s="95" t="s">
        <v>638</v>
      </c>
      <c r="C29" s="96">
        <f>DATE(2026,9,25)</f>
        <v>46290</v>
      </c>
      <c r="D29" s="97" t="s">
        <v>639</v>
      </c>
      <c r="E29" s="98"/>
      <c r="F29" s="98"/>
      <c r="G29" s="98"/>
      <c r="H29" s="98"/>
      <c r="I29" s="97" t="s">
        <v>640</v>
      </c>
      <c r="J29" s="97" t="s">
        <v>641</v>
      </c>
      <c r="K29" s="1"/>
    </row>
    <row r="30" ht="45" customHeight="1">
      <c r="A30" s="1"/>
      <c r="B30" s="95" t="s">
        <v>642</v>
      </c>
      <c r="C30" s="96">
        <f>DATE(2026,10,12)</f>
        <v>46307</v>
      </c>
      <c r="D30" s="97" t="s">
        <v>643</v>
      </c>
      <c r="E30" s="98"/>
      <c r="F30" s="98"/>
      <c r="G30" s="98"/>
      <c r="H30" s="98"/>
      <c r="I30" s="97" t="s">
        <v>644</v>
      </c>
      <c r="J30" s="97" t="s">
        <v>645</v>
      </c>
      <c r="K30" s="1"/>
    </row>
    <row r="31" ht="24" customHeight="1">
      <c r="A31" s="1"/>
      <c r="B31" s="95" t="s">
        <v>646</v>
      </c>
      <c r="C31" s="96">
        <f>DATE(2026,10,15)</f>
        <v>46310</v>
      </c>
      <c r="D31" s="97" t="s">
        <v>647</v>
      </c>
      <c r="E31" s="98"/>
      <c r="F31" s="98"/>
      <c r="G31" s="98"/>
      <c r="H31" s="98"/>
      <c r="I31" s="97" t="s">
        <v>648</v>
      </c>
      <c r="J31" s="97" t="s">
        <v>649</v>
      </c>
      <c r="K31" s="1"/>
    </row>
    <row r="32" ht="45" customHeight="1">
      <c r="A32" s="1"/>
      <c r="B32" s="95" t="s">
        <v>650</v>
      </c>
      <c r="C32" s="96">
        <f t="shared" si="3"/>
        <v>46219</v>
      </c>
      <c r="D32" s="97" t="s">
        <v>651</v>
      </c>
      <c r="E32" s="98"/>
      <c r="F32" s="98"/>
      <c r="G32" s="98"/>
      <c r="H32" s="98"/>
      <c r="I32" s="97" t="s">
        <v>652</v>
      </c>
      <c r="J32" s="97" t="s">
        <v>653</v>
      </c>
      <c r="K32" s="1"/>
    </row>
    <row r="33" ht="24" customHeight="1">
      <c r="A33" s="1"/>
      <c r="B33" s="95" t="s">
        <v>654</v>
      </c>
      <c r="C33" s="96">
        <f>DATE(2026,10,14)</f>
        <v>46309</v>
      </c>
      <c r="D33" s="97" t="s">
        <v>655</v>
      </c>
      <c r="E33" s="98"/>
      <c r="F33" s="98"/>
      <c r="G33" s="98"/>
      <c r="H33" s="98"/>
      <c r="I33" s="97" t="s">
        <v>656</v>
      </c>
      <c r="J33" s="97" t="s">
        <v>657</v>
      </c>
      <c r="K33" s="1"/>
    </row>
    <row r="34" ht="45" customHeight="1">
      <c r="A34" s="1"/>
      <c r="B34" s="95" t="s">
        <v>658</v>
      </c>
      <c r="C34" s="99" t="s">
        <v>615</v>
      </c>
      <c r="D34" s="97" t="s">
        <v>659</v>
      </c>
      <c r="E34" s="98"/>
      <c r="F34" s="98"/>
      <c r="G34" s="98"/>
      <c r="H34" s="98"/>
      <c r="I34" s="97" t="s">
        <v>660</v>
      </c>
      <c r="J34" s="97" t="s">
        <v>661</v>
      </c>
      <c r="K34" s="1"/>
    </row>
    <row r="35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5" customHeight="1">
      <c r="A36" s="1"/>
      <c r="B36" s="1" t="s">
        <v>662</v>
      </c>
      <c r="C36" s="1"/>
      <c r="D36" s="1"/>
      <c r="E36" s="1"/>
      <c r="F36" s="1"/>
      <c r="G36" s="1"/>
      <c r="H36" s="1"/>
      <c r="I36" s="1"/>
      <c r="J36" s="1"/>
      <c r="K36" s="1"/>
    </row>
    <row r="37" ht="15" customHeight="1">
      <c r="A37" s="1"/>
      <c r="B37" s="1" t="s">
        <v>663</v>
      </c>
      <c r="C37" s="1"/>
      <c r="D37" s="1"/>
      <c r="E37" s="1"/>
      <c r="F37" s="1"/>
      <c r="G37" s="1"/>
      <c r="H37" s="1"/>
      <c r="I37" s="1"/>
      <c r="J37" s="1"/>
      <c r="K37" s="1"/>
    </row>
    <row r="38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1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85D0703-2AA9-5026-7758-E307EAD88E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2" width="12.00390625" customWidth="1"/>
    <col min="13" max="13" width="5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3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4" t="s">
        <v>664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5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15" customHeight="1">
      <c r="A6" s="1"/>
      <c r="I6" s="1"/>
      <c r="J6" s="1"/>
      <c r="K6" s="1"/>
      <c r="L6" s="1"/>
      <c r="M6" s="1"/>
    </row>
    <row r="7" ht="15" customHeight="1">
      <c r="A7" s="1"/>
      <c r="I7" s="1"/>
      <c r="J7" s="1"/>
      <c r="K7" s="1"/>
      <c r="L7" s="1"/>
      <c r="M7" s="1"/>
    </row>
    <row r="8" ht="15" customHeight="1">
      <c r="A8" s="1"/>
      <c r="I8" s="1"/>
      <c r="J8" s="1"/>
      <c r="K8" s="1"/>
      <c r="L8" s="1"/>
      <c r="M8" s="1"/>
    </row>
    <row r="9" ht="15" customHeight="1">
      <c r="A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ht="15" customHeight="1">
      <c r="A10" s="1"/>
      <c r="B10" s="4" t="s">
        <v>665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ht="15" customHeight="1">
      <c r="A11" s="1"/>
      <c r="B11" s="1" t="s">
        <v>666</v>
      </c>
      <c r="C11" s="16" t="s">
        <v>577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>
      <c r="A12" s="1"/>
      <c r="B12" s="1" t="s">
        <v>667</v>
      </c>
      <c r="C12" s="16" t="s">
        <v>668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>
      <c r="A13" s="1"/>
      <c r="B13" s="1" t="s">
        <v>669</v>
      </c>
      <c r="C13" s="16" t="s">
        <v>15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>
      <c r="A14" s="1"/>
      <c r="B14" s="1" t="s">
        <v>670</v>
      </c>
      <c r="C14" s="16" t="s">
        <v>671</v>
      </c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15" customHeight="1">
      <c r="A15" s="1"/>
      <c r="B15" s="1" t="s">
        <v>672</v>
      </c>
      <c r="C15" s="16" t="s">
        <v>673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5" customHeight="1">
      <c r="A16" s="1"/>
      <c r="B16" s="1" t="s">
        <v>674</v>
      </c>
      <c r="C16" s="16" t="s">
        <v>675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15" customHeight="1">
      <c r="A17" s="1"/>
      <c r="B17" s="1" t="s">
        <v>676</v>
      </c>
      <c r="C17" s="100">
        <v>2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15" customHeight="1">
      <c r="A18" s="1"/>
      <c r="B18" s="1" t="s">
        <v>677</v>
      </c>
      <c r="C18" s="73">
        <v>0.82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5" customHeight="1">
      <c r="A19" s="1"/>
      <c r="B19" s="1" t="s">
        <v>678</v>
      </c>
      <c r="C19" s="16" t="s">
        <v>679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5" customHeight="1">
      <c r="A20" s="1"/>
      <c r="B20" s="1" t="s">
        <v>680</v>
      </c>
      <c r="C20" s="42">
        <v>9755.28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15" customHeight="1">
      <c r="A21" s="1"/>
      <c r="B21" s="1" t="s">
        <v>681</v>
      </c>
      <c r="C21" s="16" t="s">
        <v>682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15" customHeight="1">
      <c r="A22" s="1"/>
      <c r="B22" s="1" t="s">
        <v>683</v>
      </c>
      <c r="C22" s="16" t="s">
        <v>684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15" customHeight="1">
      <c r="A23" s="1"/>
      <c r="B23" s="1" t="s">
        <v>685</v>
      </c>
      <c r="C23" s="16" t="s">
        <v>686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ht="15" customHeight="1">
      <c r="A24" s="1"/>
      <c r="B24" s="1" t="s">
        <v>687</v>
      </c>
      <c r="C24" s="16" t="s">
        <v>688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ht="15" customHeight="1">
      <c r="A25" s="1"/>
      <c r="B25" s="1" t="s">
        <v>689</v>
      </c>
      <c r="C25" s="16" t="s">
        <v>682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15" customHeight="1">
      <c r="A26" s="1"/>
      <c r="B26" s="1" t="s">
        <v>690</v>
      </c>
      <c r="C26" s="16" t="s">
        <v>691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ht="15" customHeight="1">
      <c r="A27" s="1"/>
      <c r="B27" s="1" t="s">
        <v>692</v>
      </c>
      <c r="C27" s="16" t="s">
        <v>682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ht="15" customHeight="1">
      <c r="A28" s="1"/>
      <c r="B28" s="23" t="s">
        <v>693</v>
      </c>
      <c r="C28" s="16" t="s">
        <v>694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ht="1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ht="15" customHeight="1">
      <c r="A30" s="1"/>
      <c r="B30" s="4" t="s">
        <v>695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ht="15" customHeight="1">
      <c r="A31" s="1"/>
      <c r="B31" s="1" t="s">
        <v>667</v>
      </c>
      <c r="C31" s="16" t="s">
        <v>668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ht="15" customHeight="1">
      <c r="A32" s="1"/>
      <c r="B32" s="1" t="s">
        <v>696</v>
      </c>
      <c r="C32" s="16" t="s">
        <v>15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ht="15" customHeight="1">
      <c r="A33" s="1"/>
      <c r="B33" s="1" t="s">
        <v>697</v>
      </c>
      <c r="C33" s="16" t="s">
        <v>698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ht="15" customHeight="1">
      <c r="A34" s="1"/>
      <c r="B34" s="1" t="s">
        <v>699</v>
      </c>
      <c r="C34" s="16" t="s">
        <v>700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ht="15" customHeight="1">
      <c r="A35" s="1"/>
      <c r="B35" s="1" t="s">
        <v>701</v>
      </c>
      <c r="C35" s="16" t="s">
        <v>688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ht="15" customHeight="1">
      <c r="A36" s="1"/>
      <c r="B36" s="1" t="s">
        <v>702</v>
      </c>
      <c r="C36" s="16" t="s">
        <v>703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ht="15" customHeight="1">
      <c r="A37" s="1"/>
      <c r="B37" s="1" t="s">
        <v>704</v>
      </c>
      <c r="C37" s="16" t="s">
        <v>671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ht="15" customHeight="1">
      <c r="A38" s="1"/>
      <c r="B38" s="1" t="s">
        <v>705</v>
      </c>
      <c r="C38" s="16" t="s">
        <v>673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ht="15" customHeight="1">
      <c r="A39" s="1"/>
      <c r="B39" s="1" t="s">
        <v>706</v>
      </c>
      <c r="C39" s="16" t="s">
        <v>707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ht="15" customHeight="1">
      <c r="A40" s="1"/>
      <c r="B40" s="1" t="s">
        <v>678</v>
      </c>
      <c r="C40" s="16" t="s">
        <v>708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ht="15" customHeight="1">
      <c r="A41" s="1"/>
      <c r="B41" s="1" t="s">
        <v>709</v>
      </c>
      <c r="C41" s="100">
        <v>2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ht="15" customHeight="1">
      <c r="A42" s="1"/>
      <c r="B42" s="1" t="s">
        <v>710</v>
      </c>
      <c r="C42" s="100">
        <v>4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ht="15" customHeight="1">
      <c r="A43" s="1"/>
      <c r="B43" s="1" t="s">
        <v>711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ht="15" customHeight="1">
      <c r="A44" s="1"/>
      <c r="B44" s="1" t="s">
        <v>712</v>
      </c>
      <c r="C44" s="73">
        <v>0.82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 ht="15" customHeight="1">
      <c r="A45" s="1"/>
      <c r="B45" s="1" t="s">
        <v>713</v>
      </c>
      <c r="C45" s="73">
        <v>0.82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 ht="15" customHeight="1">
      <c r="A46" s="1"/>
      <c r="B46" s="1" t="s">
        <v>714</v>
      </c>
      <c r="C46" s="73">
        <v>0.85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ht="15" customHeight="1">
      <c r="A47" s="1"/>
      <c r="B47" s="1" t="s">
        <v>715</v>
      </c>
      <c r="C47" s="73">
        <v>0.79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ht="15" customHeight="1">
      <c r="A48" s="1"/>
      <c r="B48" s="1" t="s">
        <v>716</v>
      </c>
      <c r="C48" s="73">
        <v>0.03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ht="15" customHeight="1">
      <c r="A49" s="1"/>
      <c r="B49" s="1" t="s">
        <v>717</v>
      </c>
      <c r="C49" s="100">
        <v>2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ht="15" customHeight="1">
      <c r="A50" s="1"/>
      <c r="B50" s="1" t="s">
        <v>718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ht="15" customHeight="1">
      <c r="A51" s="1"/>
      <c r="B51" s="1" t="s">
        <v>719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ht="15" customHeight="1">
      <c r="A52" s="1"/>
      <c r="B52" s="1" t="s">
        <v>720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ht="15" customHeight="1">
      <c r="A53" s="1"/>
      <c r="B53" s="1" t="s">
        <v>721</v>
      </c>
      <c r="C53" s="73">
        <v>0.77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 ht="15" customHeight="1">
      <c r="A54" s="1"/>
      <c r="B54" s="1" t="s">
        <v>722</v>
      </c>
      <c r="C54" s="73">
        <v>0.77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 ht="15" customHeight="1">
      <c r="A55" s="1"/>
      <c r="B55" s="1" t="s">
        <v>723</v>
      </c>
      <c r="C55" s="73">
        <v>0.8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 ht="15" customHeight="1">
      <c r="A56" s="1"/>
      <c r="B56" s="1" t="s">
        <v>724</v>
      </c>
      <c r="C56" s="73">
        <v>0.74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ht="15" customHeight="1">
      <c r="A57" s="1"/>
      <c r="B57" s="1" t="s">
        <v>725</v>
      </c>
      <c r="C57" s="73">
        <v>0.03</v>
      </c>
      <c r="D57" s="1"/>
      <c r="E57" s="1"/>
      <c r="F57" s="1"/>
      <c r="G57" s="1"/>
      <c r="H57" s="1"/>
      <c r="I57" s="1"/>
      <c r="J57" s="1"/>
      <c r="K57" s="1"/>
      <c r="L57" s="1"/>
      <c r="M57" s="1"/>
    </row>
    <row r="58" ht="15" customHeight="1">
      <c r="A58" s="1"/>
      <c r="B58" s="1" t="s">
        <v>726</v>
      </c>
      <c r="C58" s="100">
        <v>2</v>
      </c>
      <c r="D58" s="1"/>
      <c r="E58" s="1"/>
      <c r="F58" s="1"/>
      <c r="G58" s="1"/>
      <c r="H58" s="1"/>
      <c r="I58" s="1"/>
      <c r="J58" s="1"/>
      <c r="K58" s="1"/>
      <c r="L58" s="1"/>
      <c r="M58" s="1"/>
    </row>
    <row r="59" ht="15" customHeight="1">
      <c r="A59" s="1"/>
      <c r="B59" s="1" t="s">
        <v>727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ht="15" customHeight="1">
      <c r="A60" s="1"/>
      <c r="B60" s="1" t="s">
        <v>728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ht="15" customHeight="1">
      <c r="A61" s="1"/>
      <c r="B61" s="1" t="s">
        <v>729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ht="15" customHeight="1">
      <c r="A62" s="1"/>
      <c r="B62" s="1" t="s">
        <v>730</v>
      </c>
      <c r="C62" s="42">
        <v>9755.28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ht="15" customHeight="1">
      <c r="A63" s="1"/>
      <c r="B63" s="1" t="s">
        <v>731</v>
      </c>
      <c r="C63" s="42">
        <v>9742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ht="15" customHeight="1">
      <c r="A64" s="1"/>
      <c r="B64" s="1" t="s">
        <v>732</v>
      </c>
      <c r="C64" s="42">
        <v>9874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ht="15" customHeight="1">
      <c r="A65" s="1"/>
      <c r="B65" s="1" t="s">
        <v>733</v>
      </c>
      <c r="C65" s="42">
        <v>9626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ht="15" customHeight="1">
      <c r="A66" s="1"/>
      <c r="B66" s="1" t="s">
        <v>734</v>
      </c>
      <c r="C66" s="42">
        <v>83.56</v>
      </c>
      <c r="D66" s="1"/>
      <c r="E66" s="1"/>
      <c r="F66" s="1"/>
      <c r="G66" s="1"/>
      <c r="H66" s="1"/>
      <c r="I66" s="1"/>
      <c r="J66" s="1"/>
      <c r="K66" s="1"/>
      <c r="L66" s="1"/>
      <c r="M66" s="1"/>
    </row>
    <row r="67" ht="15" customHeight="1">
      <c r="A67" s="1"/>
      <c r="B67" s="1" t="s">
        <v>735</v>
      </c>
      <c r="C67" s="100">
        <v>9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ht="15" customHeight="1">
      <c r="A68" s="1"/>
      <c r="B68" s="1" t="s">
        <v>736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ht="15" customHeight="1">
      <c r="A69" s="1"/>
      <c r="B69" s="1" t="s">
        <v>737</v>
      </c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ht="15" customHeight="1">
      <c r="A70" s="1"/>
      <c r="B70" s="1" t="s">
        <v>738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ht="15" customHeight="1">
      <c r="A71" s="1"/>
      <c r="B71" s="1" t="s">
        <v>739</v>
      </c>
      <c r="C71" s="42">
        <v>2073.5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 ht="15" customHeight="1">
      <c r="A72" s="1"/>
      <c r="B72" s="1" t="s">
        <v>740</v>
      </c>
      <c r="C72" s="42">
        <v>1947.85</v>
      </c>
      <c r="D72" s="1"/>
      <c r="E72" s="1"/>
      <c r="F72" s="1"/>
      <c r="G72" s="1"/>
      <c r="H72" s="1"/>
      <c r="I72" s="1"/>
      <c r="J72" s="1"/>
      <c r="K72" s="1"/>
      <c r="L72" s="1"/>
      <c r="M72" s="1"/>
    </row>
    <row r="73" ht="15" customHeight="1">
      <c r="A73" s="1"/>
      <c r="B73" s="1" t="s">
        <v>741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ht="15" customHeight="1">
      <c r="A74" s="1"/>
      <c r="B74" s="1" t="s">
        <v>742</v>
      </c>
      <c r="C74" s="42">
        <v>1941.07</v>
      </c>
      <c r="D74" s="1"/>
      <c r="E74" s="1"/>
      <c r="F74" s="1"/>
      <c r="G74" s="1"/>
      <c r="H74" s="1"/>
      <c r="I74" s="1"/>
      <c r="J74" s="1"/>
      <c r="K74" s="1"/>
      <c r="L74" s="1"/>
      <c r="M74" s="1"/>
    </row>
    <row r="75" ht="15" customHeight="1">
      <c r="A75" s="1"/>
      <c r="B75" s="1" t="s">
        <v>743</v>
      </c>
      <c r="C75" s="42">
        <v>1421.65</v>
      </c>
      <c r="D75" s="1"/>
      <c r="E75" s="1"/>
      <c r="F75" s="1"/>
      <c r="G75" s="1"/>
      <c r="H75" s="1"/>
      <c r="I75" s="1"/>
      <c r="J75" s="1"/>
      <c r="K75" s="1"/>
      <c r="L75" s="1"/>
      <c r="M75" s="1"/>
    </row>
    <row r="76" ht="15" customHeight="1">
      <c r="A76" s="1"/>
      <c r="B76" s="1" t="s">
        <v>744</v>
      </c>
      <c r="C76" s="42">
        <v>2388.35</v>
      </c>
      <c r="D76" s="1"/>
      <c r="E76" s="1"/>
      <c r="F76" s="1"/>
      <c r="G76" s="1"/>
      <c r="H76" s="1"/>
      <c r="I76" s="1"/>
      <c r="J76" s="1"/>
      <c r="K76" s="1"/>
      <c r="L76" s="1"/>
      <c r="M76" s="1"/>
    </row>
    <row r="77" ht="15" customHeight="1">
      <c r="A77" s="1"/>
      <c r="B77" s="1" t="s">
        <v>745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ht="15" customHeight="1">
      <c r="A78" s="1"/>
      <c r="B78" s="1" t="s">
        <v>746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ht="15" customHeight="1">
      <c r="A79" s="1"/>
      <c r="B79" s="1" t="s">
        <v>747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ht="15" customHeight="1">
      <c r="A80" s="1"/>
      <c r="B80" s="1" t="s">
        <v>748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ht="15" customHeight="1">
      <c r="A81" s="1"/>
      <c r="B81" s="1" t="s">
        <v>749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ht="15" customHeight="1">
      <c r="A82" s="1"/>
      <c r="B82" s="1" t="s">
        <v>750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ht="15" customHeight="1">
      <c r="A83" s="1"/>
      <c r="B83" s="1" t="s">
        <v>751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ht="15" customHeight="1">
      <c r="A84" s="1"/>
      <c r="B84" s="1" t="s">
        <v>752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ht="15" customHeight="1">
      <c r="A85" s="1"/>
      <c r="B85" s="1" t="s">
        <v>753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ht="15" customHeight="1">
      <c r="A86" s="1"/>
      <c r="B86" s="1" t="s">
        <v>754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ht="15" customHeight="1">
      <c r="A87" s="1"/>
      <c r="B87" s="1" t="s">
        <v>755</v>
      </c>
      <c r="C87" s="101">
        <v>101</v>
      </c>
      <c r="D87" s="1"/>
      <c r="E87" s="1"/>
      <c r="F87" s="1"/>
      <c r="G87" s="1"/>
      <c r="H87" s="1"/>
      <c r="I87" s="1"/>
      <c r="J87" s="1"/>
      <c r="K87" s="1"/>
      <c r="L87" s="1"/>
      <c r="M87" s="1"/>
    </row>
    <row r="88" ht="15" customHeight="1">
      <c r="A88" s="1"/>
      <c r="B88" s="1" t="s">
        <v>756</v>
      </c>
      <c r="C88" s="101">
        <v>101</v>
      </c>
      <c r="D88" s="1"/>
      <c r="E88" s="1"/>
      <c r="F88" s="1"/>
      <c r="G88" s="1"/>
      <c r="H88" s="1"/>
      <c r="I88" s="1"/>
      <c r="J88" s="1"/>
      <c r="K88" s="1"/>
      <c r="L88" s="1"/>
      <c r="M88" s="1"/>
    </row>
    <row r="89" ht="15" customHeight="1">
      <c r="A89" s="1"/>
      <c r="B89" s="1" t="s">
        <v>757</v>
      </c>
      <c r="C89" s="101">
        <v>116.55</v>
      </c>
      <c r="D89" s="1"/>
      <c r="E89" s="1"/>
      <c r="F89" s="1"/>
      <c r="G89" s="1"/>
      <c r="H89" s="1"/>
      <c r="I89" s="1"/>
      <c r="J89" s="1"/>
      <c r="K89" s="1"/>
      <c r="L89" s="1"/>
      <c r="M89" s="1"/>
    </row>
    <row r="90" ht="15" customHeight="1">
      <c r="A90" s="1"/>
      <c r="B90" s="1" t="s">
        <v>758</v>
      </c>
      <c r="C90" s="101">
        <v>80.84</v>
      </c>
      <c r="D90" s="1"/>
      <c r="E90" s="1"/>
      <c r="F90" s="1"/>
      <c r="G90" s="1"/>
      <c r="H90" s="1"/>
      <c r="I90" s="1"/>
      <c r="J90" s="1"/>
      <c r="K90" s="1"/>
      <c r="L90" s="1"/>
      <c r="M90" s="1"/>
    </row>
    <row r="91" ht="15" customHeight="1">
      <c r="A91" s="1"/>
      <c r="B91" s="1" t="s">
        <v>759</v>
      </c>
      <c r="C91" s="101">
        <v>8.28</v>
      </c>
      <c r="D91" s="1"/>
      <c r="E91" s="1"/>
      <c r="F91" s="1"/>
      <c r="G91" s="1"/>
      <c r="H91" s="1"/>
      <c r="I91" s="1"/>
      <c r="J91" s="1"/>
      <c r="K91" s="1"/>
      <c r="L91" s="1"/>
      <c r="M91" s="1"/>
    </row>
    <row r="92" ht="15" customHeight="1">
      <c r="A92" s="1"/>
      <c r="B92" s="1" t="s">
        <v>760</v>
      </c>
      <c r="C92" s="100">
        <v>26</v>
      </c>
      <c r="D92" s="1"/>
      <c r="E92" s="1"/>
      <c r="F92" s="1"/>
      <c r="G92" s="1"/>
      <c r="H92" s="1"/>
      <c r="I92" s="1"/>
      <c r="J92" s="1"/>
      <c r="K92" s="1"/>
      <c r="L92" s="1"/>
      <c r="M92" s="1"/>
    </row>
    <row r="93" ht="15" customHeight="1">
      <c r="A93" s="1"/>
      <c r="B93" s="1" t="s">
        <v>761</v>
      </c>
      <c r="C93" s="16" t="s">
        <v>762</v>
      </c>
      <c r="D93" s="1"/>
      <c r="E93" s="1"/>
      <c r="F93" s="1"/>
      <c r="G93" s="1"/>
      <c r="H93" s="1"/>
      <c r="I93" s="1"/>
      <c r="J93" s="1"/>
      <c r="K93" s="1"/>
      <c r="L93" s="1"/>
      <c r="M93" s="1"/>
    </row>
    <row r="94" ht="15" customHeight="1">
      <c r="A94" s="1"/>
      <c r="B94" s="1" t="s">
        <v>763</v>
      </c>
      <c r="C94" s="101">
        <v>2.85</v>
      </c>
      <c r="D94" s="1"/>
      <c r="E94" s="1"/>
      <c r="F94" s="1"/>
      <c r="G94" s="1"/>
      <c r="H94" s="1"/>
      <c r="I94" s="1"/>
      <c r="J94" s="1"/>
      <c r="K94" s="1"/>
      <c r="L94" s="1"/>
      <c r="M94" s="1"/>
    </row>
    <row r="95" ht="15" customHeight="1">
      <c r="A95" s="1"/>
      <c r="B95" s="1" t="s">
        <v>764</v>
      </c>
      <c r="C95" s="101">
        <v>75.68</v>
      </c>
      <c r="D95" s="1"/>
      <c r="E95" s="1"/>
      <c r="F95" s="1"/>
      <c r="G95" s="1"/>
      <c r="H95" s="1"/>
      <c r="I95" s="1"/>
      <c r="J95" s="1"/>
      <c r="K95" s="1"/>
      <c r="L95" s="1"/>
      <c r="M95" s="1"/>
    </row>
    <row r="96" ht="15" customHeight="1">
      <c r="A96" s="1"/>
      <c r="B96" s="1" t="s">
        <v>765</v>
      </c>
      <c r="C96" s="16" t="s">
        <v>766</v>
      </c>
      <c r="D96" s="1"/>
      <c r="E96" s="1"/>
      <c r="F96" s="1"/>
      <c r="G96" s="1"/>
      <c r="H96" s="1"/>
      <c r="I96" s="1"/>
      <c r="J96" s="1"/>
      <c r="K96" s="1"/>
      <c r="L96" s="1"/>
      <c r="M96" s="1"/>
    </row>
    <row r="97" ht="15" customHeight="1">
      <c r="A97" s="1"/>
      <c r="B97" s="1" t="s">
        <v>767</v>
      </c>
      <c r="C97" s="16" t="s">
        <v>675</v>
      </c>
      <c r="D97" s="1"/>
      <c r="E97" s="1"/>
      <c r="F97" s="1"/>
      <c r="G97" s="1"/>
      <c r="H97" s="1"/>
      <c r="I97" s="1"/>
      <c r="J97" s="1"/>
      <c r="K97" s="1"/>
      <c r="L97" s="1"/>
      <c r="M97" s="1"/>
    </row>
    <row r="98" ht="15" customHeight="1">
      <c r="A98" s="1"/>
      <c r="B98" s="1" t="s">
        <v>768</v>
      </c>
      <c r="C98" s="16" t="s">
        <v>769</v>
      </c>
      <c r="D98" s="1"/>
      <c r="E98" s="1"/>
      <c r="F98" s="1"/>
      <c r="G98" s="1"/>
      <c r="H98" s="1"/>
      <c r="I98" s="1"/>
      <c r="J98" s="1"/>
      <c r="K98" s="1"/>
      <c r="L98" s="1"/>
      <c r="M98" s="1"/>
    </row>
    <row r="99" ht="1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ht="15" customHeight="1">
      <c r="A100" s="1"/>
      <c r="B100" s="4" t="s">
        <v>770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ht="38.25" customHeight="1">
      <c r="A101" s="1"/>
      <c r="B101" s="4" t="s">
        <v>672</v>
      </c>
      <c r="C101" s="102" t="s">
        <v>771</v>
      </c>
      <c r="D101" s="102" t="s">
        <v>772</v>
      </c>
      <c r="E101" s="102" t="s">
        <v>773</v>
      </c>
      <c r="F101" s="102" t="s">
        <v>774</v>
      </c>
      <c r="G101" s="102" t="s">
        <v>775</v>
      </c>
      <c r="H101" s="102" t="s">
        <v>776</v>
      </c>
      <c r="I101" s="102" t="s">
        <v>777</v>
      </c>
      <c r="J101" s="102" t="s">
        <v>778</v>
      </c>
      <c r="K101" s="102" t="s">
        <v>779</v>
      </c>
      <c r="L101" s="102" t="s">
        <v>780</v>
      </c>
      <c r="M101" s="22" t="s">
        <v>781</v>
      </c>
    </row>
    <row r="102" ht="15" customHeight="1">
      <c r="A102" s="1"/>
      <c r="B102" s="1" t="s">
        <v>782</v>
      </c>
      <c r="C102" s="92">
        <f>DATE(2025,4,17)</f>
        <v>45764</v>
      </c>
      <c r="D102" s="73">
        <v>0.58</v>
      </c>
      <c r="E102" s="73">
        <v>0.61</v>
      </c>
      <c r="F102" s="73">
        <v>0.51</v>
      </c>
      <c r="G102" s="73">
        <v>0.6</v>
      </c>
      <c r="H102" s="42">
        <v>8194.73</v>
      </c>
      <c r="I102" s="42">
        <v>7935</v>
      </c>
      <c r="J102" s="103">
        <f t="shared" si="0" ref="J102:J107">IF(E102&gt;D102,1,0)</f>
        <v>1</v>
      </c>
      <c r="K102" s="29">
        <f t="shared" si="1" ref="K102:K107">E102-D102</f>
        <v>0.030000000000000027</v>
      </c>
      <c r="L102" s="29">
        <f t="shared" si="2" ref="L102:L107">G102-F102</f>
        <v>0.08999999999999997</v>
      </c>
      <c r="M102" s="1"/>
    </row>
    <row r="103" ht="15" customHeight="1">
      <c r="A103" s="1"/>
      <c r="B103" s="1" t="s">
        <v>783</v>
      </c>
      <c r="C103" s="92">
        <f>DATE(2025,7,17)</f>
        <v>45855</v>
      </c>
      <c r="D103" s="73">
        <v>0.67</v>
      </c>
      <c r="E103" s="73">
        <v>0.7</v>
      </c>
      <c r="F103" s="73">
        <v>0.61</v>
      </c>
      <c r="G103" s="73">
        <v>0.63</v>
      </c>
      <c r="H103" s="42">
        <v>8820.07</v>
      </c>
      <c r="I103" s="42">
        <v>8900</v>
      </c>
      <c r="J103" s="103">
        <f t="shared" si="0"/>
        <v>1</v>
      </c>
      <c r="K103" s="29">
        <f t="shared" si="1"/>
        <v>0.029999999999999916</v>
      </c>
      <c r="L103" s="29">
        <f t="shared" si="2"/>
        <v>0.020000000000000018</v>
      </c>
      <c r="M103" s="1"/>
    </row>
    <row r="104" ht="15" customHeight="1">
      <c r="A104" s="1"/>
      <c r="B104" s="1" t="s">
        <v>784</v>
      </c>
      <c r="C104" s="92">
        <f>DATE(2025,10,16)</f>
        <v>45946</v>
      </c>
      <c r="D104" s="73">
        <v>0.68</v>
      </c>
      <c r="E104" s="73">
        <v>0.69</v>
      </c>
      <c r="F104" s="73">
        <v>0.63</v>
      </c>
      <c r="G104" s="73">
        <v>0.66</v>
      </c>
      <c r="H104" s="42">
        <v>8883.83</v>
      </c>
      <c r="I104" s="42">
        <v>9083</v>
      </c>
      <c r="J104" s="103">
        <f t="shared" si="0"/>
        <v>1</v>
      </c>
      <c r="K104" s="29">
        <f t="shared" si="1"/>
        <v>0.009999999999999898</v>
      </c>
      <c r="L104" s="29">
        <f t="shared" si="2"/>
        <v>0.030000000000000027</v>
      </c>
      <c r="M104" s="1"/>
    </row>
    <row r="105" ht="15" customHeight="1">
      <c r="A105" s="1"/>
      <c r="B105" s="1" t="s">
        <v>785</v>
      </c>
      <c r="C105" s="92">
        <f>DATE(2026,1,29)</f>
        <v>46051</v>
      </c>
      <c r="D105" s="73">
        <v>0.7</v>
      </c>
      <c r="E105" s="73">
        <v>0.73</v>
      </c>
      <c r="F105" s="73">
        <v>0.63</v>
      </c>
      <c r="G105" s="73">
        <v>0.7</v>
      </c>
      <c r="H105" s="42">
        <v>8849.69</v>
      </c>
      <c r="I105" s="42">
        <v>9052</v>
      </c>
      <c r="J105" s="103">
        <f t="shared" si="0"/>
        <v>1</v>
      </c>
      <c r="K105" s="29">
        <f t="shared" si="1"/>
        <v>0.030000000000000027</v>
      </c>
      <c r="L105" s="29">
        <f t="shared" si="2"/>
        <v>0.06999999999999995</v>
      </c>
      <c r="M105" s="1"/>
    </row>
    <row r="106" ht="15" customHeight="1">
      <c r="A106" s="1"/>
      <c r="B106" s="1" t="s">
        <v>786</v>
      </c>
      <c r="C106" s="92">
        <f>DATE(2026,4,22)</f>
        <v>46134</v>
      </c>
      <c r="D106" s="73">
        <v>0.8</v>
      </c>
      <c r="E106" s="73">
        <v>0.84</v>
      </c>
      <c r="F106" s="73">
        <v>0.76</v>
      </c>
      <c r="G106" s="73">
        <v>0.73</v>
      </c>
      <c r="H106" s="42">
        <v>8538.1</v>
      </c>
      <c r="I106" s="42">
        <v>8734</v>
      </c>
      <c r="J106" s="103">
        <f t="shared" si="0"/>
        <v>1</v>
      </c>
      <c r="K106" s="29">
        <f t="shared" si="1"/>
        <v>0.039999999999999925</v>
      </c>
      <c r="L106" s="29">
        <f t="shared" si="2"/>
        <v>-0.030000000000000027</v>
      </c>
      <c r="M106" s="1"/>
    </row>
    <row r="107" ht="15" customHeight="1">
      <c r="A107" s="1"/>
      <c r="B107" s="1" t="s">
        <v>787</v>
      </c>
      <c r="C107" s="92">
        <f>DATE(2026,7,16)</f>
        <v>46219</v>
      </c>
      <c r="D107" s="73">
        <v>0.77</v>
      </c>
      <c r="E107" s="73">
        <v>0.8</v>
      </c>
      <c r="F107" s="73">
        <v>0.72</v>
      </c>
      <c r="G107" s="73">
        <v>0.68</v>
      </c>
      <c r="H107" s="42">
        <v>9445.25</v>
      </c>
      <c r="I107" s="42">
        <v>9475</v>
      </c>
      <c r="J107" s="103">
        <f t="shared" si="0"/>
        <v>1</v>
      </c>
      <c r="K107" s="29">
        <f t="shared" si="1"/>
        <v>0.030000000000000027</v>
      </c>
      <c r="L107" s="29">
        <f t="shared" si="2"/>
        <v>-0.039999999999999925</v>
      </c>
      <c r="M107" s="1"/>
    </row>
    <row r="108" ht="1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ht="15" customHeight="1">
      <c r="A109" s="1"/>
      <c r="B109" s="4" t="s">
        <v>788</v>
      </c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ht="15" customHeight="1">
      <c r="A110" s="1"/>
      <c r="B110" s="23" t="s">
        <v>789</v>
      </c>
      <c r="C110" s="104">
        <f>C95</f>
        <v>75.68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ht="15" customHeight="1">
      <c r="A111" s="1"/>
      <c r="B111" s="1" t="s">
        <v>790</v>
      </c>
      <c r="C111" s="18">
        <f>'Share Count'!G14</f>
        <v>1815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ht="15" customHeight="1">
      <c r="A112" s="1"/>
      <c r="B112" s="1" t="s">
        <v>791</v>
      </c>
      <c r="C112" s="19">
        <f>C110*C111/1000</f>
        <v>137.35920000000002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ht="15" customHeight="1">
      <c r="A113" s="1"/>
      <c r="B113" s="23" t="s">
        <v>792</v>
      </c>
      <c r="C113" s="101">
        <v>1.221</v>
      </c>
      <c r="D113" s="1"/>
      <c r="E113" s="1"/>
      <c r="F113" s="1"/>
      <c r="G113" s="1"/>
      <c r="H113" s="1"/>
      <c r="I113" s="1"/>
      <c r="J113" s="1"/>
      <c r="K113" s="1"/>
      <c r="L113" s="1"/>
      <c r="M113" s="22" t="s">
        <v>793</v>
      </c>
    </row>
    <row r="114" ht="15" customHeight="1">
      <c r="A114" s="1"/>
      <c r="B114" s="1" t="s">
        <v>794</v>
      </c>
      <c r="C114" s="19">
        <f>C112*C113</f>
        <v>167.71558320000003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ht="15" customHeight="1">
      <c r="A115" s="1"/>
      <c r="B115" s="1" t="s">
        <v>795</v>
      </c>
      <c r="C115" s="16" t="str">
        <f>IF(C114&gt;10,"Large (&gt; $10bn)",IF(C114&gt;=2,"Mid","Small"))</f>
        <v>Large (&gt; $10bn)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ht="15" customHeight="1">
      <c r="A116" s="1"/>
      <c r="B116" s="1" t="s">
        <v>797</v>
      </c>
      <c r="C116" s="16" t="s">
        <v>798</v>
      </c>
      <c r="D116" s="1"/>
      <c r="E116" s="1"/>
      <c r="F116" s="1"/>
      <c r="G116" s="1"/>
      <c r="H116" s="1"/>
      <c r="I116" s="1"/>
      <c r="J116" s="1"/>
      <c r="K116" s="1"/>
      <c r="L116" s="1"/>
      <c r="M116" s="22" t="s">
        <v>799</v>
      </c>
    </row>
    <row r="117" ht="15" customHeight="1">
      <c r="A117" s="1"/>
      <c r="B117" s="1" t="s">
        <v>800</v>
      </c>
      <c r="C117" s="51">
        <v>0.78</v>
      </c>
      <c r="D117" s="1"/>
      <c r="E117" s="1"/>
      <c r="F117" s="1"/>
      <c r="G117" s="1"/>
      <c r="H117" s="1"/>
      <c r="I117" s="1"/>
      <c r="J117" s="1"/>
      <c r="K117" s="1"/>
      <c r="L117" s="1"/>
      <c r="M117" s="22" t="s">
        <v>801</v>
      </c>
    </row>
    <row r="118" ht="23.25" customHeight="1">
      <c r="A118" s="1"/>
      <c r="B118" s="23" t="s">
        <v>802</v>
      </c>
      <c r="C118" s="103">
        <f>SUM(J102:J107)</f>
        <v>6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ht="15" customHeight="1">
      <c r="A119" s="1"/>
      <c r="B119" s="1" t="s">
        <v>803</v>
      </c>
      <c r="C119" s="103">
        <f>IF(AND(ISNUMBER(D102),ISNUMBER(E102)),1,0)+IF(AND(ISNUMBER(D103),ISNUMBER(E103)),1,0)+IF(AND(ISNUMBER(D104),ISNUMBER(E104)),1,0)+IF(AND(ISNUMBER(D105),ISNUMBER(E105)),1,0)+IF(AND(ISNUMBER(D106),ISNUMBER(E106)),1,0)+IF(AND(ISNUMBER(D107),ISNUMBER(E107)),1,0)</f>
        <v>6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ht="15" customHeight="1">
      <c r="A120" s="1"/>
      <c r="B120" s="23" t="s">
        <v>804</v>
      </c>
      <c r="C120" s="100">
        <v>8</v>
      </c>
      <c r="D120" s="1"/>
      <c r="E120" s="1"/>
      <c r="F120" s="1"/>
      <c r="G120" s="1"/>
      <c r="H120" s="1"/>
      <c r="I120" s="1"/>
      <c r="J120" s="1"/>
      <c r="K120" s="1"/>
      <c r="L120" s="1"/>
      <c r="M120" s="22" t="s">
        <v>805</v>
      </c>
    </row>
    <row r="121" ht="15" customHeight="1">
      <c r="A121" s="1"/>
      <c r="B121" s="23" t="s">
        <v>806</v>
      </c>
      <c r="C121" s="20">
        <f>(C120*C117+C118)/(C120+C119)</f>
        <v>0.8742857142857143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ht="15" customHeight="1">
      <c r="A122" s="1"/>
      <c r="B122" s="23" t="s">
        <v>807</v>
      </c>
      <c r="C122" s="29">
        <f>AVERAGE(K102:K107)</f>
        <v>0.028333333333333304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ht="23.25" customHeight="1">
      <c r="A123" s="1"/>
      <c r="B123" s="23" t="s">
        <v>808</v>
      </c>
      <c r="C123" s="51">
        <v>0.65</v>
      </c>
      <c r="D123" s="1"/>
      <c r="E123" s="1"/>
      <c r="F123" s="1"/>
      <c r="G123" s="1"/>
      <c r="H123" s="1"/>
      <c r="I123" s="1"/>
      <c r="J123" s="1"/>
      <c r="K123" s="1"/>
      <c r="L123" s="1"/>
      <c r="M123" s="22" t="s">
        <v>809</v>
      </c>
    </row>
    <row r="124" ht="15" customHeight="1">
      <c r="A124" s="1"/>
      <c r="B124" s="23" t="s">
        <v>810</v>
      </c>
      <c r="C124" s="20">
        <f>C123-C121</f>
        <v>-0.2242857142857143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ht="15" customHeight="1">
      <c r="A125" s="1"/>
      <c r="B125" s="1" t="s">
        <v>51</v>
      </c>
      <c r="C125" s="16" t="s">
        <v>52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ht="1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ht="15" customHeight="1">
      <c r="A127" s="1"/>
      <c r="B127" s="4" t="s">
        <v>811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ht="15" customHeight="1">
      <c r="A128" s="1"/>
      <c r="B128" s="23" t="s">
        <v>812</v>
      </c>
      <c r="C128" s="51">
        <v>0.25</v>
      </c>
      <c r="D128" s="1"/>
      <c r="E128" s="1"/>
      <c r="F128" s="1"/>
      <c r="G128" s="1"/>
      <c r="H128" s="1"/>
      <c r="I128" s="1"/>
      <c r="J128" s="1"/>
      <c r="K128" s="1"/>
      <c r="L128" s="1"/>
      <c r="M128" s="22" t="s">
        <v>813</v>
      </c>
    </row>
    <row r="129" ht="15" customHeight="1">
      <c r="A129" s="1"/>
      <c r="B129" s="23" t="s">
        <v>814</v>
      </c>
      <c r="C129" s="42">
        <v>9742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ht="23.25" customHeight="1">
      <c r="A130" s="1"/>
      <c r="B130" s="23" t="s">
        <v>815</v>
      </c>
      <c r="C130" s="42">
        <v>2000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ht="23.25" customHeight="1">
      <c r="A131" s="1"/>
      <c r="B131" s="23" t="s">
        <v>816</v>
      </c>
      <c r="C131" s="51">
        <v>0.205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ht="15" customHeight="1">
      <c r="A132" s="1"/>
      <c r="B132" s="23" t="s">
        <v>817</v>
      </c>
      <c r="C132" s="42">
        <v>1424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ht="23.25" customHeight="1">
      <c r="A133" s="1"/>
      <c r="B133" s="23" t="s">
        <v>818</v>
      </c>
      <c r="C133" s="42">
        <v>1808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ht="15" customHeight="1">
      <c r="A134" s="1"/>
      <c r="B134" s="23" t="s">
        <v>819</v>
      </c>
      <c r="C134" s="73">
        <v>0.79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ht="23.25" customHeight="1">
      <c r="A135" s="1"/>
      <c r="B135" s="23" t="s">
        <v>820</v>
      </c>
      <c r="C135" s="42">
        <v>2003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ht="1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ht="15" customHeight="1">
      <c r="A137" s="1"/>
      <c r="B137" s="4" t="s">
        <v>821</v>
      </c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ht="15" customHeight="1">
      <c r="A138" s="1"/>
      <c r="B138" s="4" t="s">
        <v>822</v>
      </c>
      <c r="C138" s="1"/>
      <c r="D138" s="17" t="s">
        <v>823</v>
      </c>
      <c r="E138" s="1"/>
      <c r="F138" s="1"/>
      <c r="G138" s="1"/>
      <c r="H138" s="1"/>
      <c r="I138" s="1"/>
      <c r="J138" s="1"/>
      <c r="K138" s="1"/>
      <c r="L138" s="1"/>
      <c r="M138" s="22" t="s">
        <v>824</v>
      </c>
    </row>
    <row r="139" ht="23.25" customHeight="1">
      <c r="A139" s="1"/>
      <c r="B139" s="23" t="s">
        <v>825</v>
      </c>
      <c r="C139" s="1"/>
      <c r="D139" s="42">
        <v>203</v>
      </c>
      <c r="E139" s="1"/>
      <c r="F139" s="1"/>
      <c r="G139" s="1"/>
      <c r="H139" s="1"/>
      <c r="I139" s="1"/>
      <c r="J139" s="1"/>
      <c r="K139" s="1"/>
      <c r="L139" s="1"/>
      <c r="M139" s="1"/>
    </row>
    <row r="140" ht="23.25" customHeight="1">
      <c r="A140" s="1"/>
      <c r="B140" s="23" t="s">
        <v>826</v>
      </c>
      <c r="C140" s="1"/>
      <c r="D140" s="42">
        <v>-415</v>
      </c>
      <c r="E140" s="1"/>
      <c r="F140" s="1"/>
      <c r="G140" s="1"/>
      <c r="H140" s="1"/>
      <c r="I140" s="1"/>
      <c r="J140" s="1"/>
      <c r="K140" s="1"/>
      <c r="L140" s="1"/>
      <c r="M140" s="1"/>
    </row>
    <row r="141" ht="15" customHeight="1">
      <c r="A141" s="1"/>
      <c r="B141" s="23" t="s">
        <v>827</v>
      </c>
      <c r="C141" s="1"/>
      <c r="D141" s="42">
        <v>238</v>
      </c>
      <c r="E141" s="1"/>
      <c r="F141" s="1"/>
      <c r="G141" s="1"/>
      <c r="H141" s="1"/>
      <c r="I141" s="1"/>
      <c r="J141" s="1"/>
      <c r="K141" s="1"/>
      <c r="L141" s="1"/>
      <c r="M141" s="1"/>
    </row>
    <row r="142" ht="23.25" customHeight="1">
      <c r="A142" s="1"/>
      <c r="B142" s="23" t="s">
        <v>828</v>
      </c>
      <c r="C142" s="1"/>
      <c r="D142" s="42">
        <v>-586</v>
      </c>
      <c r="E142" s="1"/>
      <c r="F142" s="1"/>
      <c r="G142" s="1"/>
      <c r="H142" s="1"/>
      <c r="I142" s="1"/>
      <c r="J142" s="1"/>
      <c r="K142" s="1"/>
      <c r="L142" s="1"/>
      <c r="M142" s="1"/>
    </row>
    <row r="143" ht="15" customHeight="1">
      <c r="A143" s="1"/>
      <c r="B143" s="23" t="s">
        <v>829</v>
      </c>
      <c r="C143" s="1"/>
      <c r="D143" s="42">
        <v>8912</v>
      </c>
      <c r="E143" s="1"/>
      <c r="F143" s="1"/>
      <c r="G143" s="1"/>
      <c r="H143" s="1"/>
      <c r="I143" s="1"/>
      <c r="J143" s="1"/>
      <c r="K143" s="1"/>
      <c r="L143" s="1"/>
      <c r="M143" s="1"/>
    </row>
    <row r="144" ht="15" customHeight="1">
      <c r="A144" s="1"/>
      <c r="B144" s="23" t="s">
        <v>830</v>
      </c>
      <c r="C144" s="1"/>
      <c r="D144" s="42">
        <v>8156</v>
      </c>
      <c r="E144" s="1"/>
      <c r="F144" s="1"/>
      <c r="G144" s="1"/>
      <c r="H144" s="1"/>
      <c r="I144" s="1"/>
      <c r="J144" s="1"/>
      <c r="K144" s="1"/>
      <c r="L144" s="1"/>
      <c r="M144" s="1"/>
    </row>
    <row r="145" ht="23.25" customHeight="1">
      <c r="A145" s="1"/>
      <c r="B145" s="23" t="s">
        <v>831</v>
      </c>
      <c r="C145" s="1"/>
      <c r="D145" s="42">
        <v>2451</v>
      </c>
      <c r="E145" s="1"/>
      <c r="F145" s="1"/>
      <c r="G145" s="1"/>
      <c r="H145" s="1"/>
      <c r="I145" s="1"/>
      <c r="J145" s="1"/>
      <c r="K145" s="1"/>
      <c r="L145" s="1"/>
      <c r="M145" s="1"/>
    </row>
    <row r="146" ht="23.25" customHeight="1">
      <c r="A146" s="1"/>
      <c r="B146" s="23" t="s">
        <v>832</v>
      </c>
      <c r="C146" s="1"/>
      <c r="D146" s="42">
        <v>3585</v>
      </c>
      <c r="E146" s="1"/>
      <c r="F146" s="1"/>
      <c r="G146" s="1"/>
      <c r="H146" s="1"/>
      <c r="I146" s="1"/>
      <c r="J146" s="1"/>
      <c r="K146" s="1"/>
      <c r="L146" s="1"/>
      <c r="M146" s="1"/>
    </row>
    <row r="147" ht="23.25" customHeight="1">
      <c r="A147" s="1"/>
      <c r="B147" s="23" t="s">
        <v>833</v>
      </c>
      <c r="C147" s="1"/>
      <c r="D147" s="42">
        <v>2874</v>
      </c>
      <c r="E147" s="1"/>
      <c r="F147" s="1"/>
      <c r="G147" s="1"/>
      <c r="H147" s="1"/>
      <c r="I147" s="1"/>
      <c r="J147" s="1"/>
      <c r="K147" s="1"/>
      <c r="L147" s="1"/>
      <c r="M147" s="1"/>
    </row>
    <row r="148" ht="23.25" customHeight="1">
      <c r="A148" s="1"/>
      <c r="B148" s="23" t="s">
        <v>834</v>
      </c>
      <c r="C148" s="1"/>
      <c r="D148" s="42">
        <v>2009</v>
      </c>
      <c r="E148" s="1"/>
      <c r="F148" s="1"/>
      <c r="G148" s="1"/>
      <c r="H148" s="1"/>
      <c r="I148" s="1"/>
      <c r="J148" s="1"/>
      <c r="K148" s="1"/>
      <c r="L148" s="1"/>
      <c r="M148" s="1"/>
    </row>
    <row r="149" ht="23.25" customHeight="1">
      <c r="A149" s="1"/>
      <c r="B149" s="23" t="s">
        <v>835</v>
      </c>
      <c r="C149" s="1"/>
      <c r="D149" s="42">
        <v>866</v>
      </c>
      <c r="E149" s="1"/>
      <c r="F149" s="1"/>
      <c r="G149" s="1"/>
      <c r="H149" s="1"/>
      <c r="I149" s="1"/>
      <c r="J149" s="1"/>
      <c r="K149" s="1"/>
      <c r="L149" s="1"/>
      <c r="M149" s="1"/>
    </row>
    <row r="150" ht="23.25" customHeight="1">
      <c r="A150" s="1"/>
      <c r="B150" s="23" t="s">
        <v>836</v>
      </c>
      <c r="C150" s="1"/>
      <c r="D150" s="42">
        <v>7481</v>
      </c>
      <c r="E150" s="1"/>
      <c r="F150" s="1"/>
      <c r="G150" s="1"/>
      <c r="H150" s="1"/>
      <c r="I150" s="1"/>
      <c r="J150" s="1"/>
      <c r="K150" s="1"/>
      <c r="L150" s="1"/>
      <c r="M150" s="1"/>
    </row>
    <row r="151" ht="23.25" customHeight="1">
      <c r="A151" s="1"/>
      <c r="B151" s="23" t="s">
        <v>837</v>
      </c>
      <c r="C151" s="1"/>
      <c r="D151" s="42">
        <v>564</v>
      </c>
      <c r="E151" s="1"/>
      <c r="F151" s="1"/>
      <c r="G151" s="1"/>
      <c r="H151" s="1"/>
      <c r="I151" s="1"/>
      <c r="J151" s="1"/>
      <c r="K151" s="1"/>
      <c r="L151" s="1"/>
      <c r="M151" s="1"/>
    </row>
    <row r="152" ht="23.25" customHeight="1">
      <c r="A152" s="1"/>
      <c r="B152" s="23" t="s">
        <v>838</v>
      </c>
      <c r="C152" s="1"/>
      <c r="D152" s="42">
        <v>111</v>
      </c>
      <c r="E152" s="1"/>
      <c r="F152" s="1"/>
      <c r="G152" s="1"/>
      <c r="H152" s="1"/>
      <c r="I152" s="1"/>
      <c r="J152" s="1"/>
      <c r="K152" s="1"/>
      <c r="L152" s="1"/>
      <c r="M152" s="1"/>
    </row>
    <row r="153" ht="23.25" customHeight="1">
      <c r="A153" s="1"/>
      <c r="B153" s="23" t="s">
        <v>839</v>
      </c>
      <c r="C153" s="1"/>
      <c r="D153" s="42">
        <v>-4670</v>
      </c>
      <c r="E153" s="1"/>
      <c r="F153" s="1"/>
      <c r="G153" s="1"/>
      <c r="H153" s="1"/>
      <c r="I153" s="1"/>
      <c r="J153" s="1"/>
      <c r="K153" s="1"/>
      <c r="L153" s="1"/>
      <c r="M153" s="1"/>
    </row>
    <row r="154" ht="23.25" customHeight="1">
      <c r="A154" s="1"/>
      <c r="B154" s="23" t="s">
        <v>840</v>
      </c>
      <c r="C154" s="1"/>
      <c r="D154" s="42">
        <v>-1358</v>
      </c>
      <c r="E154" s="1"/>
      <c r="F154" s="1"/>
      <c r="G154" s="1"/>
      <c r="H154" s="1"/>
      <c r="I154" s="1"/>
      <c r="J154" s="1"/>
      <c r="K154" s="1"/>
      <c r="L154" s="1"/>
      <c r="M154" s="1"/>
    </row>
    <row r="155" ht="23.25" customHeight="1">
      <c r="A155" s="1"/>
      <c r="B155" s="23" t="s">
        <v>841</v>
      </c>
      <c r="C155" s="1"/>
      <c r="D155" s="42">
        <v>-223</v>
      </c>
      <c r="E155" s="1"/>
      <c r="F155" s="1"/>
      <c r="G155" s="1"/>
      <c r="H155" s="1"/>
      <c r="I155" s="1"/>
      <c r="J155" s="1"/>
      <c r="K155" s="1"/>
      <c r="L155" s="1"/>
      <c r="M155" s="1"/>
    </row>
    <row r="156" ht="15" customHeight="1">
      <c r="A156" s="1"/>
      <c r="B156" s="23" t="s">
        <v>842</v>
      </c>
      <c r="C156" s="1"/>
      <c r="D156" s="42">
        <v>14</v>
      </c>
      <c r="E156" s="1"/>
      <c r="F156" s="1"/>
      <c r="G156" s="1"/>
      <c r="H156" s="1"/>
      <c r="I156" s="1"/>
      <c r="J156" s="1"/>
      <c r="K156" s="1"/>
      <c r="L156" s="1"/>
      <c r="M156" s="1"/>
    </row>
    <row r="157" ht="23.25" customHeight="1">
      <c r="A157" s="1"/>
      <c r="B157" s="23" t="s">
        <v>843</v>
      </c>
      <c r="C157" s="1"/>
      <c r="D157" s="42">
        <v>1919</v>
      </c>
      <c r="E157" s="1"/>
      <c r="F157" s="1"/>
      <c r="G157" s="1"/>
      <c r="H157" s="1"/>
      <c r="I157" s="1"/>
      <c r="J157" s="1"/>
      <c r="K157" s="1"/>
      <c r="L157" s="1"/>
      <c r="M157" s="1"/>
    </row>
    <row r="158" ht="23.25" customHeight="1">
      <c r="A158" s="1"/>
      <c r="B158" s="23" t="s">
        <v>844</v>
      </c>
      <c r="C158" s="1"/>
      <c r="D158" s="42">
        <v>-13</v>
      </c>
      <c r="E158" s="1"/>
      <c r="F158" s="1"/>
      <c r="G158" s="1"/>
      <c r="H158" s="1"/>
      <c r="I158" s="1"/>
      <c r="J158" s="1"/>
      <c r="K158" s="1"/>
      <c r="L158" s="1"/>
      <c r="M158" s="1"/>
    </row>
    <row r="159" ht="23.25" customHeight="1">
      <c r="A159" s="1"/>
      <c r="B159" s="23" t="s">
        <v>845</v>
      </c>
      <c r="C159" s="1"/>
      <c r="D159" s="42">
        <v>1912</v>
      </c>
      <c r="E159" s="1"/>
      <c r="F159" s="1"/>
      <c r="G159" s="1"/>
      <c r="H159" s="1"/>
      <c r="I159" s="1"/>
      <c r="J159" s="1"/>
      <c r="K159" s="1"/>
      <c r="L159" s="1"/>
      <c r="M159" s="1"/>
    </row>
    <row r="160" ht="15" customHeight="1">
      <c r="A160" s="1"/>
      <c r="B160" s="1" t="s">
        <v>846</v>
      </c>
      <c r="C160" s="1"/>
      <c r="D160" s="42">
        <v>4268</v>
      </c>
      <c r="E160" s="1"/>
      <c r="F160" s="1"/>
      <c r="G160" s="1"/>
      <c r="H160" s="1"/>
      <c r="I160" s="1"/>
      <c r="J160" s="1"/>
      <c r="K160" s="1"/>
      <c r="L160" s="1"/>
      <c r="M160" s="1"/>
    </row>
    <row r="161" ht="15" customHeight="1">
      <c r="A161" s="1"/>
      <c r="B161" s="1" t="s">
        <v>847</v>
      </c>
      <c r="C161" s="1"/>
      <c r="D161" s="42">
        <v>3905</v>
      </c>
      <c r="E161" s="1"/>
      <c r="F161" s="1"/>
      <c r="G161" s="1"/>
      <c r="H161" s="1"/>
      <c r="I161" s="1"/>
      <c r="J161" s="1"/>
      <c r="K161" s="1"/>
      <c r="L161" s="1"/>
      <c r="M161" s="1"/>
    </row>
    <row r="162" ht="15" customHeight="1">
      <c r="A162" s="1"/>
      <c r="B162" s="23" t="s">
        <v>848</v>
      </c>
      <c r="C162" s="1"/>
      <c r="D162" s="42">
        <v>1159</v>
      </c>
      <c r="E162" s="1"/>
      <c r="F162" s="1"/>
      <c r="G162" s="1"/>
      <c r="H162" s="1"/>
      <c r="I162" s="1"/>
      <c r="J162" s="1"/>
      <c r="K162" s="1"/>
      <c r="L162" s="1"/>
      <c r="M162" s="1"/>
    </row>
    <row r="163" ht="23.25" customHeight="1">
      <c r="A163" s="1"/>
      <c r="B163" s="23" t="s">
        <v>849</v>
      </c>
      <c r="C163" s="1"/>
      <c r="D163" s="42">
        <v>1314</v>
      </c>
      <c r="E163" s="1"/>
      <c r="F163" s="1"/>
      <c r="G163" s="1"/>
      <c r="H163" s="1"/>
      <c r="I163" s="1"/>
      <c r="J163" s="1"/>
      <c r="K163" s="1"/>
      <c r="L163" s="1"/>
      <c r="M163" s="1"/>
    </row>
    <row r="164" ht="23.25" customHeight="1">
      <c r="A164" s="1"/>
      <c r="B164" s="23" t="s">
        <v>850</v>
      </c>
      <c r="C164" s="1"/>
      <c r="D164" s="42">
        <v>1087</v>
      </c>
      <c r="E164" s="1"/>
      <c r="F164" s="1"/>
      <c r="G164" s="1"/>
      <c r="H164" s="1"/>
      <c r="I164" s="1"/>
      <c r="J164" s="1"/>
      <c r="K164" s="1"/>
      <c r="L164" s="1"/>
      <c r="M164" s="1"/>
    </row>
    <row r="165" ht="23.25" customHeight="1">
      <c r="A165" s="1"/>
      <c r="B165" s="23" t="s">
        <v>851</v>
      </c>
      <c r="C165" s="1"/>
      <c r="D165" s="42">
        <v>1169</v>
      </c>
      <c r="E165" s="1"/>
      <c r="F165" s="1"/>
      <c r="G165" s="1"/>
      <c r="H165" s="1"/>
      <c r="I165" s="1"/>
      <c r="J165" s="1"/>
      <c r="K165" s="1"/>
      <c r="L165" s="1"/>
      <c r="M165" s="1"/>
    </row>
    <row r="166" ht="23.25" customHeight="1">
      <c r="A166" s="1"/>
      <c r="B166" s="23" t="s">
        <v>852</v>
      </c>
      <c r="C166" s="1"/>
      <c r="D166" s="42">
        <v>534</v>
      </c>
      <c r="E166" s="1"/>
      <c r="F166" s="1"/>
      <c r="G166" s="1"/>
      <c r="H166" s="1"/>
      <c r="I166" s="1"/>
      <c r="J166" s="1"/>
      <c r="K166" s="1"/>
      <c r="L166" s="1"/>
      <c r="M166" s="1"/>
    </row>
    <row r="167" ht="15" customHeight="1">
      <c r="A167" s="1"/>
      <c r="B167" s="23" t="s">
        <v>853</v>
      </c>
      <c r="C167" s="1"/>
      <c r="D167" s="42">
        <v>3095</v>
      </c>
      <c r="E167" s="1"/>
      <c r="F167" s="1"/>
      <c r="G167" s="1"/>
      <c r="H167" s="1"/>
      <c r="I167" s="1"/>
      <c r="J167" s="1"/>
      <c r="K167" s="1"/>
      <c r="L167" s="1"/>
      <c r="M167" s="1"/>
    </row>
    <row r="168" ht="23.25" customHeight="1">
      <c r="A168" s="1"/>
      <c r="B168" s="23" t="s">
        <v>854</v>
      </c>
      <c r="C168" s="1"/>
      <c r="D168" s="42">
        <v>547</v>
      </c>
      <c r="E168" s="1"/>
      <c r="F168" s="1"/>
      <c r="G168" s="1"/>
      <c r="H168" s="1"/>
      <c r="I168" s="1"/>
      <c r="J168" s="1"/>
      <c r="K168" s="1"/>
      <c r="L168" s="1"/>
      <c r="M168" s="1"/>
    </row>
    <row r="169" ht="15" customHeight="1">
      <c r="A169" s="1"/>
      <c r="B169" s="23" t="s">
        <v>855</v>
      </c>
      <c r="C169" s="1"/>
      <c r="D169" s="42">
        <v>263</v>
      </c>
      <c r="E169" s="1"/>
      <c r="F169" s="1"/>
      <c r="G169" s="1"/>
      <c r="H169" s="1"/>
      <c r="I169" s="1"/>
      <c r="J169" s="1"/>
      <c r="K169" s="1"/>
      <c r="L169" s="1"/>
      <c r="M169" s="1"/>
    </row>
    <row r="170" ht="15" customHeight="1">
      <c r="A170" s="1"/>
      <c r="B170" s="23" t="s">
        <v>856</v>
      </c>
      <c r="C170" s="1"/>
      <c r="D170" s="42">
        <v>-2376</v>
      </c>
      <c r="E170" s="1"/>
      <c r="F170" s="1"/>
      <c r="G170" s="1"/>
      <c r="H170" s="1"/>
      <c r="I170" s="1"/>
      <c r="J170" s="1"/>
      <c r="K170" s="1"/>
      <c r="L170" s="1"/>
      <c r="M170" s="1"/>
    </row>
    <row r="171" ht="15" customHeight="1">
      <c r="A171" s="1"/>
      <c r="B171" s="23" t="s">
        <v>857</v>
      </c>
      <c r="C171" s="1"/>
      <c r="D171" s="42">
        <v>-603</v>
      </c>
      <c r="E171" s="1"/>
      <c r="F171" s="1"/>
      <c r="G171" s="1"/>
      <c r="H171" s="1"/>
      <c r="I171" s="1"/>
      <c r="J171" s="1"/>
      <c r="K171" s="1"/>
      <c r="L171" s="1"/>
      <c r="M171" s="1"/>
    </row>
    <row r="172" ht="23.25" customHeight="1">
      <c r="A172" s="1"/>
      <c r="B172" s="23" t="s">
        <v>858</v>
      </c>
      <c r="C172" s="1"/>
      <c r="D172" s="42">
        <v>-151</v>
      </c>
      <c r="E172" s="1"/>
      <c r="F172" s="1"/>
      <c r="G172" s="1"/>
      <c r="H172" s="1"/>
      <c r="I172" s="1"/>
      <c r="J172" s="1"/>
      <c r="K172" s="1"/>
      <c r="L172" s="1"/>
      <c r="M172" s="1"/>
    </row>
    <row r="173" ht="15" customHeight="1">
      <c r="A173" s="1"/>
      <c r="B173" s="1" t="s">
        <v>859</v>
      </c>
      <c r="C173" s="1"/>
      <c r="D173" s="42">
        <v>-8</v>
      </c>
      <c r="E173" s="1"/>
      <c r="F173" s="1"/>
      <c r="G173" s="1"/>
      <c r="H173" s="1"/>
      <c r="I173" s="1"/>
      <c r="J173" s="1"/>
      <c r="K173" s="1"/>
      <c r="L173" s="1"/>
      <c r="M173" s="1"/>
    </row>
    <row r="174" ht="15" customHeight="1">
      <c r="A174" s="1"/>
      <c r="B174" s="23" t="s">
        <v>860</v>
      </c>
      <c r="C174" s="1"/>
      <c r="D174" s="42">
        <v>767</v>
      </c>
      <c r="E174" s="1"/>
      <c r="F174" s="1"/>
      <c r="G174" s="1"/>
      <c r="H174" s="1"/>
      <c r="I174" s="1"/>
      <c r="J174" s="1"/>
      <c r="K174" s="1"/>
      <c r="L174" s="1"/>
      <c r="M174" s="1"/>
    </row>
    <row r="175" ht="15" customHeight="1">
      <c r="A175" s="1"/>
      <c r="B175" s="23" t="s">
        <v>861</v>
      </c>
      <c r="C175" s="1"/>
      <c r="D175" s="42">
        <v>-11</v>
      </c>
      <c r="E175" s="1"/>
      <c r="F175" s="1"/>
      <c r="G175" s="1"/>
      <c r="H175" s="1"/>
      <c r="I175" s="1"/>
      <c r="J175" s="1"/>
      <c r="K175" s="1"/>
      <c r="L175" s="1"/>
      <c r="M175" s="1"/>
    </row>
    <row r="176" ht="15" customHeight="1">
      <c r="A176" s="1"/>
      <c r="B176" s="23" t="s">
        <v>862</v>
      </c>
      <c r="C176" s="1"/>
      <c r="D176" s="42">
        <v>754</v>
      </c>
      <c r="E176" s="1"/>
      <c r="F176" s="1"/>
      <c r="G176" s="1"/>
      <c r="H176" s="1"/>
      <c r="I176" s="1"/>
      <c r="J176" s="1"/>
      <c r="K176" s="1"/>
      <c r="L176" s="1"/>
      <c r="M176" s="1"/>
    </row>
    <row r="177" ht="15" customHeight="1">
      <c r="A177" s="1"/>
      <c r="B177" s="23" t="s">
        <v>863</v>
      </c>
      <c r="C177" s="1"/>
      <c r="D177" s="42">
        <v>5011</v>
      </c>
      <c r="E177" s="1"/>
      <c r="F177" s="1"/>
      <c r="G177" s="1"/>
      <c r="H177" s="1"/>
      <c r="I177" s="1"/>
      <c r="J177" s="1"/>
      <c r="K177" s="1"/>
      <c r="L177" s="1"/>
      <c r="M177" s="1"/>
    </row>
    <row r="178" ht="15" customHeight="1">
      <c r="A178" s="1"/>
      <c r="B178" s="23" t="s">
        <v>864</v>
      </c>
      <c r="C178" s="1"/>
      <c r="D178" s="42">
        <v>3828</v>
      </c>
      <c r="E178" s="1"/>
      <c r="F178" s="1"/>
      <c r="G178" s="1"/>
      <c r="H178" s="1"/>
      <c r="I178" s="1"/>
      <c r="J178" s="1"/>
      <c r="K178" s="1"/>
      <c r="L178" s="1"/>
      <c r="M178" s="1"/>
    </row>
    <row r="179" ht="23.25" customHeight="1">
      <c r="A179" s="1"/>
      <c r="B179" s="23" t="s">
        <v>865</v>
      </c>
      <c r="C179" s="1"/>
      <c r="D179" s="42">
        <v>1648</v>
      </c>
      <c r="E179" s="1"/>
      <c r="F179" s="1"/>
      <c r="G179" s="1"/>
      <c r="H179" s="1"/>
      <c r="I179" s="1"/>
      <c r="J179" s="1"/>
      <c r="K179" s="1"/>
      <c r="L179" s="1"/>
      <c r="M179" s="1"/>
    </row>
    <row r="180" ht="23.25" customHeight="1">
      <c r="A180" s="1"/>
      <c r="B180" s="23" t="s">
        <v>866</v>
      </c>
      <c r="C180" s="1"/>
      <c r="D180" s="42">
        <v>984</v>
      </c>
      <c r="E180" s="1"/>
      <c r="F180" s="1"/>
      <c r="G180" s="1"/>
      <c r="H180" s="1"/>
      <c r="I180" s="1"/>
      <c r="J180" s="1"/>
      <c r="K180" s="1"/>
      <c r="L180" s="1"/>
      <c r="M180" s="1"/>
    </row>
    <row r="181" ht="23.25" customHeight="1">
      <c r="A181" s="1"/>
      <c r="B181" s="23" t="s">
        <v>867</v>
      </c>
      <c r="C181" s="1"/>
      <c r="D181" s="42">
        <v>637</v>
      </c>
      <c r="E181" s="1"/>
      <c r="F181" s="1"/>
      <c r="G181" s="1"/>
      <c r="H181" s="1"/>
      <c r="I181" s="1"/>
      <c r="J181" s="1"/>
      <c r="K181" s="1"/>
      <c r="L181" s="1"/>
      <c r="M181" s="1"/>
    </row>
    <row r="182" ht="23.25" customHeight="1">
      <c r="A182" s="1"/>
      <c r="B182" s="23" t="s">
        <v>868</v>
      </c>
      <c r="C182" s="1"/>
      <c r="D182" s="42">
        <v>1176</v>
      </c>
      <c r="E182" s="1"/>
      <c r="F182" s="1"/>
      <c r="G182" s="1"/>
      <c r="H182" s="1"/>
      <c r="I182" s="1"/>
      <c r="J182" s="1"/>
      <c r="K182" s="1"/>
      <c r="L182" s="1"/>
      <c r="M182" s="1"/>
    </row>
    <row r="183" ht="23.25" customHeight="1">
      <c r="A183" s="1"/>
      <c r="B183" s="23" t="s">
        <v>869</v>
      </c>
      <c r="C183" s="1"/>
      <c r="D183" s="42">
        <v>339</v>
      </c>
      <c r="E183" s="1"/>
      <c r="F183" s="1"/>
      <c r="G183" s="1"/>
      <c r="H183" s="1"/>
      <c r="I183" s="1"/>
      <c r="J183" s="1"/>
      <c r="K183" s="1"/>
      <c r="L183" s="1"/>
      <c r="M183" s="1"/>
    </row>
    <row r="184" ht="23.25" customHeight="1">
      <c r="A184" s="1"/>
      <c r="B184" s="23" t="s">
        <v>870</v>
      </c>
      <c r="C184" s="1"/>
      <c r="D184" s="42">
        <v>2348</v>
      </c>
      <c r="E184" s="1"/>
      <c r="F184" s="1"/>
      <c r="G184" s="1"/>
      <c r="H184" s="1"/>
      <c r="I184" s="1"/>
      <c r="J184" s="1"/>
      <c r="K184" s="1"/>
      <c r="L184" s="1"/>
      <c r="M184" s="1"/>
    </row>
    <row r="185" ht="23.25" customHeight="1">
      <c r="A185" s="1"/>
      <c r="B185" s="23" t="s">
        <v>871</v>
      </c>
      <c r="C185" s="1"/>
      <c r="D185" s="42">
        <v>1460</v>
      </c>
      <c r="E185" s="1"/>
      <c r="F185" s="1"/>
      <c r="G185" s="1"/>
      <c r="H185" s="1"/>
      <c r="I185" s="1"/>
      <c r="J185" s="1"/>
      <c r="K185" s="1"/>
      <c r="L185" s="1"/>
      <c r="M185" s="1"/>
    </row>
    <row r="186" ht="15" customHeight="1">
      <c r="A186" s="1"/>
      <c r="B186" s="23" t="s">
        <v>872</v>
      </c>
      <c r="C186" s="1"/>
      <c r="D186" s="42">
        <v>20</v>
      </c>
      <c r="E186" s="1"/>
      <c r="F186" s="1"/>
      <c r="G186" s="1"/>
      <c r="H186" s="1"/>
      <c r="I186" s="1"/>
      <c r="J186" s="1"/>
      <c r="K186" s="1"/>
      <c r="L186" s="1"/>
      <c r="M186" s="1"/>
    </row>
    <row r="187" ht="15" customHeight="1">
      <c r="A187" s="1"/>
      <c r="B187" s="23" t="s">
        <v>873</v>
      </c>
      <c r="C187" s="1"/>
      <c r="D187" s="42">
        <v>-2328</v>
      </c>
      <c r="E187" s="1"/>
      <c r="F187" s="1"/>
      <c r="G187" s="1"/>
      <c r="H187" s="1"/>
      <c r="I187" s="1"/>
      <c r="J187" s="1"/>
      <c r="K187" s="1"/>
      <c r="L187" s="1"/>
      <c r="M187" s="1"/>
    </row>
    <row r="188" ht="23.25" customHeight="1">
      <c r="A188" s="1"/>
      <c r="B188" s="23" t="s">
        <v>874</v>
      </c>
      <c r="C188" s="1"/>
      <c r="D188" s="42">
        <v>-757</v>
      </c>
      <c r="E188" s="1"/>
      <c r="F188" s="1"/>
      <c r="G188" s="1"/>
      <c r="H188" s="1"/>
      <c r="I188" s="1"/>
      <c r="J188" s="1"/>
      <c r="K188" s="1"/>
      <c r="L188" s="1"/>
      <c r="M188" s="1"/>
    </row>
    <row r="189" ht="23.25" customHeight="1">
      <c r="A189" s="1"/>
      <c r="B189" s="23" t="s">
        <v>875</v>
      </c>
      <c r="C189" s="1"/>
      <c r="D189" s="42">
        <v>-197</v>
      </c>
      <c r="E189" s="1"/>
      <c r="F189" s="1"/>
      <c r="G189" s="1"/>
      <c r="H189" s="1"/>
      <c r="I189" s="1"/>
      <c r="J189" s="1"/>
      <c r="K189" s="1"/>
      <c r="L189" s="1"/>
      <c r="M189" s="1"/>
    </row>
    <row r="190" ht="15" customHeight="1">
      <c r="A190" s="1"/>
      <c r="B190" s="23" t="s">
        <v>876</v>
      </c>
      <c r="C190" s="1"/>
      <c r="D190" s="42">
        <v>-3</v>
      </c>
      <c r="E190" s="1"/>
      <c r="F190" s="1"/>
      <c r="G190" s="1"/>
      <c r="H190" s="1"/>
      <c r="I190" s="1"/>
      <c r="J190" s="1"/>
      <c r="K190" s="1"/>
      <c r="L190" s="1"/>
      <c r="M190" s="1"/>
    </row>
    <row r="191" ht="23.25" customHeight="1">
      <c r="A191" s="1"/>
      <c r="B191" s="23" t="s">
        <v>877</v>
      </c>
      <c r="C191" s="1"/>
      <c r="D191" s="42">
        <v>543</v>
      </c>
      <c r="E191" s="1"/>
      <c r="F191" s="1"/>
      <c r="G191" s="1"/>
      <c r="H191" s="1"/>
      <c r="I191" s="1"/>
      <c r="J191" s="1"/>
      <c r="K191" s="1"/>
      <c r="L191" s="1"/>
      <c r="M191" s="1"/>
    </row>
    <row r="192" ht="23.25" customHeight="1">
      <c r="A192" s="1"/>
      <c r="B192" s="23" t="s">
        <v>878</v>
      </c>
      <c r="C192" s="1"/>
      <c r="D192" s="42">
        <v>1</v>
      </c>
      <c r="E192" s="1"/>
      <c r="F192" s="1"/>
      <c r="G192" s="1"/>
      <c r="H192" s="1"/>
      <c r="I192" s="1"/>
      <c r="J192" s="1"/>
      <c r="K192" s="1"/>
      <c r="L192" s="1"/>
      <c r="M192" s="1"/>
    </row>
    <row r="193" ht="15" customHeight="1">
      <c r="A193" s="1"/>
      <c r="B193" s="23" t="s">
        <v>879</v>
      </c>
      <c r="C193" s="1"/>
      <c r="D193" s="42">
        <v>521</v>
      </c>
      <c r="E193" s="1"/>
      <c r="F193" s="1"/>
      <c r="G193" s="1"/>
      <c r="H193" s="1"/>
      <c r="I193" s="1"/>
      <c r="J193" s="1"/>
      <c r="K193" s="1"/>
      <c r="L193" s="1"/>
      <c r="M193" s="1"/>
    </row>
    <row r="194" ht="15" customHeight="1">
      <c r="A194" s="1"/>
      <c r="B194" s="23" t="s">
        <v>880</v>
      </c>
      <c r="C194" s="1"/>
      <c r="D194" s="42">
        <v>13065</v>
      </c>
      <c r="E194" s="1"/>
      <c r="F194" s="1"/>
      <c r="G194" s="1"/>
      <c r="H194" s="1"/>
      <c r="I194" s="1"/>
      <c r="J194" s="1"/>
      <c r="K194" s="1"/>
      <c r="L194" s="1"/>
      <c r="M194" s="1"/>
    </row>
    <row r="195" ht="15" customHeight="1">
      <c r="A195" s="1"/>
      <c r="B195" s="23" t="s">
        <v>881</v>
      </c>
      <c r="C195" s="1"/>
      <c r="D195" s="42">
        <v>2612</v>
      </c>
      <c r="E195" s="1"/>
      <c r="F195" s="1"/>
      <c r="G195" s="1"/>
      <c r="H195" s="1"/>
      <c r="I195" s="1"/>
      <c r="J195" s="1"/>
      <c r="K195" s="1"/>
      <c r="L195" s="1"/>
      <c r="M195" s="1"/>
    </row>
    <row r="196" ht="15" customHeight="1">
      <c r="A196" s="1"/>
      <c r="B196" s="23" t="s">
        <v>882</v>
      </c>
      <c r="C196" s="1"/>
      <c r="D196" s="42">
        <v>-7773</v>
      </c>
      <c r="E196" s="1"/>
      <c r="F196" s="1"/>
      <c r="G196" s="1"/>
      <c r="H196" s="1"/>
      <c r="I196" s="1"/>
      <c r="J196" s="1"/>
      <c r="K196" s="1"/>
      <c r="L196" s="1"/>
      <c r="M196" s="1"/>
    </row>
    <row r="197" ht="15" customHeight="1">
      <c r="A197" s="1"/>
      <c r="B197" s="23" t="s">
        <v>883</v>
      </c>
      <c r="C197" s="1"/>
      <c r="D197" s="42">
        <v>-1420</v>
      </c>
      <c r="E197" s="1"/>
      <c r="F197" s="1"/>
      <c r="G197" s="1"/>
      <c r="H197" s="1"/>
      <c r="I197" s="1"/>
      <c r="J197" s="1"/>
      <c r="K197" s="1"/>
      <c r="L197" s="1"/>
      <c r="M197" s="1"/>
    </row>
    <row r="198" ht="23.25" customHeight="1">
      <c r="A198" s="1"/>
      <c r="B198" s="23" t="s">
        <v>884</v>
      </c>
      <c r="C198" s="1"/>
      <c r="D198" s="42">
        <v>-3205</v>
      </c>
      <c r="E198" s="1"/>
      <c r="F198" s="1"/>
      <c r="G198" s="1"/>
      <c r="H198" s="1"/>
      <c r="I198" s="1"/>
      <c r="J198" s="1"/>
      <c r="K198" s="1"/>
      <c r="L198" s="1"/>
      <c r="M198" s="1"/>
    </row>
    <row r="199" ht="23.25" customHeight="1">
      <c r="A199" s="1"/>
      <c r="B199" s="23" t="s">
        <v>885</v>
      </c>
      <c r="C199" s="1"/>
      <c r="D199" s="42">
        <v>-623</v>
      </c>
      <c r="E199" s="1"/>
      <c r="F199" s="1"/>
      <c r="G199" s="1"/>
      <c r="H199" s="1"/>
      <c r="I199" s="1"/>
      <c r="J199" s="1"/>
      <c r="K199" s="1"/>
      <c r="L199" s="1"/>
      <c r="M199" s="1"/>
    </row>
    <row r="200" ht="15" customHeight="1">
      <c r="A200" s="1"/>
      <c r="B200" s="23" t="s">
        <v>886</v>
      </c>
      <c r="C200" s="1"/>
      <c r="D200" s="42">
        <v>284</v>
      </c>
      <c r="E200" s="1"/>
      <c r="F200" s="1"/>
      <c r="G200" s="1"/>
      <c r="H200" s="1"/>
      <c r="I200" s="1"/>
      <c r="J200" s="1"/>
      <c r="K200" s="1"/>
      <c r="L200" s="1"/>
      <c r="M200" s="1"/>
    </row>
    <row r="201" ht="15" customHeight="1">
      <c r="A201" s="1"/>
      <c r="B201" s="23" t="s">
        <v>887</v>
      </c>
      <c r="C201" s="1"/>
      <c r="D201" s="42">
        <v>95</v>
      </c>
      <c r="E201" s="1"/>
      <c r="F201" s="1"/>
      <c r="G201" s="1"/>
      <c r="H201" s="1"/>
      <c r="I201" s="1"/>
      <c r="J201" s="1"/>
      <c r="K201" s="1"/>
      <c r="L201" s="1"/>
      <c r="M201" s="1"/>
    </row>
    <row r="202" ht="23.25" customHeight="1">
      <c r="A202" s="1"/>
      <c r="B202" s="23" t="s">
        <v>888</v>
      </c>
      <c r="C202" s="1"/>
      <c r="D202" s="42">
        <v>-49</v>
      </c>
      <c r="E202" s="1"/>
      <c r="F202" s="1"/>
      <c r="G202" s="1"/>
      <c r="H202" s="1"/>
      <c r="I202" s="1"/>
      <c r="J202" s="1"/>
      <c r="K202" s="1"/>
      <c r="L202" s="1"/>
      <c r="M202" s="1"/>
    </row>
    <row r="203" ht="23.25" customHeight="1">
      <c r="A203" s="1"/>
      <c r="B203" s="23" t="s">
        <v>889</v>
      </c>
      <c r="C203" s="1"/>
      <c r="D203" s="42">
        <v>30</v>
      </c>
      <c r="E203" s="1"/>
      <c r="F203" s="1"/>
      <c r="G203" s="1"/>
      <c r="H203" s="1"/>
      <c r="I203" s="1"/>
      <c r="J203" s="1"/>
      <c r="K203" s="1"/>
      <c r="L203" s="1"/>
      <c r="M203" s="1"/>
    </row>
    <row r="204" ht="15" customHeight="1">
      <c r="A204" s="1"/>
      <c r="B204" s="23" t="s">
        <v>890</v>
      </c>
      <c r="C204" s="1"/>
      <c r="D204" s="42">
        <v>-848</v>
      </c>
      <c r="E204" s="1"/>
      <c r="F204" s="1"/>
      <c r="G204" s="1"/>
      <c r="H204" s="1"/>
      <c r="I204" s="1"/>
      <c r="J204" s="1"/>
      <c r="K204" s="1"/>
      <c r="L204" s="1"/>
      <c r="M204" s="1"/>
    </row>
    <row r="205" ht="23.25" customHeight="1">
      <c r="A205" s="1"/>
      <c r="B205" s="23" t="s">
        <v>891</v>
      </c>
      <c r="C205" s="1"/>
      <c r="D205" s="42">
        <v>131</v>
      </c>
      <c r="E205" s="1"/>
      <c r="F205" s="1"/>
      <c r="G205" s="1"/>
      <c r="H205" s="1"/>
      <c r="I205" s="1"/>
      <c r="J205" s="1"/>
      <c r="K205" s="1"/>
      <c r="L205" s="1"/>
      <c r="M205" s="1"/>
    </row>
    <row r="206" ht="23.25" customHeight="1">
      <c r="A206" s="1"/>
      <c r="B206" s="23" t="s">
        <v>892</v>
      </c>
      <c r="C206" s="1"/>
      <c r="D206" s="42">
        <v>-46</v>
      </c>
      <c r="E206" s="1"/>
      <c r="F206" s="1"/>
      <c r="G206" s="1"/>
      <c r="H206" s="1"/>
      <c r="I206" s="1"/>
      <c r="J206" s="1"/>
      <c r="K206" s="1"/>
      <c r="L206" s="1"/>
      <c r="M206" s="1"/>
    </row>
    <row r="207" ht="23.25" customHeight="1">
      <c r="A207" s="1"/>
      <c r="B207" s="23" t="s">
        <v>893</v>
      </c>
      <c r="C207" s="1"/>
      <c r="D207" s="42">
        <v>2122</v>
      </c>
      <c r="E207" s="1"/>
      <c r="F207" s="1"/>
      <c r="G207" s="1"/>
      <c r="H207" s="1"/>
      <c r="I207" s="1"/>
      <c r="J207" s="1"/>
      <c r="K207" s="1"/>
      <c r="L207" s="1"/>
      <c r="M207" s="1"/>
    </row>
    <row r="208" ht="23.25" customHeight="1">
      <c r="A208" s="1"/>
      <c r="B208" s="23" t="s">
        <v>894</v>
      </c>
      <c r="C208" s="1"/>
      <c r="D208" s="42">
        <v>-89</v>
      </c>
      <c r="E208" s="1"/>
      <c r="F208" s="1"/>
      <c r="G208" s="1"/>
      <c r="H208" s="1"/>
      <c r="I208" s="1"/>
      <c r="J208" s="1"/>
      <c r="K208" s="1"/>
      <c r="L208" s="1"/>
      <c r="M208" s="1"/>
    </row>
    <row r="209" ht="23.25" customHeight="1">
      <c r="A209" s="1"/>
      <c r="B209" s="23" t="s">
        <v>895</v>
      </c>
      <c r="C209" s="1"/>
      <c r="D209" s="42">
        <v>-62</v>
      </c>
      <c r="E209" s="1"/>
      <c r="F209" s="1"/>
      <c r="G209" s="1"/>
      <c r="H209" s="1"/>
      <c r="I209" s="1"/>
      <c r="J209" s="1"/>
      <c r="K209" s="1"/>
      <c r="L209" s="1"/>
      <c r="M209" s="1"/>
    </row>
    <row r="210" ht="23.25" customHeight="1">
      <c r="A210" s="1"/>
      <c r="B210" s="23" t="s">
        <v>896</v>
      </c>
      <c r="C210" s="1"/>
      <c r="D210" s="42">
        <v>15</v>
      </c>
      <c r="E210" s="1"/>
      <c r="F210" s="1"/>
      <c r="G210" s="1"/>
      <c r="H210" s="1"/>
      <c r="I210" s="1"/>
      <c r="J210" s="1"/>
      <c r="K210" s="1"/>
      <c r="L210" s="1"/>
      <c r="M210" s="1"/>
    </row>
    <row r="211" ht="15" customHeight="1">
      <c r="A211" s="1"/>
      <c r="B211" s="23" t="s">
        <v>897</v>
      </c>
      <c r="C211" s="1"/>
      <c r="D211" s="42">
        <v>3093</v>
      </c>
      <c r="E211" s="1"/>
      <c r="F211" s="1"/>
      <c r="G211" s="1"/>
      <c r="H211" s="1"/>
      <c r="I211" s="1"/>
      <c r="J211" s="1"/>
      <c r="K211" s="1"/>
      <c r="L211" s="1"/>
      <c r="M211" s="1"/>
    </row>
    <row r="212" ht="23.25" customHeight="1">
      <c r="A212" s="1"/>
      <c r="B212" s="23" t="s">
        <v>898</v>
      </c>
      <c r="C212" s="1"/>
      <c r="D212" s="42">
        <v>-24</v>
      </c>
      <c r="E212" s="1"/>
      <c r="F212" s="1"/>
      <c r="G212" s="1"/>
      <c r="H212" s="1"/>
      <c r="I212" s="1"/>
      <c r="J212" s="1"/>
      <c r="K212" s="1"/>
      <c r="L212" s="1"/>
      <c r="M212" s="1"/>
    </row>
    <row r="213" ht="23.25" customHeight="1">
      <c r="A213" s="1"/>
      <c r="B213" s="23" t="s">
        <v>899</v>
      </c>
      <c r="C213" s="1"/>
      <c r="D213" s="42">
        <v>91</v>
      </c>
      <c r="E213" s="1"/>
      <c r="F213" s="1"/>
      <c r="G213" s="1"/>
      <c r="H213" s="1"/>
      <c r="I213" s="1"/>
      <c r="J213" s="1"/>
      <c r="K213" s="1"/>
      <c r="L213" s="1"/>
      <c r="M213" s="1"/>
    </row>
    <row r="214" ht="23.25" customHeight="1">
      <c r="A214" s="1"/>
      <c r="B214" s="23" t="s">
        <v>900</v>
      </c>
      <c r="C214" s="1"/>
      <c r="D214" s="42">
        <v>20</v>
      </c>
      <c r="E214" s="1"/>
      <c r="F214" s="1"/>
      <c r="G214" s="1"/>
      <c r="H214" s="1"/>
      <c r="I214" s="1"/>
      <c r="J214" s="1"/>
      <c r="K214" s="1"/>
      <c r="L214" s="1"/>
      <c r="M214" s="1"/>
    </row>
    <row r="215" ht="23.25" customHeight="1">
      <c r="A215" s="1"/>
      <c r="B215" s="23" t="s">
        <v>901</v>
      </c>
      <c r="C215" s="1"/>
      <c r="D215" s="42">
        <v>-3</v>
      </c>
      <c r="E215" s="1"/>
      <c r="F215" s="1"/>
      <c r="G215" s="1"/>
      <c r="H215" s="1"/>
      <c r="I215" s="1"/>
      <c r="J215" s="1"/>
      <c r="K215" s="1"/>
      <c r="L215" s="1"/>
      <c r="M215" s="1"/>
    </row>
    <row r="216" ht="23.25" customHeight="1">
      <c r="A216" s="1"/>
      <c r="B216" s="23" t="s">
        <v>902</v>
      </c>
      <c r="C216" s="1"/>
      <c r="D216" s="42">
        <v>-12</v>
      </c>
      <c r="E216" s="1"/>
      <c r="F216" s="1"/>
      <c r="G216" s="1"/>
      <c r="H216" s="1"/>
      <c r="I216" s="1"/>
      <c r="J216" s="1"/>
      <c r="K216" s="1"/>
      <c r="L216" s="1"/>
      <c r="M216" s="1"/>
    </row>
    <row r="217" ht="32.25" customHeight="1">
      <c r="A217" s="1"/>
      <c r="B217" s="23" t="s">
        <v>903</v>
      </c>
      <c r="C217" s="1"/>
      <c r="D217" s="42">
        <v>27</v>
      </c>
      <c r="E217" s="1"/>
      <c r="F217" s="1"/>
      <c r="G217" s="1"/>
      <c r="H217" s="1"/>
      <c r="I217" s="1"/>
      <c r="J217" s="1"/>
      <c r="K217" s="1"/>
      <c r="L217" s="1"/>
      <c r="M217" s="1"/>
    </row>
    <row r="218" ht="15" customHeight="1">
      <c r="A218" s="1"/>
      <c r="B218" s="23" t="s">
        <v>904</v>
      </c>
      <c r="C218" s="1"/>
      <c r="D218" s="42">
        <v>92</v>
      </c>
      <c r="E218" s="1"/>
      <c r="F218" s="1"/>
      <c r="G218" s="1"/>
      <c r="H218" s="1"/>
      <c r="I218" s="1"/>
      <c r="J218" s="1"/>
      <c r="K218" s="1"/>
      <c r="L218" s="1"/>
      <c r="M218" s="1"/>
    </row>
    <row r="219" ht="23.25" customHeight="1">
      <c r="A219" s="1"/>
      <c r="B219" s="23" t="s">
        <v>905</v>
      </c>
      <c r="C219" s="1"/>
      <c r="D219" s="42">
        <v>-34</v>
      </c>
      <c r="E219" s="1"/>
      <c r="F219" s="1"/>
      <c r="G219" s="1"/>
      <c r="H219" s="1"/>
      <c r="I219" s="1"/>
      <c r="J219" s="1"/>
      <c r="K219" s="1"/>
      <c r="L219" s="1"/>
      <c r="M219" s="1"/>
    </row>
    <row r="220" ht="23.25" customHeight="1">
      <c r="A220" s="1"/>
      <c r="B220" s="23" t="s">
        <v>906</v>
      </c>
      <c r="C220" s="1"/>
      <c r="D220" s="42">
        <v>-28</v>
      </c>
      <c r="E220" s="1"/>
      <c r="F220" s="1"/>
      <c r="G220" s="1"/>
      <c r="H220" s="1"/>
      <c r="I220" s="1"/>
      <c r="J220" s="1"/>
      <c r="K220" s="1"/>
      <c r="L220" s="1"/>
      <c r="M220" s="1"/>
    </row>
    <row r="221" ht="15" customHeight="1">
      <c r="A221" s="1"/>
      <c r="B221" s="1" t="s">
        <v>907</v>
      </c>
      <c r="C221" s="1"/>
      <c r="D221" s="42">
        <v>2299</v>
      </c>
      <c r="E221" s="1"/>
      <c r="F221" s="1"/>
      <c r="G221" s="1"/>
      <c r="H221" s="1"/>
      <c r="I221" s="1"/>
      <c r="J221" s="1"/>
      <c r="K221" s="1"/>
      <c r="L221" s="1"/>
      <c r="M221" s="1"/>
    </row>
    <row r="222" ht="23.25" customHeight="1">
      <c r="A222" s="1"/>
      <c r="B222" s="23" t="s">
        <v>908</v>
      </c>
      <c r="C222" s="1"/>
      <c r="D222" s="42">
        <v>-131</v>
      </c>
      <c r="E222" s="1"/>
      <c r="F222" s="1"/>
      <c r="G222" s="1"/>
      <c r="H222" s="1"/>
      <c r="I222" s="1"/>
      <c r="J222" s="1"/>
      <c r="K222" s="1"/>
      <c r="L222" s="1"/>
      <c r="M222" s="1"/>
    </row>
    <row r="223" ht="23.25" customHeight="1">
      <c r="A223" s="1"/>
      <c r="B223" s="23" t="s">
        <v>909</v>
      </c>
      <c r="C223" s="1"/>
      <c r="D223" s="42">
        <v>388</v>
      </c>
      <c r="E223" s="1"/>
      <c r="F223" s="1"/>
      <c r="G223" s="1"/>
      <c r="H223" s="1"/>
      <c r="I223" s="1"/>
      <c r="J223" s="1"/>
      <c r="K223" s="1"/>
      <c r="L223" s="1"/>
      <c r="M223" s="1"/>
    </row>
    <row r="224" ht="23.25" customHeight="1">
      <c r="A224" s="1"/>
      <c r="B224" s="23" t="s">
        <v>910</v>
      </c>
      <c r="C224" s="1"/>
      <c r="D224" s="42">
        <v>-40</v>
      </c>
      <c r="E224" s="1"/>
      <c r="F224" s="1"/>
      <c r="G224" s="1"/>
      <c r="H224" s="1"/>
      <c r="I224" s="1"/>
      <c r="J224" s="1"/>
      <c r="K224" s="1"/>
      <c r="L224" s="1"/>
      <c r="M224" s="1"/>
    </row>
    <row r="225" ht="23.25" customHeight="1">
      <c r="A225" s="1"/>
      <c r="B225" s="23" t="s">
        <v>911</v>
      </c>
      <c r="C225" s="1"/>
      <c r="D225" s="42">
        <v>-40</v>
      </c>
      <c r="E225" s="1"/>
      <c r="F225" s="1"/>
      <c r="G225" s="1"/>
      <c r="H225" s="1"/>
      <c r="I225" s="1"/>
      <c r="J225" s="1"/>
      <c r="K225" s="1"/>
      <c r="L225" s="1"/>
      <c r="M225" s="1"/>
    </row>
    <row r="226" ht="15" customHeight="1">
      <c r="A226" s="1"/>
      <c r="B226" s="23" t="s">
        <v>912</v>
      </c>
      <c r="C226" s="1"/>
      <c r="D226" s="42">
        <v>102</v>
      </c>
      <c r="E226" s="1"/>
      <c r="F226" s="1"/>
      <c r="G226" s="1"/>
      <c r="H226" s="1"/>
      <c r="I226" s="1"/>
      <c r="J226" s="1"/>
      <c r="K226" s="1"/>
      <c r="L226" s="1"/>
      <c r="M226" s="1"/>
    </row>
    <row r="227" ht="23.25" customHeight="1">
      <c r="A227" s="1"/>
      <c r="B227" s="23" t="s">
        <v>913</v>
      </c>
      <c r="C227" s="1"/>
      <c r="D227" s="42">
        <v>-86</v>
      </c>
      <c r="E227" s="1"/>
      <c r="F227" s="1"/>
      <c r="G227" s="1"/>
      <c r="H227" s="1"/>
      <c r="I227" s="1"/>
      <c r="J227" s="1"/>
      <c r="K227" s="1"/>
      <c r="L227" s="1"/>
      <c r="M227" s="1"/>
    </row>
    <row r="228" ht="23.25" customHeight="1">
      <c r="A228" s="1"/>
      <c r="B228" s="23" t="s">
        <v>914</v>
      </c>
      <c r="C228" s="1"/>
      <c r="D228" s="42">
        <v>-184</v>
      </c>
      <c r="E228" s="1"/>
      <c r="F228" s="1"/>
      <c r="G228" s="1"/>
      <c r="H228" s="1"/>
      <c r="I228" s="1"/>
      <c r="J228" s="1"/>
      <c r="K228" s="1"/>
      <c r="L228" s="1"/>
      <c r="M228" s="1"/>
    </row>
    <row r="229" ht="23.25" customHeight="1">
      <c r="A229" s="1"/>
      <c r="B229" s="23" t="s">
        <v>915</v>
      </c>
      <c r="C229" s="1"/>
      <c r="D229" s="42">
        <v>-12</v>
      </c>
      <c r="E229" s="1"/>
      <c r="F229" s="1"/>
      <c r="G229" s="1"/>
      <c r="H229" s="1"/>
      <c r="I229" s="1"/>
      <c r="J229" s="1"/>
      <c r="K229" s="1"/>
      <c r="L229" s="1"/>
      <c r="M229" s="1"/>
    </row>
    <row r="230" ht="15" customHeight="1">
      <c r="A230" s="1"/>
      <c r="B230" s="23" t="s">
        <v>916</v>
      </c>
      <c r="C230" s="1"/>
      <c r="D230" s="42">
        <v>15</v>
      </c>
      <c r="E230" s="1"/>
      <c r="F230" s="1"/>
      <c r="G230" s="1"/>
      <c r="H230" s="1"/>
      <c r="I230" s="1"/>
      <c r="J230" s="1"/>
      <c r="K230" s="1"/>
      <c r="L230" s="1"/>
      <c r="M230" s="1"/>
    </row>
    <row r="231" ht="15" customHeight="1">
      <c r="A231" s="1"/>
      <c r="B231" s="23" t="s">
        <v>917</v>
      </c>
      <c r="C231" s="1"/>
      <c r="D231" s="42">
        <v>-250</v>
      </c>
      <c r="E231" s="1"/>
      <c r="F231" s="1"/>
      <c r="G231" s="1"/>
      <c r="H231" s="1"/>
      <c r="I231" s="1"/>
      <c r="J231" s="1"/>
      <c r="K231" s="1"/>
      <c r="L231" s="1"/>
      <c r="M231" s="1"/>
    </row>
    <row r="232" ht="23.25" customHeight="1">
      <c r="A232" s="1"/>
      <c r="B232" s="23" t="s">
        <v>918</v>
      </c>
      <c r="C232" s="1"/>
      <c r="D232" s="42">
        <v>74</v>
      </c>
      <c r="E232" s="1"/>
      <c r="F232" s="1"/>
      <c r="G232" s="1"/>
      <c r="H232" s="1"/>
      <c r="I232" s="1"/>
      <c r="J232" s="1"/>
      <c r="K232" s="1"/>
      <c r="L232" s="1"/>
      <c r="M232" s="1"/>
    </row>
    <row r="233" ht="15" customHeight="1">
      <c r="A233" s="1"/>
      <c r="B233" s="23" t="s">
        <v>919</v>
      </c>
      <c r="C233" s="1"/>
      <c r="D233" s="42">
        <v>-52</v>
      </c>
      <c r="E233" s="1"/>
      <c r="F233" s="1"/>
      <c r="G233" s="1"/>
      <c r="H233" s="1"/>
      <c r="I233" s="1"/>
      <c r="J233" s="1"/>
      <c r="K233" s="1"/>
      <c r="L233" s="1"/>
      <c r="M233" s="1"/>
    </row>
    <row r="234" ht="15" customHeight="1">
      <c r="A234" s="1"/>
      <c r="B234" s="23" t="s">
        <v>920</v>
      </c>
      <c r="C234" s="1"/>
      <c r="D234" s="42">
        <v>-88</v>
      </c>
      <c r="E234" s="1"/>
      <c r="F234" s="1"/>
      <c r="G234" s="1"/>
      <c r="H234" s="1"/>
      <c r="I234" s="1"/>
      <c r="J234" s="1"/>
      <c r="K234" s="1"/>
      <c r="L234" s="1"/>
      <c r="M234" s="1"/>
    </row>
    <row r="235" ht="15" customHeight="1">
      <c r="A235" s="1"/>
      <c r="B235" s="23" t="s">
        <v>921</v>
      </c>
      <c r="C235" s="1"/>
      <c r="D235" s="42">
        <v>-346</v>
      </c>
      <c r="E235" s="1"/>
      <c r="F235" s="1"/>
      <c r="G235" s="1"/>
      <c r="H235" s="1"/>
      <c r="I235" s="1"/>
      <c r="J235" s="1"/>
      <c r="K235" s="1"/>
      <c r="L235" s="1"/>
      <c r="M235" s="1"/>
    </row>
    <row r="236" ht="15" customHeight="1">
      <c r="A236" s="1"/>
      <c r="B236" s="23" t="s">
        <v>922</v>
      </c>
      <c r="C236" s="1"/>
      <c r="D236" s="42">
        <v>-52</v>
      </c>
      <c r="E236" s="1"/>
      <c r="F236" s="1"/>
      <c r="G236" s="1"/>
      <c r="H236" s="1"/>
      <c r="I236" s="1"/>
      <c r="J236" s="1"/>
      <c r="K236" s="1"/>
      <c r="L236" s="1"/>
      <c r="M236" s="1"/>
    </row>
    <row r="237" ht="23.25" customHeight="1">
      <c r="A237" s="1"/>
      <c r="B237" s="23" t="s">
        <v>923</v>
      </c>
      <c r="C237" s="1"/>
      <c r="D237" s="42">
        <v>183</v>
      </c>
      <c r="E237" s="1"/>
      <c r="F237" s="1"/>
      <c r="G237" s="1"/>
      <c r="H237" s="1"/>
      <c r="I237" s="1"/>
      <c r="J237" s="1"/>
      <c r="K237" s="1"/>
      <c r="L237" s="1"/>
      <c r="M237" s="1"/>
    </row>
    <row r="238" ht="23.25" customHeight="1">
      <c r="A238" s="1"/>
      <c r="B238" s="23" t="s">
        <v>924</v>
      </c>
      <c r="C238" s="1"/>
      <c r="D238" s="42">
        <v>-201</v>
      </c>
      <c r="E238" s="1"/>
      <c r="F238" s="1"/>
      <c r="G238" s="1"/>
      <c r="H238" s="1"/>
      <c r="I238" s="1"/>
      <c r="J238" s="1"/>
      <c r="K238" s="1"/>
      <c r="L238" s="1"/>
      <c r="M238" s="1"/>
    </row>
    <row r="239" ht="23.25" customHeight="1">
      <c r="A239" s="1"/>
      <c r="B239" s="23" t="s">
        <v>925</v>
      </c>
      <c r="C239" s="1"/>
      <c r="D239" s="42">
        <v>164</v>
      </c>
      <c r="E239" s="1"/>
      <c r="F239" s="1"/>
      <c r="G239" s="1"/>
      <c r="H239" s="1"/>
      <c r="I239" s="1"/>
      <c r="J239" s="1"/>
      <c r="K239" s="1"/>
      <c r="L239" s="1"/>
      <c r="M239" s="1"/>
    </row>
    <row r="240" ht="15" customHeight="1">
      <c r="A240" s="1"/>
      <c r="B240" s="23" t="s">
        <v>926</v>
      </c>
      <c r="C240" s="1"/>
      <c r="D240" s="42">
        <v>-996</v>
      </c>
      <c r="E240" s="1"/>
      <c r="F240" s="1"/>
      <c r="G240" s="1"/>
      <c r="H240" s="1"/>
      <c r="I240" s="1"/>
      <c r="J240" s="1"/>
      <c r="K240" s="1"/>
      <c r="L240" s="1"/>
      <c r="M240" s="1"/>
    </row>
    <row r="241" ht="23.25" customHeight="1">
      <c r="A241" s="1"/>
      <c r="B241" s="23" t="s">
        <v>927</v>
      </c>
      <c r="C241" s="1"/>
      <c r="D241" s="42">
        <v>-385</v>
      </c>
      <c r="E241" s="1"/>
      <c r="F241" s="1"/>
      <c r="G241" s="1"/>
      <c r="H241" s="1"/>
      <c r="I241" s="1"/>
      <c r="J241" s="1"/>
      <c r="K241" s="1"/>
      <c r="L241" s="1"/>
      <c r="M241" s="1"/>
    </row>
    <row r="242" ht="23.25" customHeight="1">
      <c r="A242" s="1"/>
      <c r="B242" s="23" t="s">
        <v>928</v>
      </c>
      <c r="C242" s="1"/>
      <c r="D242" s="42">
        <v>-570</v>
      </c>
      <c r="E242" s="1"/>
      <c r="F242" s="1"/>
      <c r="G242" s="1"/>
      <c r="H242" s="1"/>
      <c r="I242" s="1"/>
      <c r="J242" s="1"/>
      <c r="K242" s="1"/>
      <c r="L242" s="1"/>
      <c r="M242" s="1"/>
    </row>
    <row r="243" ht="23.25" customHeight="1">
      <c r="A243" s="1"/>
      <c r="B243" s="23" t="s">
        <v>929</v>
      </c>
      <c r="C243" s="1"/>
      <c r="D243" s="42">
        <v>517</v>
      </c>
      <c r="E243" s="1"/>
      <c r="F243" s="1"/>
      <c r="G243" s="1"/>
      <c r="H243" s="1"/>
      <c r="I243" s="1"/>
      <c r="J243" s="1"/>
      <c r="K243" s="1"/>
      <c r="L243" s="1"/>
      <c r="M243" s="1"/>
    </row>
    <row r="244" ht="23.25" customHeight="1">
      <c r="A244" s="1"/>
      <c r="B244" s="23" t="s">
        <v>930</v>
      </c>
      <c r="C244" s="1"/>
      <c r="D244" s="42">
        <v>173</v>
      </c>
      <c r="E244" s="1"/>
      <c r="F244" s="1"/>
      <c r="G244" s="1"/>
      <c r="H244" s="1"/>
      <c r="I244" s="1"/>
      <c r="J244" s="1"/>
      <c r="K244" s="1"/>
      <c r="L244" s="1"/>
      <c r="M244" s="1"/>
    </row>
    <row r="245" ht="23.25" customHeight="1">
      <c r="A245" s="1"/>
      <c r="B245" s="23" t="s">
        <v>931</v>
      </c>
      <c r="C245" s="1"/>
      <c r="D245" s="42">
        <v>73</v>
      </c>
      <c r="E245" s="1"/>
      <c r="F245" s="1"/>
      <c r="G245" s="1"/>
      <c r="H245" s="1"/>
      <c r="I245" s="1"/>
      <c r="J245" s="1"/>
      <c r="K245" s="1"/>
      <c r="L245" s="1"/>
      <c r="M245" s="1"/>
    </row>
    <row r="246" ht="23.25" customHeight="1">
      <c r="A246" s="1"/>
      <c r="B246" s="23" t="s">
        <v>932</v>
      </c>
      <c r="C246" s="1"/>
      <c r="D246" s="42">
        <v>-3</v>
      </c>
      <c r="E246" s="1"/>
      <c r="F246" s="1"/>
      <c r="G246" s="1"/>
      <c r="H246" s="1"/>
      <c r="I246" s="1"/>
      <c r="J246" s="1"/>
      <c r="K246" s="1"/>
      <c r="L246" s="1"/>
      <c r="M246" s="1"/>
    </row>
    <row r="247" ht="15" customHeight="1">
      <c r="A247" s="1"/>
      <c r="B247" s="23" t="s">
        <v>933</v>
      </c>
      <c r="C247" s="1"/>
      <c r="D247" s="42">
        <v>1</v>
      </c>
      <c r="E247" s="1"/>
      <c r="F247" s="1"/>
      <c r="G247" s="1"/>
      <c r="H247" s="1"/>
      <c r="I247" s="1"/>
      <c r="J247" s="1"/>
      <c r="K247" s="1"/>
      <c r="L247" s="1"/>
      <c r="M247" s="1"/>
    </row>
    <row r="248" ht="23.25" customHeight="1">
      <c r="A248" s="1"/>
      <c r="B248" s="23" t="s">
        <v>934</v>
      </c>
      <c r="C248" s="1"/>
      <c r="D248" s="42">
        <v>-42</v>
      </c>
      <c r="E248" s="1"/>
      <c r="F248" s="1"/>
      <c r="G248" s="1"/>
      <c r="H248" s="1"/>
      <c r="I248" s="1"/>
      <c r="J248" s="1"/>
      <c r="K248" s="1"/>
      <c r="L248" s="1"/>
      <c r="M248" s="1"/>
    </row>
    <row r="249" ht="23.25" customHeight="1">
      <c r="A249" s="1"/>
      <c r="B249" s="23" t="s">
        <v>935</v>
      </c>
      <c r="C249" s="1"/>
      <c r="D249" s="42">
        <v>139</v>
      </c>
      <c r="E249" s="1"/>
      <c r="F249" s="1"/>
      <c r="G249" s="1"/>
      <c r="H249" s="1"/>
      <c r="I249" s="1"/>
      <c r="J249" s="1"/>
      <c r="K249" s="1"/>
      <c r="L249" s="1"/>
      <c r="M249" s="1"/>
    </row>
    <row r="250" ht="15" customHeight="1">
      <c r="A250" s="1"/>
      <c r="B250" s="23" t="s">
        <v>936</v>
      </c>
      <c r="C250" s="1"/>
      <c r="D250" s="42">
        <v>1090</v>
      </c>
      <c r="E250" s="1"/>
      <c r="F250" s="1"/>
      <c r="G250" s="1"/>
      <c r="H250" s="1"/>
      <c r="I250" s="1"/>
      <c r="J250" s="1"/>
      <c r="K250" s="1"/>
      <c r="L250" s="1"/>
      <c r="M250" s="1"/>
    </row>
    <row r="251" ht="15" customHeight="1">
      <c r="A251" s="1"/>
      <c r="B251" s="23" t="s">
        <v>937</v>
      </c>
      <c r="C251" s="1"/>
      <c r="D251" s="42">
        <v>-131</v>
      </c>
      <c r="E251" s="1"/>
      <c r="F251" s="1"/>
      <c r="G251" s="1"/>
      <c r="H251" s="1"/>
      <c r="I251" s="1"/>
      <c r="J251" s="1"/>
      <c r="K251" s="1"/>
      <c r="L251" s="1"/>
      <c r="M251" s="1"/>
    </row>
    <row r="252" ht="15" customHeight="1">
      <c r="A252" s="1"/>
      <c r="B252" s="23" t="s">
        <v>938</v>
      </c>
      <c r="C252" s="1"/>
      <c r="D252" s="42">
        <v>19</v>
      </c>
      <c r="E252" s="1"/>
      <c r="F252" s="1"/>
      <c r="G252" s="1"/>
      <c r="H252" s="1"/>
      <c r="I252" s="1"/>
      <c r="J252" s="1"/>
      <c r="K252" s="1"/>
      <c r="L252" s="1"/>
      <c r="M252" s="1"/>
    </row>
    <row r="253" ht="15" customHeight="1">
      <c r="A253" s="1"/>
      <c r="B253" s="23" t="s">
        <v>939</v>
      </c>
      <c r="C253" s="1"/>
      <c r="D253" s="42">
        <v>-783</v>
      </c>
      <c r="E253" s="1"/>
      <c r="F253" s="1"/>
      <c r="G253" s="1"/>
      <c r="H253" s="1"/>
      <c r="I253" s="1"/>
      <c r="J253" s="1"/>
      <c r="K253" s="1"/>
      <c r="L253" s="1"/>
      <c r="M253" s="1"/>
    </row>
    <row r="254" ht="15" customHeight="1">
      <c r="A254" s="1"/>
      <c r="B254" s="23" t="s">
        <v>940</v>
      </c>
      <c r="C254" s="1"/>
      <c r="D254" s="42">
        <v>-1907</v>
      </c>
      <c r="E254" s="1"/>
      <c r="F254" s="1"/>
      <c r="G254" s="1"/>
      <c r="H254" s="1"/>
      <c r="I254" s="1"/>
      <c r="J254" s="1"/>
      <c r="K254" s="1"/>
      <c r="L254" s="1"/>
      <c r="M254" s="1"/>
    </row>
    <row r="255" ht="23.25" customHeight="1">
      <c r="A255" s="1"/>
      <c r="B255" s="23" t="s">
        <v>941</v>
      </c>
      <c r="C255" s="1"/>
      <c r="D255" s="42">
        <v>-105</v>
      </c>
      <c r="E255" s="1"/>
      <c r="F255" s="1"/>
      <c r="G255" s="1"/>
      <c r="H255" s="1"/>
      <c r="I255" s="1"/>
      <c r="J255" s="1"/>
      <c r="K255" s="1"/>
      <c r="L255" s="1"/>
      <c r="M255" s="1"/>
    </row>
    <row r="256" ht="15" customHeight="1">
      <c r="A256" s="1"/>
      <c r="B256" s="23" t="s">
        <v>942</v>
      </c>
      <c r="C256" s="1"/>
      <c r="D256" s="42">
        <v>8</v>
      </c>
      <c r="E256" s="1"/>
      <c r="F256" s="1"/>
      <c r="G256" s="1"/>
      <c r="H256" s="1"/>
      <c r="I256" s="1"/>
      <c r="J256" s="1"/>
      <c r="K256" s="1"/>
      <c r="L256" s="1"/>
      <c r="M256" s="1"/>
    </row>
    <row r="257" ht="23.25" customHeight="1">
      <c r="A257" s="1"/>
      <c r="B257" s="23" t="s">
        <v>943</v>
      </c>
      <c r="C257" s="1"/>
      <c r="D257" s="42">
        <v>0</v>
      </c>
      <c r="E257" s="1"/>
      <c r="F257" s="1"/>
      <c r="G257" s="1"/>
      <c r="H257" s="1"/>
      <c r="I257" s="1"/>
      <c r="J257" s="1"/>
      <c r="K257" s="1"/>
      <c r="L257" s="1"/>
      <c r="M257" s="1"/>
    </row>
    <row r="258" ht="23.25" customHeight="1">
      <c r="A258" s="1"/>
      <c r="B258" s="23" t="s">
        <v>944</v>
      </c>
      <c r="C258" s="1"/>
      <c r="D258" s="42">
        <v>99</v>
      </c>
      <c r="E258" s="1"/>
      <c r="F258" s="1"/>
      <c r="G258" s="1"/>
      <c r="H258" s="1"/>
      <c r="I258" s="1"/>
      <c r="J258" s="1"/>
      <c r="K258" s="1"/>
      <c r="L258" s="1"/>
      <c r="M258" s="1"/>
    </row>
    <row r="259" ht="23.25" customHeight="1">
      <c r="A259" s="1"/>
      <c r="B259" s="23" t="s">
        <v>945</v>
      </c>
      <c r="C259" s="1"/>
      <c r="D259" s="42">
        <v>0</v>
      </c>
      <c r="E259" s="1"/>
      <c r="F259" s="1"/>
      <c r="G259" s="1"/>
      <c r="H259" s="1"/>
      <c r="I259" s="1"/>
      <c r="J259" s="1"/>
      <c r="K259" s="1"/>
      <c r="L259" s="1"/>
      <c r="M259" s="1"/>
    </row>
    <row r="260" ht="15" customHeight="1">
      <c r="A260" s="1"/>
      <c r="B260" s="1" t="s">
        <v>946</v>
      </c>
      <c r="C260" s="1"/>
      <c r="D260" s="42">
        <v>272</v>
      </c>
      <c r="E260" s="1"/>
      <c r="F260" s="1"/>
      <c r="G260" s="1"/>
      <c r="H260" s="1"/>
      <c r="I260" s="1"/>
      <c r="J260" s="1"/>
      <c r="K260" s="1"/>
      <c r="L260" s="1"/>
      <c r="M260" s="1"/>
    </row>
    <row r="261" ht="15" customHeight="1">
      <c r="A261" s="1"/>
      <c r="B261" s="1" t="s">
        <v>947</v>
      </c>
      <c r="C261" s="1"/>
      <c r="D261" s="42">
        <v>116</v>
      </c>
      <c r="E261" s="1"/>
      <c r="F261" s="1"/>
      <c r="G261" s="1"/>
      <c r="H261" s="1"/>
      <c r="I261" s="1"/>
      <c r="J261" s="1"/>
      <c r="K261" s="1"/>
      <c r="L261" s="1"/>
      <c r="M261" s="1"/>
    </row>
    <row r="262" ht="15" customHeight="1">
      <c r="A262" s="1"/>
      <c r="B262" s="1" t="s">
        <v>948</v>
      </c>
      <c r="C262" s="1"/>
      <c r="D262" s="42">
        <v>5341</v>
      </c>
      <c r="E262" s="1"/>
      <c r="F262" s="1"/>
      <c r="G262" s="1"/>
      <c r="H262" s="1"/>
      <c r="I262" s="1"/>
      <c r="J262" s="1"/>
      <c r="K262" s="1"/>
      <c r="L262" s="1"/>
      <c r="M262" s="1"/>
    </row>
    <row r="263" ht="15" customHeight="1">
      <c r="A263" s="1"/>
      <c r="B263" s="1" t="s">
        <v>949</v>
      </c>
      <c r="C263" s="1"/>
      <c r="D263" s="42">
        <v>5956</v>
      </c>
      <c r="E263" s="1"/>
      <c r="F263" s="1"/>
      <c r="G263" s="1"/>
      <c r="H263" s="1"/>
      <c r="I263" s="1"/>
      <c r="J263" s="1"/>
      <c r="K263" s="1"/>
      <c r="L263" s="1"/>
      <c r="M263" s="1"/>
    </row>
    <row r="264" ht="15" customHeight="1">
      <c r="A264" s="1"/>
      <c r="B264" s="23" t="s">
        <v>950</v>
      </c>
      <c r="C264" s="1"/>
      <c r="D264" s="42">
        <v>4641</v>
      </c>
      <c r="E264" s="1"/>
      <c r="F264" s="1"/>
      <c r="G264" s="1"/>
      <c r="H264" s="1"/>
      <c r="I264" s="1"/>
      <c r="J264" s="1"/>
      <c r="K264" s="1"/>
      <c r="L264" s="1"/>
      <c r="M264" s="1"/>
    </row>
    <row r="265" ht="15" customHeight="1">
      <c r="A265" s="1"/>
      <c r="B265" s="23" t="s">
        <v>951</v>
      </c>
      <c r="C265" s="1"/>
      <c r="D265" s="42">
        <v>4380</v>
      </c>
      <c r="E265" s="1"/>
      <c r="F265" s="1"/>
      <c r="G265" s="1"/>
      <c r="H265" s="1"/>
      <c r="I265" s="1"/>
      <c r="J265" s="1"/>
      <c r="K265" s="1"/>
      <c r="L265" s="1"/>
      <c r="M265" s="1"/>
    </row>
    <row r="266" ht="15" customHeight="1">
      <c r="A266" s="1"/>
      <c r="B266" s="1" t="s">
        <v>952</v>
      </c>
      <c r="C266" s="1"/>
      <c r="D266" s="42">
        <v>1746</v>
      </c>
      <c r="E266" s="1"/>
      <c r="F266" s="1"/>
      <c r="G266" s="1"/>
      <c r="H266" s="1"/>
      <c r="I266" s="1"/>
      <c r="J266" s="1"/>
      <c r="K266" s="1"/>
      <c r="L266" s="1"/>
      <c r="M266" s="1"/>
    </row>
    <row r="267" ht="15" customHeight="1">
      <c r="A267" s="1"/>
      <c r="B267" s="1" t="s">
        <v>953</v>
      </c>
      <c r="C267" s="1"/>
      <c r="D267" s="42">
        <v>5880</v>
      </c>
      <c r="E267" s="1"/>
      <c r="F267" s="1"/>
      <c r="G267" s="1"/>
      <c r="H267" s="1"/>
      <c r="I267" s="1"/>
      <c r="J267" s="1"/>
      <c r="K267" s="1"/>
      <c r="L267" s="1"/>
      <c r="M267" s="1"/>
    </row>
    <row r="268" ht="15" customHeight="1">
      <c r="A268" s="1"/>
      <c r="B268" s="1" t="s">
        <v>954</v>
      </c>
      <c r="C268" s="1"/>
      <c r="D268" s="42">
        <v>6757</v>
      </c>
      <c r="E268" s="1"/>
      <c r="F268" s="1"/>
      <c r="G268" s="1"/>
      <c r="H268" s="1"/>
      <c r="I268" s="1"/>
      <c r="J268" s="1"/>
      <c r="K268" s="1"/>
      <c r="L268" s="1"/>
      <c r="M268" s="1"/>
    </row>
    <row r="269" ht="15" customHeight="1">
      <c r="A269" s="1"/>
      <c r="B269" s="1" t="s">
        <v>955</v>
      </c>
      <c r="C269" s="1"/>
      <c r="D269" s="42">
        <v>5293</v>
      </c>
      <c r="E269" s="1"/>
      <c r="F269" s="1"/>
      <c r="G269" s="1"/>
      <c r="H269" s="1"/>
      <c r="I269" s="1"/>
      <c r="J269" s="1"/>
      <c r="K269" s="1"/>
      <c r="L269" s="1"/>
      <c r="M269" s="1"/>
    </row>
    <row r="270" ht="15" customHeight="1">
      <c r="A270" s="1"/>
      <c r="B270" s="23" t="s">
        <v>956</v>
      </c>
      <c r="C270" s="1"/>
      <c r="D270" s="42">
        <v>5206</v>
      </c>
      <c r="E270" s="1"/>
      <c r="F270" s="1"/>
      <c r="G270" s="1"/>
      <c r="H270" s="1"/>
      <c r="I270" s="1"/>
      <c r="J270" s="1"/>
      <c r="K270" s="1"/>
      <c r="L270" s="1"/>
      <c r="M270" s="1"/>
    </row>
    <row r="271" ht="15" customHeight="1">
      <c r="A271" s="1"/>
      <c r="B271" s="1" t="s">
        <v>957</v>
      </c>
      <c r="C271" s="1"/>
      <c r="D271" s="42">
        <v>2029</v>
      </c>
      <c r="E271" s="1"/>
      <c r="F271" s="1"/>
      <c r="G271" s="1"/>
      <c r="H271" s="1"/>
      <c r="I271" s="1"/>
      <c r="J271" s="1"/>
      <c r="K271" s="1"/>
      <c r="L271" s="1"/>
      <c r="M271" s="1"/>
    </row>
    <row r="272" ht="1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ht="15" customHeight="1">
      <c r="A273" s="1"/>
      <c r="B273" s="4" t="s">
        <v>958</v>
      </c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ht="15" customHeight="1">
      <c r="A274" s="1"/>
      <c r="B274" s="4" t="s">
        <v>959</v>
      </c>
      <c r="C274" s="27" t="s">
        <v>960</v>
      </c>
      <c r="D274" s="27" t="s">
        <v>961</v>
      </c>
      <c r="E274" s="27" t="s">
        <v>962</v>
      </c>
      <c r="F274" s="1"/>
      <c r="G274" s="1"/>
      <c r="H274" s="1"/>
      <c r="I274" s="1"/>
      <c r="J274" s="1"/>
      <c r="K274" s="1"/>
      <c r="L274" s="1"/>
      <c r="M274" s="1"/>
    </row>
    <row r="275" ht="23.25" customHeight="1">
      <c r="B275" s="23" t="s">
        <v>963</v>
      </c>
      <c r="C275" s="105">
        <v>8491</v>
      </c>
      <c r="D275" s="80">
        <f>'Income Statement'!C24</f>
        <v>8491</v>
      </c>
      <c r="E275" s="106">
        <f t="shared" si="3" ref="E275:E283">D275-C275</f>
        <v>0</v>
      </c>
      <c r="F275" s="1"/>
      <c r="G275" s="1"/>
      <c r="H275" s="1"/>
      <c r="I275" s="1"/>
      <c r="J275" s="1"/>
      <c r="K275" s="1"/>
      <c r="L275" s="1"/>
      <c r="M275" s="22" t="s">
        <v>964</v>
      </c>
    </row>
    <row r="276" ht="15" customHeight="1">
      <c r="B276" s="23" t="s">
        <v>965</v>
      </c>
      <c r="C276" s="105">
        <v>1633</v>
      </c>
      <c r="D276" s="80">
        <f>'Income Statement'!C112</f>
        <v>1633</v>
      </c>
      <c r="E276" s="106">
        <f t="shared" si="3"/>
        <v>0</v>
      </c>
      <c r="F276" s="1"/>
      <c r="G276" s="1"/>
      <c r="H276" s="1"/>
      <c r="I276" s="1"/>
      <c r="J276" s="1"/>
      <c r="K276" s="1"/>
      <c r="L276" s="1"/>
      <c r="M276" s="22"/>
    </row>
    <row r="277" ht="15" customHeight="1">
      <c r="B277" s="23" t="s">
        <v>966</v>
      </c>
      <c r="C277" s="107">
        <v>0.192</v>
      </c>
      <c r="D277" s="108">
        <f>'Income Statement'!C122</f>
        <v>0.19247996228194247</v>
      </c>
      <c r="E277" s="109">
        <f t="shared" si="3"/>
        <v>0.0004799622819424698</v>
      </c>
      <c r="F277" s="1"/>
      <c r="G277" s="1"/>
      <c r="H277" s="1"/>
      <c r="I277" s="1"/>
      <c r="J277" s="1"/>
      <c r="K277" s="1"/>
      <c r="L277" s="1"/>
      <c r="M277" s="22" t="s">
        <v>967</v>
      </c>
    </row>
    <row r="278" ht="15" customHeight="1">
      <c r="B278" s="23" t="s">
        <v>968</v>
      </c>
      <c r="C278" s="105">
        <v>1208</v>
      </c>
      <c r="D278" s="80">
        <f>'Income Statement'!C78</f>
        <v>1208</v>
      </c>
      <c r="E278" s="106">
        <f t="shared" si="3"/>
        <v>0</v>
      </c>
      <c r="F278" s="1"/>
      <c r="G278" s="1"/>
      <c r="H278" s="1"/>
      <c r="I278" s="1"/>
      <c r="J278" s="1"/>
      <c r="K278" s="1"/>
      <c r="L278" s="1"/>
      <c r="M278" s="22" t="s">
        <v>969</v>
      </c>
    </row>
    <row r="279" ht="15" customHeight="1">
      <c r="B279" s="23" t="s">
        <v>970</v>
      </c>
      <c r="C279" s="105">
        <v>1823</v>
      </c>
      <c r="D279" s="80">
        <f>'Income Statement'!C88</f>
        <v>1823</v>
      </c>
      <c r="E279" s="106">
        <f t="shared" si="3"/>
        <v>0</v>
      </c>
      <c r="F279" s="1"/>
      <c r="G279" s="1"/>
      <c r="H279" s="1"/>
      <c r="I279" s="1"/>
      <c r="J279" s="1"/>
      <c r="K279" s="1"/>
      <c r="L279" s="1"/>
      <c r="M279" s="22" t="s">
        <v>971</v>
      </c>
    </row>
    <row r="280" ht="15" customHeight="1">
      <c r="B280" s="23" t="s">
        <v>972</v>
      </c>
      <c r="C280" s="110">
        <v>0.66</v>
      </c>
      <c r="D280" s="111">
        <f>'Income Statement'!C90</f>
        <v>0.6626439934174437</v>
      </c>
      <c r="E280" s="112">
        <f t="shared" si="3"/>
        <v>0.002643993417443702</v>
      </c>
      <c r="F280" s="1"/>
      <c r="G280" s="1"/>
      <c r="H280" s="1"/>
      <c r="I280" s="1"/>
      <c r="J280" s="1"/>
      <c r="K280" s="1"/>
      <c r="L280" s="1"/>
      <c r="M280" s="22" t="s">
        <v>973</v>
      </c>
    </row>
    <row r="281" ht="15" customHeight="1">
      <c r="B281" s="2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22"/>
    </row>
    <row r="282" ht="23.25" customHeight="1">
      <c r="B282" s="23" t="s">
        <v>974</v>
      </c>
      <c r="C282" s="105">
        <v>5</v>
      </c>
      <c r="D282" s="80">
        <f>'Share Count'!G19</f>
        <v>4.138821</v>
      </c>
      <c r="E282" s="106">
        <f t="shared" si="3"/>
        <v>-0.8611789999999999</v>
      </c>
      <c r="F282" s="1"/>
      <c r="G282" s="1"/>
      <c r="H282" s="1"/>
      <c r="I282" s="1"/>
      <c r="J282" s="1"/>
      <c r="K282" s="1"/>
      <c r="L282" s="1"/>
      <c r="M282" s="22" t="s">
        <v>975</v>
      </c>
    </row>
    <row r="283" ht="23.25" customHeight="1">
      <c r="B283" s="23" t="s">
        <v>976</v>
      </c>
      <c r="C283" s="105">
        <v>3</v>
      </c>
      <c r="D283" s="80">
        <f>'Share Count'!F18</f>
        <v>2.610604</v>
      </c>
      <c r="E283" s="106">
        <f t="shared" si="3"/>
        <v>-0.3893960000000001</v>
      </c>
      <c r="F283" s="1"/>
      <c r="G283" s="1"/>
      <c r="H283" s="1"/>
      <c r="I283" s="1"/>
      <c r="J283" s="1"/>
      <c r="K283" s="1"/>
      <c r="L283" s="1"/>
      <c r="M283" s="22" t="s">
        <v>977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2026-10-19T16:35:14Z</dcterms:created>
</cp:coreProperties>
</file>