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Beer" sheetId="3" r:id="rId3"/>
    <sheet name="Segment - Wine and Spirits" sheetId="4" r:id="rId4"/>
    <sheet name="Income Statement" sheetId="5" r:id="rId5"/>
    <sheet name="Balance Sheet" sheetId="6" r:id="rId6"/>
    <sheet name="Cash Flow Statement" sheetId="7" r:id="rId7"/>
    <sheet name="Share Count" sheetId="8" r:id="rId8"/>
    <sheet name="Guidance" sheetId="9" r:id="rId9"/>
    <sheet name="Sources" sheetId="10" r:id="rId10"/>
    <sheet name="Inputs" sheetId="11" r:id="rId11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F23" authorId="0">
      <text>
        <t>Constellation Brands does not give quarterly guidance; only fiscal-year guidance (see Guidance tab).</t>
      </text>
    </comment>
    <comment ref="G23" authorId="0">
      <text>
        <t>FY27 midpoints from the 6/30/26 release (S6): net sales $8,910-9,090M; comparable EPS $11.20-11.90; reported EPS $11.50-12.20. Net income is not guided.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H11" authorId="0">
      <text>
        <t>Assumption: -1.5%. June healthy/World Cup on-premise (S13,S14,S19); off-premise and August "lackluster" (S14); NielsenIQ 12w to 8/8/26 Modelo -4.7%, Corona -6.9% vol. (S17).</t>
      </text>
    </comment>
    <comment ref="H27" authorId="0">
      <text>
        <t>Assumption: +6.0 pts, equal to the 2Q26 shipment-depletion gap that the company attributed to early distributor inventory rebalancing (S11, S7).</t>
      </text>
    </comment>
    <comment ref="H29" authorId="0">
      <text>
        <t>Assumption: -1.0 pt for softer August sell-through (S14) and NBWA imports BPI 40 in Aug-26 (S22).</t>
      </text>
    </comment>
    <comment ref="H50" authorId="0">
      <text>
        <t>Assumption: +0.6%. Pricing +0.8% offset by package mix (1Q27: pricing +$17.6M, mix -$9.3M, S10). Recent trend +0.2% to +1.1%.</t>
      </text>
    </comment>
    <comment ref="H82" authorId="0">
      <text>
        <t>Assumption: 53.4% (+50 bp Y/Y): lapping 2Q26 volume deleverage (-8.7% shipments), cost savings and pricing; mgmt expects Q2 gross margin to stay strong (S13); 2H inflation flagged later (S14).</t>
      </text>
    </comment>
    <comment ref="H92" authorId="0">
      <text>
        <t>Assumption: 10.2%. CFO: marketing "over the 10%" of net sales in Q2 and Q3 (World Cup, college football, NFL) (S13). 2Q26 was 8.1%.</t>
      </text>
    </comment>
    <comment ref="H99" authorId="0">
      <text>
        <t>Assumption: -$106M (+8.5% Y/Y): Veracruz staff in SG&amp;A until commissioning and lapping low FY26 incentive comp (S13).</t>
      </text>
    </comment>
    <comment ref="H117" authorId="0">
      <text>
        <t>Assumption: $80M (1Q27 $77.3M; Veracruz assets placed in service later in FY27).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H14" authorId="0">
      <text>
        <t>Assumption: +3% (1Q27 organic shipments +7.7%, depletions +6.6%; distributor inventory reduction program over 12-24 months is a headwind, S14).</t>
      </text>
    </comment>
    <comment ref="H30" authorId="0">
      <text>
        <t>Assumption: +4% (1Q27 +6.6%; CEO: 18 months of outperformance, S14).</t>
      </text>
    </comment>
    <comment ref="H40" authorId="0">
      <text>
        <t>Assumption: +1% (fine wine steady; Kim Crawford +4% depletions in 1Q27, S6, S14).</t>
      </text>
    </comment>
    <comment ref="H48" authorId="0">
      <text>
        <t>Assumption: +12% (Mi CAMPO depletions +62% in 1Q27, "on fire", S6, S14).</t>
      </text>
    </comment>
    <comment ref="H126" authorId="0">
      <text>
        <t>Assumption: 42.0% (2Q26 40.3%, 1Q27 43.0%).</t>
      </text>
    </comment>
    <comment ref="H131" authorId="0">
      <text>
        <t>Assumption: -$18M (2Q26 -$20.0M; 1Q27 -$16.4M).</t>
      </text>
    </comment>
    <comment ref="H141" authorId="0">
      <text>
        <t>Assumption: -$47M (restructuring savings; 1Q27 -$48.8M).</t>
      </text>
    </comment>
    <comment ref="H160" authorId="0">
      <text>
        <t>Assumption: $6M (2Q26 $7.5M; Q3 is seasonally largest).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H16" authorId="0">
      <text>
        <t>Assumption: 6.6% (2Q26 7.0%, 1Q27 6.5%).</t>
      </text>
    </comment>
    <comment ref="H78" authorId="0">
      <text>
        <t>Assumption: -$20M (2Q26 -$20.1M; 1Q27 -$18.1M).</t>
      </text>
    </comment>
    <comment ref="H103" authorId="0">
      <text>
        <t>Assumption: -$57M (1Q27 -$56.1M; 3Q26 -$58.3M).</t>
      </text>
    </comment>
    <comment ref="H126" authorId="0">
      <text>
        <t>Assumption: 0 — mark-to-market not forecastable (unavailable), set to zero by assumption</t>
      </text>
    </comment>
    <comment ref="H127" authorId="0">
      <text>
        <t>Assumption: -$8M as 1Q27 hedge gains settle into segment results</t>
      </text>
    </comment>
    <comment ref="H128" authorId="0">
      <text>
        <t>Assumption: FY27 guide $2M (S6)</t>
      </text>
    </comment>
    <comment ref="H129" authorId="0">
      <text>
        <t>Assumption</t>
      </text>
    </comment>
    <comment ref="H132" authorId="0">
      <text>
        <t>Assumption: FY27 guide $13M less 1Q27 $5.1M, spread over 3 quarters (S6)</t>
      </text>
    </comment>
    <comment ref="H133" authorId="0">
      <text>
        <t>Assumption: FY27 guide $7M less 1Q27 $0.6M, spread over 3 quarters (S6)</t>
      </text>
    </comment>
    <comment ref="H134" authorId="0">
      <text>
        <t>Assumption</t>
      </text>
    </comment>
    <comment ref="H135" authorId="0">
      <text>
        <t>Assumption</t>
      </text>
    </comment>
    <comment ref="H136" authorId="0">
      <text>
        <t>Assumption</t>
      </text>
    </comment>
    <comment ref="H138" authorId="0">
      <text>
        <t>Assumption</t>
      </text>
    </comment>
    <comment ref="H139" authorId="0">
      <text>
        <t>Assumption</t>
      </text>
    </comment>
    <comment ref="H140" authorId="0">
      <text>
        <t>Assumption</t>
      </text>
    </comment>
    <comment ref="H143" authorId="0">
      <text>
        <t>Assumption</t>
      </text>
    </comment>
    <comment ref="H144" authorId="0">
      <text>
        <t>Assumption: 0. Sept 18, 2026 redemption of 4.350% notes (S15) falls in 3Q27.</t>
      </text>
    </comment>
    <comment ref="H147" authorId="0">
      <text>
        <t>Assumption: 0 — discrete tax items are not forecastable (1Q27 +$52.4M, 2Q26 -$147.9M).</t>
      </text>
    </comment>
    <comment ref="H172" authorId="0">
      <text>
        <t>Assumption: -$85M. Total debt $10.5B at 5/31/26; $600M 4.35% notes outstanding until 9/18/26 (S15); 1Q27 comparable -$85.5M.</t>
      </text>
    </comment>
    <comment ref="H183" authorId="0">
      <text>
        <t>Assumption: 19.8%. FY27 guide comparable ~20% (S5, S6); 1Q27 18.8%; 2Q26 18.5%; CapIQ consensus 20.19% (S2).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H13" authorId="0">
      <text>
        <t>Assumption: $15M (1Q27 $15.0M).</t>
      </text>
    </comment>
    <comment ref="H14" authorId="0">
      <text>
        <t>Assumption: 0 (not forecastable).</t>
      </text>
    </comment>
    <comment ref="H15" authorId="0">
      <text>
        <t>Assumption: $33M (1Q27 $33.5M).</t>
      </text>
    </comment>
    <comment ref="H18" authorId="0">
      <text>
        <t>Assumption: +$40M (receivables fall from May peak; 2Q26 +$146M on destock).</t>
      </text>
    </comment>
    <comment ref="H19" authorId="0">
      <text>
        <t>Assumption.</t>
      </text>
    </comment>
    <comment ref="H20" authorId="0">
      <text>
        <t>Assumption.</t>
      </text>
    </comment>
    <comment ref="H21" authorId="0">
      <text>
        <t>Assumption.</t>
      </text>
    </comment>
    <comment ref="H22" authorId="0">
      <text>
        <t>Assumption.</t>
      </text>
    </comment>
    <comment ref="H23" authorId="0">
      <text>
        <t>Assumption: lease liability payments offsetting noncash lease expense.</t>
      </text>
    </comment>
    <comment ref="H28" authorId="0">
      <text>
        <t>Assumption: -$210M (FY27 capex guide ~$800M, S6; 1Q27 -$177.2M).</t>
      </text>
    </comment>
    <comment ref="H29" authorId="0">
      <text>
        <t>Assumption.</t>
      </text>
    </comment>
    <comment ref="H30" authorId="0">
      <text>
        <t>Assumption.</t>
      </text>
    </comment>
    <comment ref="H31" authorId="0">
      <text>
        <t>Assumption.</t>
      </text>
    </comment>
    <comment ref="H36" authorId="0">
      <text>
        <t>Assumption: none in 2Q27.</t>
      </text>
    </comment>
    <comment ref="H37" authorId="0">
      <text>
        <t>Assumption: $600M 4.350% notes redeemed 9/18/26 = 3Q27 (S15).</t>
      </text>
    </comment>
    <comment ref="H38" authorId="0">
      <text>
        <t>Plug: commercial paper / revolver funds the residual to the target cash balance.</t>
      </text>
    </comment>
    <comment ref="H41" authorId="0">
      <text>
        <t>Assumption.</t>
      </text>
    </comment>
    <comment ref="H42" authorId="0">
      <text>
        <t>Assumption: -$20M (FY26 -$62.5M; 1Q27 -$25.0M).</t>
      </text>
    </comment>
    <comment ref="H45" authorId="0">
      <text>
        <t>Assumption.</t>
      </text>
    </comment>
    <comment ref="H51" authorId="0">
      <text>
        <t>Assumption: ~$100M operating cash (5/31/26 $96.6M).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H15" authorId="0">
      <text>
        <t>Assumption: 0.22M (1Q27 0.221M; options mostly out of the money).</t>
      </text>
    </comment>
    <comment ref="H38" authorId="0">
      <text>
        <t>Assumption: $75M in Jul-Aug (not disclosed); FY27 FCF target $1.6-1.7B (S6) supports ~$175M/quarter of buybacks.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C130" authorId="0">
      <text>
        <t>Negative: soft July/August scanner data (S17,S18), CEO "lackluster" August (S14), July beer imports -12% (S20), marketing &gt;10% of sales (S13), sell-side cuts (S24,S25). Positive: model EPS $3.57 vs $3.55; easy 2Q26 shipment comp (S11); NBWA imports BPI 61 in June (S22).</t>
      </text>
    </comment>
  </commentList>
</comments>
</file>

<file path=xl/sharedStrings.xml><?xml version="1.0" encoding="utf-8"?>
<sst xmlns="http://schemas.openxmlformats.org/spreadsheetml/2006/main" count="2158" uniqueCount="916">
  <si>
    <t>Constellation Brands, Inc. (NYSE: STZ)</t>
  </si>
  <si>
    <t>Cover</t>
  </si>
  <si>
    <t>$ millions, except per share</t>
  </si>
  <si>
    <t>Notes / sources</t>
  </si>
  <si>
    <t>Company Model — built by Shortcut</t>
  </si>
  <si>
    <t>Constellation Brands, Inc. — 2Q FY2027 (quarter ended August 31, 2026) earnings forecast</t>
  </si>
  <si>
    <t>Company</t>
  </si>
  <si>
    <t>Ticker</t>
  </si>
  <si>
    <t>Exchange</t>
  </si>
  <si>
    <t>Fiscal year end</t>
  </si>
  <si>
    <t>Currency</t>
  </si>
  <si>
    <t>EPS basis</t>
  </si>
  <si>
    <t>Comparable (normalized) diluted EPS per Class A share, USD — CapIQ normalized basis; issuer "comparable" adjustments verified on Income Statement</t>
  </si>
  <si>
    <t>Information cutoff</t>
  </si>
  <si>
    <t>2026-10-04 22:22 UTC</t>
  </si>
  <si>
    <t>Expected report date</t>
  </si>
  <si>
    <t>Market cap at cutoff ($M) / S&amp;P 500</t>
  </si>
  <si>
    <t>Author</t>
  </si>
  <si>
    <t>Shortcut</t>
  </si>
  <si>
    <t>2Q27E headline ($M, except per share)</t>
  </si>
  <si>
    <t>Shortcut estimate</t>
  </si>
  <si>
    <t>Consensus (CapIQ 10/4/26)</t>
  </si>
  <si>
    <t>Variance</t>
  </si>
  <si>
    <t>2Q27 guidance mid</t>
  </si>
  <si>
    <t>FY27 guidance mid</t>
  </si>
  <si>
    <t>Net sales</t>
  </si>
  <si>
    <t>n/a</t>
  </si>
  <si>
    <t xml:space="preserve">    Variance vs consensus (%)</t>
  </si>
  <si>
    <t>Comparable net income (CBI)</t>
  </si>
  <si>
    <t>Comparable diluted EPS</t>
  </si>
  <si>
    <t>GAAP diluted EPS</t>
  </si>
  <si>
    <t>Check: Cover ties to statements (=0)</t>
  </si>
  <si>
    <t>Overall check (incl. 2Q27E identities)</t>
  </si>
  <si>
    <t>PASS = historical ties to reported data (columns C:G) plus 2Q27E column-H identities (Revenue summary H51; W&amp;S H65/H115; IS H96/H123/H163/H190; CF H50/H54; BS H38) that hold by construction. Share Count H51 is a +/-3% reasonableness test and the CF H38 revolver plug is a residual assumption. Column-H checks do not validate the forecast.</t>
  </si>
  <si>
    <t>P(beat consensus EPS)</t>
  </si>
  <si>
    <t>Confidence</t>
  </si>
  <si>
    <t>Consensus detail and other references</t>
  </si>
  <si>
    <t>Value</t>
  </si>
  <si>
    <t>Source</t>
  </si>
  <si>
    <t>CapIQ normalized EPS: # estimates</t>
  </si>
  <si>
    <t>S2</t>
  </si>
  <si>
    <t>CapIQ normalized EPS: median</t>
  </si>
  <si>
    <t>CapIQ normalized EPS: low</t>
  </si>
  <si>
    <t>CapIQ normalized EPS: high</t>
  </si>
  <si>
    <t>CapIQ normalized EPS: std. dev.</t>
  </si>
  <si>
    <t>CapIQ revenue: # estimates</t>
  </si>
  <si>
    <t>Zacks EPS (10/1/26; not baseline)</t>
  </si>
  <si>
    <t>S26</t>
  </si>
  <si>
    <t>Zacks consensus revenue ($M)</t>
  </si>
  <si>
    <t>Visible Alpha EPS (per UBS)</t>
  </si>
  <si>
    <t>S24</t>
  </si>
  <si>
    <t>Earnings Whispers whisper EPS</t>
  </si>
  <si>
    <t>S27</t>
  </si>
  <si>
    <t>UBS 2Q27 EPS estimate</t>
  </si>
  <si>
    <t>Mean EPS surprise, last 6 qtrs ($)</t>
  </si>
  <si>
    <t>S1</t>
  </si>
  <si>
    <t>Key 2Q27E drivers (linked)</t>
  </si>
  <si>
    <t>2Q27E</t>
  </si>
  <si>
    <t>2Q26A</t>
  </si>
  <si>
    <t>Beer depletion growth</t>
  </si>
  <si>
    <t>Beer shipment growth</t>
  </si>
  <si>
    <t>Beer shipments (M cases)</t>
  </si>
  <si>
    <t>Beer net sales per case ($)</t>
  </si>
  <si>
    <t>Beer gross margin</t>
  </si>
  <si>
    <t>Beer marketing % of net sales</t>
  </si>
  <si>
    <t>Beer operating margin</t>
  </si>
  <si>
    <t>Comparable tax rate</t>
  </si>
  <si>
    <t>Diluted shares (M)</t>
  </si>
  <si>
    <t>Revenue summary</t>
  </si>
  <si>
    <t>Period</t>
  </si>
  <si>
    <t>3Q26A</t>
  </si>
  <si>
    <t>4Q26A</t>
  </si>
  <si>
    <t>FY26A</t>
  </si>
  <si>
    <t>1Q27A</t>
  </si>
  <si>
    <t>Period end</t>
  </si>
  <si>
    <t>Days in period</t>
  </si>
  <si>
    <t>Net sales by reported segment ($M)</t>
  </si>
  <si>
    <t xml:space="preserve">  PY: Beer net sales</t>
  </si>
  <si>
    <t>Beer net sales</t>
  </si>
  <si>
    <t xml:space="preserve">    % Y/Y</t>
  </si>
  <si>
    <t xml:space="preserve">    % Q/Q</t>
  </si>
  <si>
    <t xml:space="preserve">    Change Q/Q ($M)</t>
  </si>
  <si>
    <t xml:space="preserve">    % of total net sales</t>
  </si>
  <si>
    <t xml:space="preserve">    PY: % of total net sales</t>
  </si>
  <si>
    <t xml:space="preserve">    Change in mix Y/Y (bp)</t>
  </si>
  <si>
    <t xml:space="preserve">    Change in mix Q/Q (bp)</t>
  </si>
  <si>
    <t xml:space="preserve">    Organic growth</t>
  </si>
  <si>
    <t xml:space="preserve">    M&amp;A / scope</t>
  </si>
  <si>
    <t xml:space="preserve">    FX impact</t>
  </si>
  <si>
    <t xml:space="preserve">    Total Y/Y</t>
  </si>
  <si>
    <t xml:space="preserve">  PY: W&amp;S net sales</t>
  </si>
  <si>
    <t>Wine and Spirits net sales</t>
  </si>
  <si>
    <t xml:space="preserve">    Organic growth (company basis)</t>
  </si>
  <si>
    <t xml:space="preserve">  PY: total net sales</t>
  </si>
  <si>
    <t>Total net sales</t>
  </si>
  <si>
    <t xml:space="preserve">    Prior-year divested net sales</t>
  </si>
  <si>
    <t xml:space="preserve">    M&amp;A / scope impact</t>
  </si>
  <si>
    <t xml:space="preserve">    FX impact (n/d = not disclosed)</t>
  </si>
  <si>
    <t>n/d</t>
  </si>
  <si>
    <t>Matches company organic: -8%, -2%, 0%, -4%, +3% (S3-S6)</t>
  </si>
  <si>
    <t xml:space="preserve">    Organic (formula; needs FX)</t>
  </si>
  <si>
    <t>Checks</t>
  </si>
  <si>
    <t>Check: segments sum to total (=0)</t>
  </si>
  <si>
    <t>Net sales per CapIQ history (Inputs)</t>
  </si>
  <si>
    <t>FY26 = four FY26 quarters in CapIQ history (Inputs I102:I105)</t>
  </si>
  <si>
    <t>Check: total vs CapIQ actual (=0)</t>
  </si>
  <si>
    <t>Geography</t>
  </si>
  <si>
    <t>Geo: U.S. = 98.5% of FY26 net sales ($9,005.7M of $9,139.0M; FY26 10-K geographic note, S9) — effectively one country, so no Geo tab.</t>
  </si>
  <si>
    <t>Segment - Beer</t>
  </si>
  <si>
    <t>Depletions — U.S. distributor sales to retailers (company-reported growth)</t>
  </si>
  <si>
    <t>Beer depletion growth Y/Y</t>
  </si>
  <si>
    <t>S3,S4,S5,S6; 2Q27E assumption</t>
  </si>
  <si>
    <t xml:space="preserve">    Change Q/Q (bp)</t>
  </si>
  <si>
    <t>Modelo Especial depl. growth (approx.)</t>
  </si>
  <si>
    <t>S3-S6 ("just over 4%", "approx. 4%", "just under 1%", "approx. 3%", "approx. 2%"); brand split not forecast</t>
  </si>
  <si>
    <t>Corona Extra depl. growth (approx.)</t>
  </si>
  <si>
    <t>S3-S6 (approximate as disclosed); brand split not forecast</t>
  </si>
  <si>
    <t>Modelo Chelada depl. growth (approx.)</t>
  </si>
  <si>
    <t>Pacifico depl. growth (approx.)</t>
  </si>
  <si>
    <t>Victoria depl. growth (approx.)</t>
  </si>
  <si>
    <t>Shipments ladder (M 24-pack, 12-oz case equivalents)</t>
  </si>
  <si>
    <t>Prior-year shipments (memo)</t>
  </si>
  <si>
    <t>S3-S6 year-ago column</t>
  </si>
  <si>
    <t>Depletion growth Y/Y (from above)</t>
  </si>
  <si>
    <t xml:space="preserve">  Lap of 2Q26 destock (pts)</t>
  </si>
  <si>
    <t>S11: 2Q26 shipments guided to trail depletions by 6-7 pts; actual gap -6.0 pts; UNRESOLVED convention: lap not rebased to the 117.4 base while H28 is (rebased 0.0657 adds ~$0.03 EPS); retained as frozen assumption</t>
  </si>
  <si>
    <t xml:space="preserve">  Unwind of 1Q27 over-shipment (pts)</t>
  </si>
  <si>
    <t>Derived from 1Q27 gap (S6, S13)</t>
  </si>
  <si>
    <t xml:space="preserve">  New distributor destock (pts)</t>
  </si>
  <si>
    <t>Shipment less depletion gap (pts)</t>
  </si>
  <si>
    <t>Shipment growth Y/Y</t>
  </si>
  <si>
    <t>Beer shipments</t>
  </si>
  <si>
    <t>S3-S6; 2Q27E = prior year x (1 + growth)</t>
  </si>
  <si>
    <t xml:space="preserve">    Change Y/Y (M cases)</t>
  </si>
  <si>
    <t xml:space="preserve">    Change Q/Q (M cases)</t>
  </si>
  <si>
    <t>Shipments per day (M cases)</t>
  </si>
  <si>
    <t xml:space="preserve">  PY: shipments per day</t>
  </si>
  <si>
    <t xml:space="preserve">    Change Q/Q (M cases/day)</t>
  </si>
  <si>
    <t>Gallons per case (constant)</t>
  </si>
  <si>
    <t>24 x 12 fl oz = 288 fl oz = 2.25 US gallons</t>
  </si>
  <si>
    <t>Shipments (M US gallons, derived)</t>
  </si>
  <si>
    <t>Comparable to Census beer-import gallons (S21)</t>
  </si>
  <si>
    <t xml:space="preserve">  PY: shipments (M gallons)</t>
  </si>
  <si>
    <t xml:space="preserve">    Change Q/Q (M gallons)</t>
  </si>
  <si>
    <t>Price / mix (net sales per case)</t>
  </si>
  <si>
    <t>PY: net sales per case ($)</t>
  </si>
  <si>
    <t>Net sales per case growth Y/Y</t>
  </si>
  <si>
    <t>Net sales per case ($)</t>
  </si>
  <si>
    <t xml:space="preserve">    Change Y/Y ($)</t>
  </si>
  <si>
    <t xml:space="preserve">    Change Q/Q ($)</t>
  </si>
  <si>
    <t>Net sales bridge Y/Y ($M; 10-Q MD&amp;A)</t>
  </si>
  <si>
    <t>Shipment volume impact</t>
  </si>
  <si>
    <t>S7, S8, S10; 4Q26/FY26 not available (10-K MD&amp;A text not retrieved)</t>
  </si>
  <si>
    <t>Pricing (2Q27E incl. mix)</t>
  </si>
  <si>
    <t>S7, S8, S10</t>
  </si>
  <si>
    <t>Product mix impact</t>
  </si>
  <si>
    <t>Not separately disclosed for 2Q26/3Q26 3M</t>
  </si>
  <si>
    <t>Other / rounding (derived)</t>
  </si>
  <si>
    <t>Total beer net sales change Y/Y</t>
  </si>
  <si>
    <t>Prior-year beer net sales (memo)</t>
  </si>
  <si>
    <t>S3-S6</t>
  </si>
  <si>
    <t>S3-S6; 2Q27E = shipments x net sales per case</t>
  </si>
  <si>
    <t xml:space="preserve">    % Y/Y (total)</t>
  </si>
  <si>
    <t>Company organic reconciliations show no Beer scope adjustment (S3-S6)</t>
  </si>
  <si>
    <t>Beer net sales are U.S. sales in USD (S9); no translation effect on revenue</t>
  </si>
  <si>
    <t>Organic = (1+Y/Y)/((1+M&amp;A)x(1+FX))-1</t>
  </si>
  <si>
    <t>Segment profitability (comparable basis, $M)</t>
  </si>
  <si>
    <t>Cost of product sold</t>
  </si>
  <si>
    <t>Derived: gross profit less net sales</t>
  </si>
  <si>
    <t xml:space="preserve">  PY: cost of product sold</t>
  </si>
  <si>
    <t xml:space="preserve">    Change Q/Q (abs.)</t>
  </si>
  <si>
    <t xml:space="preserve">  PY: segment gross profit</t>
  </si>
  <si>
    <t>Segment gross profit</t>
  </si>
  <si>
    <t>Segment gross margin</t>
  </si>
  <si>
    <t xml:space="preserve">    PY: segment gross margin</t>
  </si>
  <si>
    <t xml:space="preserve">    Change Y/Y (bp)</t>
  </si>
  <si>
    <t xml:space="preserve">  Memo: marketing 9M YTD Nov-25</t>
  </si>
  <si>
    <t>S8</t>
  </si>
  <si>
    <t xml:space="preserve">  Memo: PY marketing 9M Nov-24</t>
  </si>
  <si>
    <t>S8 prior-year 9M column</t>
  </si>
  <si>
    <t xml:space="preserve">  PY: marketing</t>
  </si>
  <si>
    <t>S7, S8 (prior-year 3M), S9 (FY25), S10; 4Q25 = FY25 less 9M</t>
  </si>
  <si>
    <t>Marketing</t>
  </si>
  <si>
    <t>S7, S8, S9 (FY), S10; 4Q26 = FY less 9M</t>
  </si>
  <si>
    <t>Marketing % of net sales</t>
  </si>
  <si>
    <t xml:space="preserve">    PY: marketing % of sales</t>
  </si>
  <si>
    <t xml:space="preserve">  Memo: G&amp;A 9M YTD Nov-25</t>
  </si>
  <si>
    <t xml:space="preserve">  Memo: PY G&amp;A 9M Nov-24</t>
  </si>
  <si>
    <t xml:space="preserve">  PY: G&amp;A</t>
  </si>
  <si>
    <t>General &amp; administrative</t>
  </si>
  <si>
    <t>S7, S8, S9, S10; 4Q26 = FY less 9M</t>
  </si>
  <si>
    <t>G&amp;A % of net sales</t>
  </si>
  <si>
    <t xml:space="preserve">    PY: G&amp;A % of net sales</t>
  </si>
  <si>
    <t xml:space="preserve">  PY: segment op. income</t>
  </si>
  <si>
    <t>Segment operating income</t>
  </si>
  <si>
    <t>Segment operating margin</t>
  </si>
  <si>
    <t xml:space="preserve">    PY: segment op. margin</t>
  </si>
  <si>
    <t>Memo: segment OI as reported</t>
  </si>
  <si>
    <t>Check: OI vs reported (=0)</t>
  </si>
  <si>
    <t xml:space="preserve">  PY: segment D&amp;A</t>
  </si>
  <si>
    <t>Segment depreciation &amp; amortization</t>
  </si>
  <si>
    <t>D&amp;A % of net sales</t>
  </si>
  <si>
    <t xml:space="preserve">    PY: D&amp;A % of net sales</t>
  </si>
  <si>
    <t>Segment - Wine and Spirits</t>
  </si>
  <si>
    <t>Volumes (M 9-liter case equivalents)</t>
  </si>
  <si>
    <t>PY: shipments, as reported</t>
  </si>
  <si>
    <t>Less: PY divested volumes</t>
  </si>
  <si>
    <t>Prior-year organic shipments (memo)</t>
  </si>
  <si>
    <t>Organic shipment growth Y/Y</t>
  </si>
  <si>
    <t>Computed on rounded cases; reported: -7.1%, 0.0%, +6.7%, -6.7%, +7.7%</t>
  </si>
  <si>
    <t>Organic shipments</t>
  </si>
  <si>
    <t>S3-S6; 2Q27E volume is a cross-check memo; revenue is built by product below. FY26 8.3 is the issuer FY organic figure (S5), which adjusts only the prior period for divestitures, so it includes 1Q26 reported 3.9 (incl. ~2.6 divested cases); quarterly 2Q-4Q sum plus 3.9 = 8.3</t>
  </si>
  <si>
    <t>Shipments, as reported</t>
  </si>
  <si>
    <t>S3-S6; no divested volumes remain after Jun-2025</t>
  </si>
  <si>
    <t xml:space="preserve">    % Y/Y (reported)</t>
  </si>
  <si>
    <t>PY: U.S. Wholesale shipments</t>
  </si>
  <si>
    <t>S3-S5; not disclosed in 1Q27 release</t>
  </si>
  <si>
    <t>PY: U.S. Wholesale organic ship.</t>
  </si>
  <si>
    <t>S3-S5</t>
  </si>
  <si>
    <t>U.S. Wholesale shipments</t>
  </si>
  <si>
    <t>S3-S5; 1Q27 not disclosed</t>
  </si>
  <si>
    <t xml:space="preserve">    Organic growth Y/Y</t>
  </si>
  <si>
    <t>U.S. Wholesale share of shipments</t>
  </si>
  <si>
    <t xml:space="preserve">    PY: U.S. Wholesale share</t>
  </si>
  <si>
    <t>Depletion growth Y/Y (organic)</t>
  </si>
  <si>
    <t>Kim Crawford depl. growth (approx.)</t>
  </si>
  <si>
    <t>S6</t>
  </si>
  <si>
    <t>Mi CAMPO depl. growth (approx.)</t>
  </si>
  <si>
    <t>Net sales by product</t>
  </si>
  <si>
    <t xml:space="preserve">  PY: wine net sales</t>
  </si>
  <si>
    <t>Wine net sales</t>
  </si>
  <si>
    <t>S3-S5; 1Q27 split not disclosed</t>
  </si>
  <si>
    <t xml:space="preserve">    % Y/Y (2Q27E: assumption)</t>
  </si>
  <si>
    <t>Product split of divested sales not disclosed (S3-S5); 2Q26 base has no divested sales</t>
  </si>
  <si>
    <t xml:space="preserve">  PY: spirits net sales</t>
  </si>
  <si>
    <t>Spirits net sales</t>
  </si>
  <si>
    <t>Wine + spirits subtotal</t>
  </si>
  <si>
    <t xml:space="preserve">  PY: segment net sales</t>
  </si>
  <si>
    <t xml:space="preserve">    PY divested net sales</t>
  </si>
  <si>
    <t>S3-S6; 2Q26 base had no divested sales (organic = reported)</t>
  </si>
  <si>
    <t>Company does not disclose FX impact on W&amp;S net sales</t>
  </si>
  <si>
    <t>S3-S6 organic reconciliation basis</t>
  </si>
  <si>
    <t>Check: wine + spirits = total (=0)</t>
  </si>
  <si>
    <t>Net sales by channel and market</t>
  </si>
  <si>
    <t xml:space="preserve">  PY: net sales ex-divestitures</t>
  </si>
  <si>
    <t xml:space="preserve">  PY: U.S. Wholesale</t>
  </si>
  <si>
    <t>U.S. Wholesale net sales</t>
  </si>
  <si>
    <t>S3-S5; 1Q27 channel split not disclosed</t>
  </si>
  <si>
    <t>Divested brands are shown on a separate line in the channel table (S3-S5)</t>
  </si>
  <si>
    <t xml:space="preserve">    % of segment net sales</t>
  </si>
  <si>
    <t>2Q27E mix held at 2Q26 (seasonal) mix</t>
  </si>
  <si>
    <t xml:space="preserve">    PY: % of segment net sales</t>
  </si>
  <si>
    <t xml:space="preserve">  PY: International</t>
  </si>
  <si>
    <t>International net sales</t>
  </si>
  <si>
    <t xml:space="preserve">  PY: DTC</t>
  </si>
  <si>
    <t>DTC net sales</t>
  </si>
  <si>
    <t xml:space="preserve">  PY: Other</t>
  </si>
  <si>
    <t>Other net sales</t>
  </si>
  <si>
    <t>Divested brands (channel table)</t>
  </si>
  <si>
    <t>S3-S5: "—" in current periods</t>
  </si>
  <si>
    <t>Channel subtotal</t>
  </si>
  <si>
    <t>Check: channels = total (=0)</t>
  </si>
  <si>
    <t>S7, S8, S9, S10</t>
  </si>
  <si>
    <t>Segment operating income (loss)</t>
  </si>
  <si>
    <t>Segment equity income</t>
  </si>
  <si>
    <t xml:space="preserve">  PY: segment equity income</t>
  </si>
  <si>
    <t>Income Statement</t>
  </si>
  <si>
    <t>Reported (GAAP) income statement</t>
  </si>
  <si>
    <t>Sales (gross)</t>
  </si>
  <si>
    <t>Excise taxes</t>
  </si>
  <si>
    <t xml:space="preserve">  PY: excise taxes</t>
  </si>
  <si>
    <t>Excise taxes % of net sales</t>
  </si>
  <si>
    <t xml:space="preserve">    PY: excise taxes % of net sales</t>
  </si>
  <si>
    <t xml:space="preserve">  PY: net sales</t>
  </si>
  <si>
    <t>Linked: Revenue summary prior-year total</t>
  </si>
  <si>
    <t>S3-S6; 2Q27E = segment COGS + GP comparable adjustments</t>
  </si>
  <si>
    <t xml:space="preserve">  PY: gross profit</t>
  </si>
  <si>
    <t>Gross profit</t>
  </si>
  <si>
    <t>Gross margin</t>
  </si>
  <si>
    <t xml:space="preserve">    PY: gross margin</t>
  </si>
  <si>
    <t>SG&amp;A expenses</t>
  </si>
  <si>
    <t>S3-S6 as reported; quarterly SG&amp;A includes loss on sale of business, FY26 shows it separately</t>
  </si>
  <si>
    <t xml:space="preserve">  PY: SG&amp;A</t>
  </si>
  <si>
    <t>FY26 SG&amp;A excludes loss on sale (shown in row 47); quarters include it, so FY Y/Y and % are on a different basis</t>
  </si>
  <si>
    <t>SG&amp;A % of net sales</t>
  </si>
  <si>
    <t>FY26: excl. loss on sale of 31.9 (row 47); incl. it, FY SG&amp;A = 1,880.3 (20.6% of net sales)</t>
  </si>
  <si>
    <t xml:space="preserve">    PY: SG&amp;A % of net sales</t>
  </si>
  <si>
    <t>Goodwill &amp; intangible impairment</t>
  </si>
  <si>
    <t>Linked to bridge row (S3-S6)</t>
  </si>
  <si>
    <t>Asset impairment &amp; related</t>
  </si>
  <si>
    <t>Gain (loss) on sale of business</t>
  </si>
  <si>
    <t>in SG&amp;A</t>
  </si>
  <si>
    <t>Shown separately only in the FY26 statement (S5)</t>
  </si>
  <si>
    <t xml:space="preserve">  PY: operating income</t>
  </si>
  <si>
    <t>Operating income (loss)</t>
  </si>
  <si>
    <t>Operating margin</t>
  </si>
  <si>
    <t xml:space="preserve">    PY: operating margin</t>
  </si>
  <si>
    <t xml:space="preserve">  PY: unconsolidated income</t>
  </si>
  <si>
    <t>Unconsolidated investments income</t>
  </si>
  <si>
    <t xml:space="preserve">  PY: interest expense, net</t>
  </si>
  <si>
    <t>Interest expense, net</t>
  </si>
  <si>
    <t xml:space="preserve">  PY: pre-tax income</t>
  </si>
  <si>
    <t>Income (loss) before income taxes</t>
  </si>
  <si>
    <t>Provision for income taxes</t>
  </si>
  <si>
    <t xml:space="preserve">  PY: tax provision</t>
  </si>
  <si>
    <t>Effective tax rate (GAAP)</t>
  </si>
  <si>
    <t xml:space="preserve">    PY: effective tax rate (GAAP)</t>
  </si>
  <si>
    <t>Net income (loss)</t>
  </si>
  <si>
    <t xml:space="preserve">  PY: NCI</t>
  </si>
  <si>
    <t>Noncontrolling interests (NCI)</t>
  </si>
  <si>
    <t xml:space="preserve">  PY: net income (CBI)</t>
  </si>
  <si>
    <t>Net income (loss) attrib. to CBI</t>
  </si>
  <si>
    <t>Net margin (attrib. to CBI)</t>
  </si>
  <si>
    <t xml:space="preserve">    PY: net margin (attrib. to CBI)</t>
  </si>
  <si>
    <t>EPS – basic (GAAP)</t>
  </si>
  <si>
    <t xml:space="preserve">  PY: diluted EPS (GAAP)</t>
  </si>
  <si>
    <t>S3-S6; 4Q25/1Q26 linked to CapIQ history</t>
  </si>
  <si>
    <t>EPS – diluted (GAAP)</t>
  </si>
  <si>
    <t>2Q26/3Q26/4Q26/1Q27 linked to CapIQ history (Inputs); FY26 per S5</t>
  </si>
  <si>
    <t>Weighted average shares – basic (M)</t>
  </si>
  <si>
    <t>Weighted average shares – diluted (M)</t>
  </si>
  <si>
    <t>Check: EPS = NI / diluted sh. (=0)</t>
  </si>
  <si>
    <t>2Q27E column is an identity by construction (H91 = H82/H95), not an independent check</t>
  </si>
  <si>
    <t>Dividends declared per share</t>
  </si>
  <si>
    <t>Segment operating income (comparable basis)</t>
  </si>
  <si>
    <t>Beer</t>
  </si>
  <si>
    <t>Wine and Spirits</t>
  </si>
  <si>
    <t xml:space="preserve">  PY: corporate operations</t>
  </si>
  <si>
    <t>Corporate operations and other</t>
  </si>
  <si>
    <t>S3-S6 (no net sales; modeled here)</t>
  </si>
  <si>
    <t xml:space="preserve">  PY: comparable op. income</t>
  </si>
  <si>
    <t>S3-S6 issuer comparable OI, prior year ex-divestitures (less divestitures 70.7 / 61.6 / 98.4 / FY 244.7; 1Q26 in S6: 24.5); PY segment OI rows are as reported incl. divested wine brands</t>
  </si>
  <si>
    <t>Comparable operating income</t>
  </si>
  <si>
    <t>Comparable operating margin</t>
  </si>
  <si>
    <t xml:space="preserve">    PY: comparable operating margin</t>
  </si>
  <si>
    <t xml:space="preserve">  PY: corporate D&amp;A</t>
  </si>
  <si>
    <t>Corporate D&amp;A</t>
  </si>
  <si>
    <t>Comparable EBITDA (memo)</t>
  </si>
  <si>
    <t xml:space="preserve">  PY: comparable EBITDA</t>
  </si>
  <si>
    <t>Mixed basis: PY OI ex-divestitures (row 106) + PY segment D&amp;A incl. divested businesses (divested D&amp;A not disclosed)</t>
  </si>
  <si>
    <t>Check: comp. OI + adj. = GAAP (=0)</t>
  </si>
  <si>
    <t>2Q27E column is an identity by construction (GAAP OI built from comparable OI + adjustments)</t>
  </si>
  <si>
    <t>GAAP to comparable bridge — one row per adjustment (pre-tax unless noted; + = gain in GAAP)</t>
  </si>
  <si>
    <t>Undesignated commodity MTM</t>
  </si>
  <si>
    <t>S3-S6 reconciliations</t>
  </si>
  <si>
    <t>Commodity derivative settlements</t>
  </si>
  <si>
    <t>Flow through of inventory step-up</t>
  </si>
  <si>
    <t>Reconfiguration costs (COGS)</t>
  </si>
  <si>
    <t>Comparable adj. – gross profit</t>
  </si>
  <si>
    <t xml:space="preserve">  Memo: as reported</t>
  </si>
  <si>
    <t>Transition services (TSA) costs</t>
  </si>
  <si>
    <t>2025 Restructuring Initiative</t>
  </si>
  <si>
    <t>Reconfiguration costs (SG&amp;A)</t>
  </si>
  <si>
    <t>CEO severance and transition benefits</t>
  </si>
  <si>
    <t>Other gains (losses)</t>
  </si>
  <si>
    <t>Comparable adj. – SG&amp;A</t>
  </si>
  <si>
    <t>S3-S6 (1Q27 within "Other gains (losses)")</t>
  </si>
  <si>
    <t>Comparable adj. – operating income</t>
  </si>
  <si>
    <t>Unconsol. investments adj.</t>
  </si>
  <si>
    <t>Interest expense adjustments</t>
  </si>
  <si>
    <t>Comparable adj. – pre-tax</t>
  </si>
  <si>
    <t xml:space="preserve">  Tax rate on adjustments</t>
  </si>
  <si>
    <t xml:space="preserve">  Discrete tax items</t>
  </si>
  <si>
    <t>Income tax adjustments</t>
  </si>
  <si>
    <t>Noncontrolling interest adjustments</t>
  </si>
  <si>
    <t>Total comparable adj. – NI</t>
  </si>
  <si>
    <t>Check: bridge vs reported (=0)</t>
  </si>
  <si>
    <t xml:space="preserve">  PY: comparable net income</t>
  </si>
  <si>
    <t xml:space="preserve">  Memo: comparable NI reported</t>
  </si>
  <si>
    <t xml:space="preserve">  PY: comparable EPS</t>
  </si>
  <si>
    <t>Historical quarters linked to CapIQ normalized actuals (Inputs); FY26 per S5</t>
  </si>
  <si>
    <t>Adjustments per share (GAAP - comp.)</t>
  </si>
  <si>
    <t>Check: comp. EPS = NI / sh. (=0)</t>
  </si>
  <si>
    <t>2Q27E column is an identity by construction (H159 = H154/H95)</t>
  </si>
  <si>
    <t>Comparable P&amp;L build below operating income</t>
  </si>
  <si>
    <t xml:space="preserve">  PY: unconsol. comparable adj.</t>
  </si>
  <si>
    <t xml:space="preserve">  PY: comparable equity income</t>
  </si>
  <si>
    <t>Comparable equity income</t>
  </si>
  <si>
    <t xml:space="preserve">  of which corporate</t>
  </si>
  <si>
    <t>Comparable interest expense, net</t>
  </si>
  <si>
    <t>Comparable pre-tax income</t>
  </si>
  <si>
    <t xml:space="preserve">  PY: comparable pre-tax income</t>
  </si>
  <si>
    <t>S3-S6 comparable tax reconciliation</t>
  </si>
  <si>
    <t xml:space="preserve">  PY: comparable tax provision</t>
  </si>
  <si>
    <t>Comparable income tax provision</t>
  </si>
  <si>
    <t>Comparable effective tax rate</t>
  </si>
  <si>
    <t xml:space="preserve">    PY: comparable effective tax rate</t>
  </si>
  <si>
    <t>Comparable net income incl. NCI</t>
  </si>
  <si>
    <t>Comparable NCI</t>
  </si>
  <si>
    <t>Comparable NI (CBI, built)</t>
  </si>
  <si>
    <t>Check: built NI = bridge NI (=0)</t>
  </si>
  <si>
    <t>2Q27E column is an identity by construction</t>
  </si>
  <si>
    <t>Cross-period check: FY26 = 1Q26 + 2Q26 + 3Q26 + 4Q26 (flow items)</t>
  </si>
  <si>
    <t xml:space="preserve">  Memo: 1Q26A net sales</t>
  </si>
  <si>
    <t>Linked: prior-year column of 1Q27A</t>
  </si>
  <si>
    <t xml:space="preserve">  Memo: 1Q26A operating income</t>
  </si>
  <si>
    <t xml:space="preserve">  Memo: 1Q26A net income (CBI)</t>
  </si>
  <si>
    <t xml:space="preserve">  Memo: 1Q26A comparable net income</t>
  </si>
  <si>
    <t>Check: FY26 = sum of quarters (=0)</t>
  </si>
  <si>
    <t>Balance Sheet</t>
  </si>
  <si>
    <t>Assets</t>
  </si>
  <si>
    <t>Cash and cash equivalents</t>
  </si>
  <si>
    <t>Accounts receivable</t>
  </si>
  <si>
    <t>Inventories</t>
  </si>
  <si>
    <t>Prepaid expenses and other</t>
  </si>
  <si>
    <t>Assets held for sale</t>
  </si>
  <si>
    <t>Total current assets</t>
  </si>
  <si>
    <t>Property, plant, and equipment, net</t>
  </si>
  <si>
    <t>Goodwill</t>
  </si>
  <si>
    <t>Intangible assets</t>
  </si>
  <si>
    <t>Deferred income taxes</t>
  </si>
  <si>
    <t>Other assets</t>
  </si>
  <si>
    <t>Total assets</t>
  </si>
  <si>
    <t xml:space="preserve">  Memo: total assets as reported</t>
  </si>
  <si>
    <t>Liabilities and equity</t>
  </si>
  <si>
    <t>Short-term borrowings</t>
  </si>
  <si>
    <t>Current maturities of long-term debt</t>
  </si>
  <si>
    <t>Accounts payable</t>
  </si>
  <si>
    <t>Other accrued expenses</t>
  </si>
  <si>
    <t>Total current liabilities</t>
  </si>
  <si>
    <t>Long-term debt</t>
  </si>
  <si>
    <t>Deferred taxes &amp; other liabilities</t>
  </si>
  <si>
    <t>Total liabilities</t>
  </si>
  <si>
    <t>CBI stockholders’ equity</t>
  </si>
  <si>
    <t>S3-S6; 2Q27E rollforward is an approximation: CF H41 other financing (historically debt issuance costs, contingent consideration) and CF H45 FX are routed to equity; BS still balances; no EPS effect</t>
  </si>
  <si>
    <t>Noncontrolling interests</t>
  </si>
  <si>
    <t>Total stockholders’ equity</t>
  </si>
  <si>
    <t>Total liabilities &amp; equity</t>
  </si>
  <si>
    <t>Check: assets - liab. - equity (=0)</t>
  </si>
  <si>
    <t>Check: assets vs reported (=0)</t>
  </si>
  <si>
    <t>Leverage (memo)</t>
  </si>
  <si>
    <t>Total debt</t>
  </si>
  <si>
    <t>Net debt</t>
  </si>
  <si>
    <t>LTM comparable EBITDA</t>
  </si>
  <si>
    <t>4Q26A LTM = FY26 (same 12 months ended 28-Feb-26)</t>
  </si>
  <si>
    <t>Net debt / LTM comparable EBITDA</t>
  </si>
  <si>
    <t>Cash Flow Statement</t>
  </si>
  <si>
    <t>Operating activities (quarterly; history derived from as-reported YTD statements below)</t>
  </si>
  <si>
    <t>Depreciation and amortization</t>
  </si>
  <si>
    <t>2Q27E = segment + corporate D&amp;A</t>
  </si>
  <si>
    <t>Stock-based compensation</t>
  </si>
  <si>
    <t>Deferred tax provision</t>
  </si>
  <si>
    <t>Noncash lease expense</t>
  </si>
  <si>
    <t>Other noncash items</t>
  </si>
  <si>
    <t>Quarterly split n/a: these lines are not presented in every YTD statement (S3 6M, S6 3M), so amounts are included in row 23; FY26 per 12M statement</t>
  </si>
  <si>
    <t>Change in accounts receivable</t>
  </si>
  <si>
    <t>Change in inventories</t>
  </si>
  <si>
    <t>Change in prepaid &amp; other</t>
  </si>
  <si>
    <t>Change in accounts payable</t>
  </si>
  <si>
    <t>Change in accrued &amp; contract liab.</t>
  </si>
  <si>
    <t>Combined row; 1Q26/1Q27 3M statements do not present contract liabilities, so 2Q26 (C22) assumes any 1Q26 amount sits in other accrued (row 112); 1Q27 = reported other accrued</t>
  </si>
  <si>
    <t>Other operating items (incl. other noncash in quarters)</t>
  </si>
  <si>
    <t>Quarters include row 17 items (unpresented YTD lines); FY26 = 'Other' only. Row 17+23 per quarter is determinable; split is not</t>
  </si>
  <si>
    <t>Cash from operations (CFO)</t>
  </si>
  <si>
    <t>Check: CFO vs reported (=0)</t>
  </si>
  <si>
    <t>Investing activities</t>
  </si>
  <si>
    <t>Capital expenditures</t>
  </si>
  <si>
    <t>Purchase of business, net</t>
  </si>
  <si>
    <t>Sale of business proceeds</t>
  </si>
  <si>
    <t>Other investing, net</t>
  </si>
  <si>
    <t>Cash from investing (CFI)</t>
  </si>
  <si>
    <t>Check: CFI vs reported (=0)</t>
  </si>
  <si>
    <t>Financing activities</t>
  </si>
  <si>
    <t>Long-term debt issued</t>
  </si>
  <si>
    <t>Long-term debt repaid</t>
  </si>
  <si>
    <t>Short-term borrowings, net</t>
  </si>
  <si>
    <t>2Q27E = plug to target ending cash (H51); residual assumption, so the H50 cash check is an identity</t>
  </si>
  <si>
    <t>Dividends paid</t>
  </si>
  <si>
    <t>Purchase of treasury stock</t>
  </si>
  <si>
    <t>Other financing, net</t>
  </si>
  <si>
    <t>Distributions to NCI</t>
  </si>
  <si>
    <t>Cash from financing (CFF)</t>
  </si>
  <si>
    <t>Check: CFF vs reported (=0)</t>
  </si>
  <si>
    <t>FX effect on cash</t>
  </si>
  <si>
    <t>Net change in cash</t>
  </si>
  <si>
    <t>Cash, beginning of period</t>
  </si>
  <si>
    <t>Cash, end of period</t>
  </si>
  <si>
    <t>Cash per Balance Sheet</t>
  </si>
  <si>
    <t>Check: cash ties to BS (=0)</t>
  </si>
  <si>
    <t>Target ending cash (assumption)</t>
  </si>
  <si>
    <t>Free cash flow (CFO less capex)</t>
  </si>
  <si>
    <t>Check: CF NI = IS NI (=0)</t>
  </si>
  <si>
    <t>As-reported year-to-date cash flows (inputs): 2Q26A col = 6M Aug-25; 3Q26A = 9M Nov-25; 4Q26A = 12M Feb-26; 1Q27A = 3M May-26</t>
  </si>
  <si>
    <t>S3 (6M), S4 (9M), S5 (12M), S6 (3M)</t>
  </si>
  <si>
    <t>Unrealized (gain) loss, securities</t>
  </si>
  <si>
    <t>Depreciation</t>
  </si>
  <si>
    <t>Equity-method (earnings), net</t>
  </si>
  <si>
    <t>(Gain) loss on sale of business</t>
  </si>
  <si>
    <t>Prepaid and other current assets</t>
  </si>
  <si>
    <t>Contract liabilities</t>
  </si>
  <si>
    <t>Other</t>
  </si>
  <si>
    <t>Equity-method investments</t>
  </si>
  <si>
    <t>Proceeds from sale of assets</t>
  </si>
  <si>
    <t>Other investing activities</t>
  </si>
  <si>
    <t>Equity-plan share proceeds</t>
  </si>
  <si>
    <t>Tax withholdings, stock awards</t>
  </si>
  <si>
    <t>Debt issuance / extinguishment costs</t>
  </si>
  <si>
    <t>Contingent consideration paid</t>
  </si>
  <si>
    <t>Memo: 3M ended May 31, 2025 (1Q26A; from 1Q27 release comparative columns) — in 2Q26A column</t>
  </si>
  <si>
    <t>Net income (loss) (1Q26)</t>
  </si>
  <si>
    <t>S6 comparative column</t>
  </si>
  <si>
    <t>Unrealized loss, securities (1Q26)</t>
  </si>
  <si>
    <t>Deferred tax provision (1Q26)</t>
  </si>
  <si>
    <t>Depreciation (1Q26)</t>
  </si>
  <si>
    <t>Stock-based compensation (1Q26)</t>
  </si>
  <si>
    <t>Equity-method (earnings), net (1Q26)</t>
  </si>
  <si>
    <t>Noncash lease expense (1Q26)</t>
  </si>
  <si>
    <t>Asset impairment &amp; related (1Q26)</t>
  </si>
  <si>
    <t>(Gain) loss on sale of business (1Q26)</t>
  </si>
  <si>
    <t>Accounts receivable (1Q26)</t>
  </si>
  <si>
    <t>Inventories (1Q26)</t>
  </si>
  <si>
    <t>Prepaid and other current assets (1Q26)</t>
  </si>
  <si>
    <t>Accounts payable (1Q26)</t>
  </si>
  <si>
    <t>Contract liabilities (1Q26)</t>
  </si>
  <si>
    <t>Other accrued expenses (1Q26)</t>
  </si>
  <si>
    <t>Other (1Q26)</t>
  </si>
  <si>
    <t>Cash from operations (CFO) (1Q26)</t>
  </si>
  <si>
    <t>Capital expenditures (1Q26)</t>
  </si>
  <si>
    <t>Purchase of business, net (1Q26)</t>
  </si>
  <si>
    <t>Equity-method investments (1Q26)</t>
  </si>
  <si>
    <t>Proceeds from sale of assets (1Q26)</t>
  </si>
  <si>
    <t>Sale of business proceeds (1Q26)</t>
  </si>
  <si>
    <t>Other investing activities (1Q26)</t>
  </si>
  <si>
    <t>Cash from investing (CFI) (1Q26)</t>
  </si>
  <si>
    <t>Long-term debt issued (1Q26)</t>
  </si>
  <si>
    <t>Long-term debt repaid (1Q26)</t>
  </si>
  <si>
    <t>Short-term borrowings, net (1Q26)</t>
  </si>
  <si>
    <t>Dividends paid (1Q26)</t>
  </si>
  <si>
    <t>Purchase of treasury stock (1Q26)</t>
  </si>
  <si>
    <t>Equity-plan share proceeds (1Q26)</t>
  </si>
  <si>
    <t>Tax withholdings, stock awards (1Q26)</t>
  </si>
  <si>
    <t>Debt issuance costs (1Q26)</t>
  </si>
  <si>
    <t>Distributions to NCI (1Q26)</t>
  </si>
  <si>
    <t>Contingent consideration paid (1Q26)</t>
  </si>
  <si>
    <t>Cash from financing (CFF) (1Q26)</t>
  </si>
  <si>
    <t>FX effect on cash (1Q26)</t>
  </si>
  <si>
    <t>Net change in cash (1Q26)</t>
  </si>
  <si>
    <t>Cash, beginning of period (1Q26)</t>
  </si>
  <si>
    <t>Cash, end of period (1Q26)</t>
  </si>
  <si>
    <t>Share Count</t>
  </si>
  <si>
    <t>Weighted average shares (M)</t>
  </si>
  <si>
    <t xml:space="preserve">  PY: basic shares</t>
  </si>
  <si>
    <t>Weighted average shares – basic</t>
  </si>
  <si>
    <t>S3-S6; 2Q27E build below</t>
  </si>
  <si>
    <t xml:space="preserve">    Change Q/Q (M)</t>
  </si>
  <si>
    <t>Dilutive securities</t>
  </si>
  <si>
    <t xml:space="preserve">    Change Y/Y (M)</t>
  </si>
  <si>
    <t xml:space="preserve">  PY: diluted shares</t>
  </si>
  <si>
    <t>Weighted average shares – diluted</t>
  </si>
  <si>
    <t>Repurchases and dividends</t>
  </si>
  <si>
    <t xml:space="preserve">  Memo: 1Q26 shares repurchased</t>
  </si>
  <si>
    <t>S7, S8 equity statements</t>
  </si>
  <si>
    <t>Shares repurchased (M)</t>
  </si>
  <si>
    <t>S7, S8, S9 (Item 5), S10</t>
  </si>
  <si>
    <t>Share repurchases ($M)</t>
  </si>
  <si>
    <t>Cash flow statement</t>
  </si>
  <si>
    <t>Average repurchase price ($/share)</t>
  </si>
  <si>
    <t>Dividends declared per share ($)</t>
  </si>
  <si>
    <t>S3-S6; $1.03 declared 6/30/26, paid 8/13/26 (S6)</t>
  </si>
  <si>
    <t>Dividends paid ($M)</t>
  </si>
  <si>
    <t>2Q27E share-count build</t>
  </si>
  <si>
    <t>Cum. buybacks at 6/26/26 ($M)</t>
  </si>
  <si>
    <t>S10 (10-Q, Share Repurchase Program)</t>
  </si>
  <si>
    <t>Cum. shares bought at 6/26/26</t>
  </si>
  <si>
    <t>S10</t>
  </si>
  <si>
    <t>June 1-26 buybacks ($M)</t>
  </si>
  <si>
    <t>Derived value equals S10 direct disclosure: 'Subsequent to May 31, 2026, we repurchased 714,387 shares ... pursuant to the 2025 Authorization at an aggregate cost of $100.0 million'</t>
  </si>
  <si>
    <t>June 1-26 shares bought (M)</t>
  </si>
  <si>
    <t>Jul-Aug buybacks ($M)</t>
  </si>
  <si>
    <t>Jul-Aug avg. price ($)</t>
  </si>
  <si>
    <t>Assumption: STZ closed at $130.62 on Aug 31, 2026 (TradingKey, published 2026-10-03, read from 10-04 search extract); Jul-Aug average price not disclosed</t>
  </si>
  <si>
    <t>Jul-Aug shares bought (M)</t>
  </si>
  <si>
    <t>Shares outstanding 6/26/26 (M)</t>
  </si>
  <si>
    <t>S10 cover: 170,752,511 Class A + 25,923 Class 1</t>
  </si>
  <si>
    <t>Implied shares out. 5/31/26 (M)</t>
  </si>
  <si>
    <t>Weighting: June buybacks</t>
  </si>
  <si>
    <t>Assumption: mid-June execution, 79/92 days remaining</t>
  </si>
  <si>
    <t>Weighting: Jul-Aug buybacks</t>
  </si>
  <si>
    <t>Assumption</t>
  </si>
  <si>
    <t>Equity-plan issuance (M)</t>
  </si>
  <si>
    <t>Shares outstanding per filing cover (after period end)</t>
  </si>
  <si>
    <t>Shares outstanding, cover (M)</t>
  </si>
  <si>
    <t>Covers dated 9/30/25 (S7), 12/31/25 (S8), 4/17/26 (S9), 6/26/26 (S10)</t>
  </si>
  <si>
    <t>Shares for 2Q27E EPS (M)</t>
  </si>
  <si>
    <t>Share-check tolerance (+/-)</t>
  </si>
  <si>
    <t>Check: dil. shares vs 1Q27A (=0)</t>
  </si>
  <si>
    <t>Reasonableness test (within +/-3% of 1Q27A), not a reconciliation</t>
  </si>
  <si>
    <t>Guidance</t>
  </si>
  <si>
    <t>Metric</t>
  </si>
  <si>
    <t>Date given</t>
  </si>
  <si>
    <t>Low</t>
  </si>
  <si>
    <t>High</t>
  </si>
  <si>
    <t>Midpoint</t>
  </si>
  <si>
    <t>Actual</t>
  </si>
  <si>
    <t>Beat / miss</t>
  </si>
  <si>
    <t>Comparable EPS ($)</t>
  </si>
  <si>
    <t>2025-04-09</t>
  </si>
  <si>
    <t>FY26</t>
  </si>
  <si>
    <t>S12</t>
  </si>
  <si>
    <t>Reported EPS ($)</t>
  </si>
  <si>
    <t>Beer net sales growth</t>
  </si>
  <si>
    <t>Enterprise organic net sales growth</t>
  </si>
  <si>
    <t>Reported EPS ($; July outlook)</t>
  </si>
  <si>
    <t>2025-07-01</t>
  </si>
  <si>
    <t>S11</t>
  </si>
  <si>
    <t>2025-09-02</t>
  </si>
  <si>
    <t>Beer operating income growth</t>
  </si>
  <si>
    <t>Corporate expense ($M)</t>
  </si>
  <si>
    <t>Interest expense, net ($M; comparable)</t>
  </si>
  <si>
    <t>Beer shipments less depletions (pts)</t>
  </si>
  <si>
    <t>2Q26</t>
  </si>
  <si>
    <t>Operating cash flow ($M)</t>
  </si>
  <si>
    <t>Free cash flow ($M)</t>
  </si>
  <si>
    <t>2025-10-06</t>
  </si>
  <si>
    <t>S3</t>
  </si>
  <si>
    <t>Comparable EPS ($; affirmed)</t>
  </si>
  <si>
    <t>2026-01-07</t>
  </si>
  <si>
    <t>S4</t>
  </si>
  <si>
    <t>2026-04-08</t>
  </si>
  <si>
    <t>FY27</t>
  </si>
  <si>
    <t>pending</t>
  </si>
  <si>
    <t>S5</t>
  </si>
  <si>
    <t>2026-06-30</t>
  </si>
  <si>
    <t>Reported EPS ($; raised)</t>
  </si>
  <si>
    <t>Net sales ($M, GAAP)</t>
  </si>
  <si>
    <t>W&amp;S organic net sales growth</t>
  </si>
  <si>
    <t>Operating margin (comparable)</t>
  </si>
  <si>
    <t>Wine &amp; Spirits operating margin</t>
  </si>
  <si>
    <t>Capital expenditures ($M)</t>
  </si>
  <si>
    <t>Beer marketing % ("over 10%")</t>
  </si>
  <si>
    <t>2026-07-01</t>
  </si>
  <si>
    <t>2Q27</t>
  </si>
  <si>
    <t>S13 (2Q27E value is model estimate)</t>
  </si>
  <si>
    <t>Sources</t>
  </si>
  <si>
    <t>ID</t>
  </si>
  <si>
    <t>Published</t>
  </si>
  <si>
    <t>Retrieved (UTC)</t>
  </si>
  <si>
    <t>Title</t>
  </si>
  <si>
    <t>Publisher | feeds | URL or file</t>
  </si>
  <si>
    <t>2026-10-04</t>
  </si>
  <si>
    <t>attached</t>
  </si>
  <si>
    <t>CapIQ history STZ_history.csv</t>
  </si>
  <si>
    <t>S&amp;P Capital IQ | feeds: Inputs C; IS EPS history; calibration | workspace/STZ_history.csv</t>
  </si>
  <si>
    <t>CapIQ consensus STZ_consensus.json</t>
  </si>
  <si>
    <t>S&amp;P Capital IQ | feeds: Inputs A-B; Cover consensus | workspace/STZ_consensus.json</t>
  </si>
  <si>
    <t>10-04 23:27Z</t>
  </si>
  <si>
    <t>Q2 FY26 earnings release (EX-99.1)</t>
  </si>
  <si>
    <t>Constellation Brands / SEC | feeds: 2Q26A all tabs; 6M YTD cash flow | https://www.sec.gov/Archives/edgar/data/16918/000001691825000140/stzex991_83120258kearnings.htm</t>
  </si>
  <si>
    <t>Q3 FY26 earnings release (EX-99.1)</t>
  </si>
  <si>
    <t>Constellation Brands / SEC | feeds: 3Q26A all tabs; 9M YTD cash flow | https://www.sec.gov/Archives/edgar/data/16918/000001691826000002/stzex991_113020258kearnings.htm</t>
  </si>
  <si>
    <t>10-04 23:26Z</t>
  </si>
  <si>
    <t>Q4 / FY26 earnings release (EX-99.1)</t>
  </si>
  <si>
    <t>Constellation Brands / SEC | feeds: 4Q26A, FY26A; FY27 initial guidance | https://www.sec.gov/Archives/edgar/data/16918/000001691826000008/stzex991_22820268kearnings.htm</t>
  </si>
  <si>
    <t>Q1 FY27 earnings release (EX-99.1)</t>
  </si>
  <si>
    <t>Constellation Brands / SEC | feeds: 1Q27A; 1Q26 comparatives; FY27 guidance update | https://www.sec.gov/Archives/edgar/data/16918/000001691826000028/stzex991_53120268kearnings.htm</t>
  </si>
  <si>
    <t>S7</t>
  </si>
  <si>
    <t>2025-10-07</t>
  </si>
  <si>
    <t>10-04 23:31Z</t>
  </si>
  <si>
    <t>Q2 FY26 Form 10-Q</t>
  </si>
  <si>
    <t>SEC EDGAR | feeds: Segment marketing/G&amp;A; NS bridge; buybacks; cover shares | https://www.sec.gov/Archives/edgar/data/16918/000001691825000141/stz-20250831.htm</t>
  </si>
  <si>
    <t>2026-01-08</t>
  </si>
  <si>
    <t>Q3 FY26 Form 10-Q</t>
  </si>
  <si>
    <t>SEC EDGAR | feeds: 9M segment costs; NS bridge; buybacks; cover shares | https://www.sec.gov/Archives/edgar/data/16918/000001691826000005/stz-20251130.htm</t>
  </si>
  <si>
    <t>S9</t>
  </si>
  <si>
    <t>2026-04-22</t>
  </si>
  <si>
    <t>10-04 23:34Z</t>
  </si>
  <si>
    <t>FY26 Form 10-K (incl. XBRL R59 segment, R127 geography)</t>
  </si>
  <si>
    <t>SEC EDGAR | feeds: FY26 segment costs; geography; Q4 buybacks; cover shares | https://www.sec.gov/Archives/edgar/data/16918/000001691826000011/stz-20260228.htm ; .../R59.htm ; .../R127.htm</t>
  </si>
  <si>
    <t>Q1 FY27 Form 10-Q</t>
  </si>
  <si>
    <t>SEC EDGAR | feeds: Segment costs; NS bridge; buybacks to 6/26/26; cover shares | https://www.sec.gov/Archives/edgar/data/16918/000001691826000029/stz-20260531.htm</t>
  </si>
  <si>
    <t>10-04 23:32Z</t>
  </si>
  <si>
    <t>FY26 outlook update (EX-99.1)</t>
  </si>
  <si>
    <t>Constellation Brands | feeds: Guidance; 2Q26 destock (6-7 pts) | https://ir.cbrands.com/sec-filings/all-sec-filings/content/0000016918-25-000132/stzex991_922025guidanceupd.htm</t>
  </si>
  <si>
    <t>FY25 results / FY26 initial outlook (EX-99.1)</t>
  </si>
  <si>
    <t>Constellation Brands / SEC | feeds: Guidance (FY26 initial) | https://www.sec.gov/Archives/edgar/data/16918/000001691825000017/stzex991_2282025earnings.htm</t>
  </si>
  <si>
    <t>S13</t>
  </si>
  <si>
    <t>10-04 23:28Z</t>
  </si>
  <si>
    <t>Q1 FY27 earnings call transcript</t>
  </si>
  <si>
    <t>Stock Analysis (Quartr) | feeds: Marketing &gt;10% in Q2-Q3; GM strong; shipments vs depletions | https://stockanalysis.com/stocks/stz/transcripts/647542-q1-2027/</t>
  </si>
  <si>
    <t>S14</t>
  </si>
  <si>
    <t>2026-09-08</t>
  </si>
  <si>
    <t>Barclays Global Consumer Conference transcript</t>
  </si>
  <si>
    <t>Stock Analysis (Quartr) | feeds: World Cup/August trends; 2H margin pressure | https://stockanalysis.com/stocks/stz/transcripts/737700-barclays-19th-annual-global-consumer-conference/</t>
  </si>
  <si>
    <t>S15</t>
  </si>
  <si>
    <t>10-04 srch</t>
  </si>
  <si>
    <t>Notice of redemption, 4.350% notes due 2027</t>
  </si>
  <si>
    <t>Constellation Brands | feeds: Debt / interest (redemption 9/18/26 = 3Q27) | https://ir.cbrands.com/news-events/press-releases/detail/344/constellation-brands-announces-delivery-of-notice-of-redemption-for-4-350-senior-notes-due-2027</t>
  </si>
  <si>
    <t>S16</t>
  </si>
  <si>
    <t>2026-09-10</t>
  </si>
  <si>
    <t>Q2 FY27 report-date announcement</t>
  </si>
  <si>
    <t>Constellation Brands | feeds: Cover expected report date | https://www.cbrands.com/blogs/press-releases/constellation-brands-to-report-second-quarter-fiscal-2027-financial-results-on-october-6-2026-after-market-close-and-host-conference-call-on-october-7-2026-at-8-00-am-et</t>
  </si>
  <si>
    <t>S17</t>
  </si>
  <si>
    <t>2026-08-18</t>
  </si>
  <si>
    <t>Bernstein on NielsenIQ 12 weeks to Aug 8, 2026</t>
  </si>
  <si>
    <t>Tradevae | feeds: Depletion assumption (Modelo -4.7%, Corona -6.9%) | https://www.tradevae.com/news/stock-markets/bernstein-backs-four-global-brewers-as-us-volume-headwinds-mask-select-outperformance/</t>
  </si>
  <si>
    <t>S18</t>
  </si>
  <si>
    <t>2026-08-19</t>
  </si>
  <si>
    <t>NielsenIQ Beer Pulse 4 weeks to Aug 8 / Aug 15, 2026</t>
  </si>
  <si>
    <t>Vinetur | feeds: Depletion assumption | https://www.vinetur.com/en/us-beer-sales-fell-45-in-early-august-extending-a-late-summer-slump.html</t>
  </si>
  <si>
    <t>S19</t>
  </si>
  <si>
    <t>2026-07-31</t>
  </si>
  <si>
    <t>Circana 4 weeks to Jul 14, 2026 (STZ +2.1% volume)</t>
  </si>
  <si>
    <t>Brewbound (LinkedIn) | feeds: Depletion assumption (June-July) | https://www.linkedin.com/posts/brewbound_beerindustry-beveragealcohol-circana-activity-7488987768694468608-w7qi</t>
  </si>
  <si>
    <t>S20</t>
  </si>
  <si>
    <t>2026-09-03</t>
  </si>
  <si>
    <t>10-04 23:29Z</t>
  </si>
  <si>
    <t>Beer shipments down 5% in July as imports slid 12%</t>
  </si>
  <si>
    <t>Beer Marketer's Insights | feeds: Shipment cross-check (imports) | https://beerinsights.com/archive-article/60872</t>
  </si>
  <si>
    <t>S21</t>
  </si>
  <si>
    <t>2026-08-25</t>
  </si>
  <si>
    <t>Wine and beer imports by volume, June 2026 (Mexico +1%)</t>
  </si>
  <si>
    <t>DISCUS / Census | feeds: Shipment cross-check (imports) | https://distilledspirits.org/wp-content/uploads/2026/08/Wine-And-Beer-Imports-Volume-June-2026.pdf</t>
  </si>
  <si>
    <t>S22</t>
  </si>
  <si>
    <t>2026-08-28</t>
  </si>
  <si>
    <t>NBWA BPI Jun-Aug 2026 (imports 61/51/40)</t>
  </si>
  <si>
    <t>NBWA | feeds: Shipment / distributor inventory assumption | https://nbwa.org/press-release/august-bpi-reflects-end-of-summer-inventory-adjustment/</t>
  </si>
  <si>
    <t>S23</t>
  </si>
  <si>
    <t>Beer Institute July 2026 taxable removals (-2.8%)</t>
  </si>
  <si>
    <t>Beer Institute | feeds: Industry context | https://www.beerinstitute.org/press-releases/beer-institute-releases-july-2026-taxable-removals-estimate/</t>
  </si>
  <si>
    <t>2026-09-28</t>
  </si>
  <si>
    <t>UBS/TD Cowen/Bernstein previews (UBS $3.33 vs VA $3.54)</t>
  </si>
  <si>
    <t>Investing.com | feeds: Consensus context; P(beat) | https://uk.investing.com/news/stock-market-news/bernstein-cuts-constellation-brands-stock-price-target-on-volume-concerns-93CH-4885880</t>
  </si>
  <si>
    <t>S25</t>
  </si>
  <si>
    <t>2026-09-25</t>
  </si>
  <si>
    <t>JPMorgan cuts PT to $133; lowers Q2 beer margins</t>
  </si>
  <si>
    <t>Intellectia / MarketScreener | feeds: Margin assumption; P(beat) | https://intellectia.ai/news/stock/constellation-brands-stock-price-decline-yet-potential-for-recovery</t>
  </si>
  <si>
    <t>2026-10-01</t>
  </si>
  <si>
    <t>Zacks preview: EPS $3.62, revenue $2.57B, beer NS $2.43B</t>
  </si>
  <si>
    <t>Zacks via MetaTrader | feeds: Other consensus (recorded separately) | https://www.metatrader.com/en/news/zacks/4281377-countdown-to-constellation-brands-stz-q2-earnings-a-look</t>
  </si>
  <si>
    <t>Earnings Whispers preview (whisper $3.55)</t>
  </si>
  <si>
    <t>Earnings Whispers | feeds: Other consensus (recorded separately) | https://secure.earningswhispers.com/article/STZ/20296</t>
  </si>
  <si>
    <t>S28</t>
  </si>
  <si>
    <t>MarketBeat preview (EPS $3.55, revenue $2.538B)</t>
  </si>
  <si>
    <t>MarketBeat | feeds: Consensus cross-check | https://www.marketbeat.com/instant-alerts/upcoming-constellation-brands-stz-set-to-release-quarterly-earnings-on-tuesday-2026-09-29/</t>
  </si>
  <si>
    <t>S29</t>
  </si>
  <si>
    <t>2026-10-02</t>
  </si>
  <si>
    <t>STZ market cap $19.27B (Oct 2, 2026 close $112.87)</t>
  </si>
  <si>
    <t>Stock Analysis (Nasdaq Data Link) | feeds: Size bucket (large) | https://stockanalysis.com/stocks/stz/market-cap/</t>
  </si>
  <si>
    <t>S30</t>
  </si>
  <si>
    <t>2026-08-09</t>
  </si>
  <si>
    <t>S&amp;P 500 constituents list (STZ, added 2005-07-01)</t>
  </si>
  <si>
    <t>Wikipedia / TopForeignStocks | feeds: S&amp;P 500 membership | https://en.wikipedia.org/wiki/List_of_S%26P_500_companies</t>
  </si>
  <si>
    <t>S31</t>
  </si>
  <si>
    <t>2026-08-06</t>
  </si>
  <si>
    <t>Molson Coors Q2 2026: U.S. beer industry -4.2%</t>
  </si>
  <si>
    <t>MarketBeat / Molson Coors | feeds: Peer context | https://www.marketbeat.com/instant-alerts/molson-coors-beverage-q2-earnings-call-highlights-2026-08-09/</t>
  </si>
  <si>
    <t>S32</t>
  </si>
  <si>
    <t>Forecasting playbook v2; FactSet / LSEG beat-rate references</t>
  </si>
  <si>
    <t>Task file | feeds: Calibration method | workspace/forecasting-playbook.md</t>
  </si>
  <si>
    <t>Omitted tab: Geo — FY26 10-K geographic note (S9, R127) shows U.S. net sales $9,005.7M of $9,139.0M (98.5%); effectively one country.</t>
  </si>
  <si>
    <t>Omitted tab: Segment - Corporate Operations and Other — reported segment with no net sales (S9 segment note); its expense is modeled on Income Statement.</t>
  </si>
  <si>
    <t>Not available in sources: 1Q27 wine/spirits and channel splits (S6, S10 checked); 4Q26/FY26 beer net-sales bridge (10-K MD&amp;A text truncated on retrieval); target-quarter actuals (not published at cutoff).</t>
  </si>
  <si>
    <t>Retrieval: every cited document has a publication date on or before 2026-10-04 (column C), before the 2026-10-04 22:22 UTC cutoff. Retrieval times in column D (23:26Z-23:34Z) are after the cutoff; this is not leakage, but no frozen pre-cutoff snapshots exist. SEC filings are fixed documents; web pages are as retrieved. CapIQ files (S1, S2) carry October 4 date precision only. 'srch' = read from search-result extracts on 2026-10-04. No target-quarter actual results were encountered.</t>
  </si>
  <si>
    <t>Inputs (CapIQ raw data and beat-probability calibration)</t>
  </si>
  <si>
    <t>A. CapIQ consensus file STZ_consensus.json — top-level fields (raw)</t>
  </si>
  <si>
    <t>source</t>
  </si>
  <si>
    <t>S&amp;P Capital IQ</t>
  </si>
  <si>
    <t>ticker</t>
  </si>
  <si>
    <t>STZ</t>
  </si>
  <si>
    <t>company</t>
  </si>
  <si>
    <t>Constellation Brands, Inc.</t>
  </si>
  <si>
    <t>fiscal_period</t>
  </si>
  <si>
    <t>Q2 FY2027</t>
  </si>
  <si>
    <t>period_end_date</t>
  </si>
  <si>
    <t>2026-08-31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</si>
  <si>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</si>
  <si>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</si>
  <si>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</si>
  <si>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</si>
  <si>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</si>
  <si>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</si>
  <si>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</si>
  <si>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USD</t>
  </si>
  <si>
    <t>summary_sha256</t>
  </si>
  <si>
    <t>dcd0ceefcbfabc05b4b93dc4d870480edb653ec275c18d538b8e064442f96004</t>
  </si>
  <si>
    <t>captured_precision</t>
  </si>
  <si>
    <t>date only, user confirmed</t>
  </si>
  <si>
    <t>currency_units_status</t>
  </si>
  <si>
    <t>USD per common share inferred; verify filings</t>
  </si>
  <si>
    <t>B. CapIQ summary_row (raw; blank = missing in source; target-price fields not used)</t>
  </si>
  <si>
    <t>company_name</t>
  </si>
  <si>
    <t>exchange_ticker</t>
  </si>
  <si>
    <t>NYSE:STZ</t>
  </si>
  <si>
    <t>capiq_company_id</t>
  </si>
  <si>
    <t>258589</t>
  </si>
  <si>
    <t>sp500_member</t>
  </si>
  <si>
    <t>Y</t>
  </si>
  <si>
    <t>market_cap_usd_m</t>
  </si>
  <si>
    <t>fiscal_quarter</t>
  </si>
  <si>
    <t>FQ2 2027 - Aug 2026</t>
  </si>
  <si>
    <t>quarter_end_date</t>
  </si>
  <si>
    <t>expected_report_date</t>
  </si>
  <si>
    <t>2026-10-06</t>
  </si>
  <si>
    <t>fiscal_year_end</t>
  </si>
  <si>
    <t>Feb-28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</si>
  <si>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</si>
  <si>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</si>
  <si>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</si>
  <si>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</si>
  <si>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</si>
  <si>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</si>
  <si>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</si>
  <si>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</si>
  <si>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</si>
  <si>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</si>
  <si>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</si>
  <si>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</si>
  <si>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</si>
  <si>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</si>
  <si>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</si>
  <si>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</si>
  <si>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</si>
  <si>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</si>
  <si>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</si>
  <si>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</si>
  <si>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</si>
  <si>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</si>
  <si>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</si>
  <si>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</si>
  <si>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</si>
  <si>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</si>
  <si>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</si>
  <si>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</si>
  <si>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</si>
  <si>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</si>
  <si>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</si>
  <si>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</si>
  <si>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</si>
  <si>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</si>
  <si>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</si>
  <si>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</si>
  <si>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</si>
  <si>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</si>
  <si>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</si>
  <si>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</si>
  <si>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</si>
  <si>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</si>
  <si>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</si>
  <si>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</si>
  <si>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</si>
  <si>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</si>
  <si>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adj_nii_per_share_consensus</t>
  </si>
  <si>
    <t>target_price_mean</t>
  </si>
  <si>
    <t>S2; not used (malformed ranges per task)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</si>
  <si>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</si>
  <si>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</si>
  <si>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</si>
  <si>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</si>
  <si>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</si>
  <si>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</si>
  <si>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</si>
  <si>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</si>
  <si>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</si>
  <si>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</si>
  <si>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units</t>
  </si>
  <si>
    <t>per-share in USD; revenue and income in USD millions</t>
  </si>
  <si>
    <t>estimates_captured_at</t>
  </si>
  <si>
    <t>notes</t>
  </si>
  <si>
    <t>C. CapIQ history STZ_history.csv (6 rows x 8 columns, raw)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</si>
  <si>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</si>
  <si>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</si>
  <si>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</si>
  <si>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</si>
  <si>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</si>
  <si>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</si>
  <si>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</si>
  <si>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Columns: period_end_date, report_date, eps_normalized_consensus, eps_normalized_actual, eps_gaap_consensus, eps_gaap_actual, revenue_m_consensus, revenue_m_actual</t>
  </si>
  <si>
    <t>2025-02-28</t>
  </si>
  <si>
    <t>S1 row 1</t>
  </si>
  <si>
    <t>2025-05-31</t>
  </si>
  <si>
    <t>S1 row 2</t>
  </si>
  <si>
    <t>2025-08-31</t>
  </si>
  <si>
    <t>S1 row 3</t>
  </si>
  <si>
    <t>2025-11-30</t>
  </si>
  <si>
    <t>S1 row 4</t>
  </si>
  <si>
    <t>2026-02-28</t>
  </si>
  <si>
    <t>S1 row 5</t>
  </si>
  <si>
    <t>2026-05-31</t>
  </si>
  <si>
    <t>S1 row 6</t>
  </si>
  <si>
    <t>D. Beat-probability calibration (playbook v2; links to Cover)</t>
  </si>
  <si>
    <t>Normalized EPS surprise per quarter ($, actual - consensus): see rows below</t>
  </si>
  <si>
    <t xml:space="preserve">  2025-02-28 surprise ($)</t>
  </si>
  <si>
    <t xml:space="preserve">  2025-05-31 surprise ($)</t>
  </si>
  <si>
    <t xml:space="preserve">  2025-08-31 surprise ($)</t>
  </si>
  <si>
    <t xml:space="preserve">  2025-11-30 surprise ($)</t>
  </si>
  <si>
    <t xml:space="preserve">  2026-02-28 surprise ($)</t>
  </si>
  <si>
    <t xml:space="preserve">  2026-05-31 surprise ($)</t>
  </si>
  <si>
    <t>b = strict beats</t>
  </si>
  <si>
    <t>Per-row scalar test summed over rows 101-106: a beat counts only where both consensus and actual are numeric (blank/text rows count 0, so b cannot exceed n)</t>
  </si>
  <si>
    <t>n = valid pairs</t>
  </si>
  <si>
    <t>Per-row scalar count: IF(AND(ISNUMBER(consensus),ISNUMBER(actual)),1,0) summed over rows 101-106; blanks/text count 0, numeric zero counts 1; no array evaluation</t>
  </si>
  <si>
    <t>Mean surprise ($/share)</t>
  </si>
  <si>
    <t>Market cap at cutoff ($M)</t>
  </si>
  <si>
    <t>S29 stockanalysis.com: $19.27B as of Oct 2, 2026 close ($112.87); marketcap.company $19.35B Oct 4</t>
  </si>
  <si>
    <t>Mid-cap threshold ($M)</t>
  </si>
  <si>
    <t>Playbook: small $300M-2B, mid $2-10B, large &gt;$10B</t>
  </si>
  <si>
    <t>Large-cap threshold ($M)</t>
  </si>
  <si>
    <t>Cohort prior: small cap</t>
  </si>
  <si>
    <t>Playbook v2 hypotheses</t>
  </si>
  <si>
    <t>Cohort prior: mid cap</t>
  </si>
  <si>
    <t>Cohort prior: large cap or S&amp;P 500</t>
  </si>
  <si>
    <t>Size bucket</t>
  </si>
  <si>
    <t>S&amp;P 500 member (S2, S30)</t>
  </si>
  <si>
    <t>Cohort prior (large / S&amp;P 500)</t>
  </si>
  <si>
    <t>Pseudo-count</t>
  </si>
  <si>
    <t>Starting p = (8 x prior + b)/(8 + n)</t>
  </si>
  <si>
    <t>Quarter-specific adjustment</t>
  </si>
  <si>
    <t>Analyst judgment (unchanged): weak summer scanner data (S17, S18), CEO 'lackluster' August (S14), Q2 marketing &gt;10% of sales (S13), sell-side cuts (UBS $3.33, S24; JPMorgan beer margins, S25)</t>
  </si>
  <si>
    <t>Final P(beat consensus EPS)</t>
  </si>
  <si>
    <t>Bounded to [0,1] as a guard only (bound inactive when C129 is within [0,1]); display-only, not used in EPS</t>
  </si>
  <si>
    <t>low</t>
  </si>
  <si>
    <t>Check tolerance (Cover overall check)</t>
  </si>
  <si>
    <t>Tightened from 0.05 so a 1-cent EPS gap or a 0.1 $M gap fails the check</t>
  </si>
  <si>
    <t>E. Input files</t>
  </si>
  <si>
    <t>STZ_history.csv — SHA256 acbe87fcc698e6e471a2a8327cfff9ae209f65943a399eb7ed32e42206be1caf; 6 rows x 8 cols; feeds IS EPS history, RS revenue check, calibration</t>
  </si>
  <si>
    <t>STZ_consensus.json — SHA256 3fd42878d83802cdc311d368f254640a0664958b164f549c44b9bb75717ee478; summary_row 73 fields; feeds Cover consensus, tax-rate note, calibration</t>
  </si>
</sst>
</file>

<file path=xl/styles.xml><?xml version="1.0" encoding="utf-8"?>
<styleSheet xmlns="http://schemas.openxmlformats.org/spreadsheetml/2006/main">
  <numFmts count="13">
    <numFmt numFmtId="164" formatCode="0.0%_);(0.0%);&quot;–&quot;_)"/>
    <numFmt numFmtId="165" formatCode="#,##0.0_);(#,##0.0);&quot;–&quot;_)"/>
    <numFmt numFmtId="166" formatCode="$0.00_);($0.00);&quot;–&quot;_)"/>
    <numFmt numFmtId="167" formatCode="0"/>
    <numFmt numFmtId="168" formatCode="d-mmm-yy"/>
    <numFmt numFmtId="169" formatCode="#,##0&quot; bp&quot;_);(#,##0&quot; bp&quot;);&quot;–&quot;_)"/>
    <numFmt numFmtId="170" formatCode="0.0&quot;x&quot;_);(0.0&quot;x&quot;);&quot;–&quot;_)"/>
    <numFmt numFmtId="171" formatCode="#,##0.00_);(#,##0.00);&quot;–&quot;_)"/>
    <numFmt numFmtId="172" formatCode="#,##0_);(#,##0);&quot;–&quot;_)"/>
    <numFmt numFmtId="173" formatCode="0.0%"/>
    <numFmt numFmtId="174" formatCode="yyyy-mm-dd"/>
    <numFmt numFmtId="175" formatCode="General"/>
    <numFmt numFmtId="176" formatCode="0.000"/>
  </numFmts>
  <fonts count="14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/>
      <strike val="0"/>
      <sz val="10"/>
      <color rgb="FF000000"/>
      <name val="Arial"/>
    </font>
    <font>
      <b/>
      <i val="0"/>
      <strike val="0"/>
      <sz val="12"/>
      <color rgb="FF000000"/>
      <name val="Arial"/>
    </font>
    <font>
      <b/>
      <i val="0"/>
      <strike val="0"/>
      <u/>
      <sz val="10"/>
      <color rgb="FF000000"/>
      <name val="Arial"/>
    </font>
    <font>
      <b/>
      <i val="0"/>
      <strike val="0"/>
      <sz val="14"/>
      <color rgb="FF000000"/>
      <name val="Arial"/>
    </font>
    <font>
      <b/>
      <i val="0"/>
      <strike val="0"/>
      <sz val="10"/>
      <color rgb="FF000000"/>
      <name val="Arial"/>
      <family val="2"/>
      <scheme val="minor"/>
    </font>
    <font>
      <b/>
      <i/>
      <strike val="0"/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</patternFill>
    </fill>
    <fill>
      <patternFill patternType="solid">
        <fgColor rgb="FFDDEBF7"/>
      </patternFill>
    </fill>
    <fill>
      <patternFill patternType="solid">
        <fgColor rgb="FFEEF4FB"/>
      </patternFill>
    </fill>
  </fills>
  <borders count="4">
    <border/>
    <border>
      <bottom style="thin">
        <color rgb="FF7F7F7F"/>
      </bottom>
    </border>
    <border>
      <top style="thin">
        <color rgb="FF7F7F7F"/>
      </top>
      <bottom style="thin">
        <color rgb="FF7F7F7F"/>
      </bottom>
    </border>
    <border>
      <top style="thin">
        <color rgb="FF7F7F7F"/>
      </top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66" fontId="1" fillId="2" borderId="0" xfId="0" applyNumberFormat="1" applyFont="1" applyFill="1" applyAlignment="1" applyProtection="1">
      <alignment horizontal="right" vertical="bottom"/>
      <protection locked="1" hidden="0"/>
    </xf>
    <xf numFmtId="167" fontId="1" fillId="3" borderId="1" xfId="0" applyNumberFormat="1" applyFont="1" applyFill="1" applyBorder="1" applyAlignment="1" applyProtection="1">
      <alignment horizontal="right" vertical="bottom"/>
      <protection locked="1" hidden="0"/>
    </xf>
    <xf numFmtId="0" fontId="3" fillId="3" borderId="2" xfId="0" applyFont="1" applyFill="1" applyBorder="1" applyAlignment="1" applyProtection="1">
      <alignment horizontal="right" vertical="bottom" wrapText="1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0" fontId="3" fillId="3" borderId="3" xfId="0" applyFont="1" applyFill="1" applyBorder="1" applyAlignment="1" applyProtection="1">
      <alignment horizontal="right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167" fontId="1" fillId="4" borderId="1" xfId="0" applyNumberFormat="1" applyFont="1" applyFill="1" applyBorder="1" applyAlignment="1" applyProtection="1">
      <alignment horizontal="right" vertical="bottom"/>
      <protection locked="1" hidden="0"/>
    </xf>
    <xf numFmtId="164" fontId="2" fillId="5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169" fontId="2" fillId="5" borderId="0" xfId="0" applyNumberFormat="1" applyFont="1" applyFill="1" applyAlignment="1" applyProtection="1">
      <alignment horizontal="right" vertical="bottom"/>
      <protection locked="1" hidden="0"/>
    </xf>
    <xf numFmtId="169" fontId="2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5" fontId="3" fillId="2" borderId="0" xfId="0" applyNumberFormat="1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bottom"/>
      <protection locked="1" hidden="0"/>
    </xf>
    <xf numFmtId="0" fontId="1" fillId="5" borderId="0" xfId="0" applyFont="1" applyFill="1" applyAlignment="1" applyProtection="1">
      <alignment horizontal="right" vertical="bottom"/>
      <protection locked="1" hidden="0"/>
    </xf>
    <xf numFmtId="165" fontId="3" fillId="2" borderId="3" xfId="0" applyNumberFormat="1" applyFont="1" applyFill="1" applyBorder="1" applyAlignment="1" applyProtection="1">
      <alignment horizontal="right" vertical="bottom"/>
      <protection locked="1" hidden="0"/>
    </xf>
    <xf numFmtId="0" fontId="1" fillId="5" borderId="0" xfId="0" applyFont="1" applyFill="1" applyAlignment="1" applyProtection="1">
      <alignment horizontal="general" vertical="bottom"/>
      <protection locked="1" hidden="0"/>
    </xf>
    <xf numFmtId="168" fontId="1" fillId="4" borderId="0" xfId="0" applyNumberFormat="1" applyFont="1" applyFill="1" applyAlignment="1" applyProtection="1">
      <alignment horizontal="right" vertical="bottom"/>
      <protection locked="1" hidden="0"/>
    </xf>
    <xf numFmtId="165" fontId="1" fillId="5" borderId="0" xfId="0" applyNumberFormat="1" applyFont="1" applyFill="1" applyAlignment="1" applyProtection="1">
      <alignment horizontal="right" vertical="bottom"/>
      <protection locked="1" hidden="0"/>
    </xf>
    <xf numFmtId="0" fontId="3" fillId="3" borderId="3" xfId="0" applyFont="1" applyFill="1" applyBorder="1" applyAlignment="1" applyProtection="1">
      <alignment horizontal="general" vertical="bottom"/>
      <protection locked="1" hidden="0"/>
    </xf>
    <xf numFmtId="0" fontId="6" fillId="2" borderId="0" xfId="0" applyFont="1" applyFill="1" applyAlignment="1" applyProtection="1">
      <alignment horizontal="general" vertical="bottom"/>
      <protection locked="1" hidden="0"/>
    </xf>
    <xf numFmtId="170" fontId="1" fillId="2" borderId="0" xfId="0" applyNumberFormat="1" applyFont="1" applyFill="1" applyAlignment="1" applyProtection="1">
      <alignment horizontal="right" vertical="bottom"/>
      <protection locked="1" hidden="0"/>
    </xf>
    <xf numFmtId="171" fontId="1" fillId="2" borderId="0" xfId="0" applyNumberFormat="1" applyFont="1" applyFill="1" applyAlignment="1" applyProtection="1">
      <alignment horizontal="right" vertical="bottom"/>
      <protection locked="1" hidden="0"/>
    </xf>
    <xf numFmtId="165" fontId="3" fillId="5" borderId="0" xfId="0" applyNumberFormat="1" applyFont="1" applyFill="1" applyAlignment="1" applyProtection="1">
      <alignment horizontal="right" vertical="bottom"/>
      <protection locked="1" hidden="0"/>
    </xf>
    <xf numFmtId="171" fontId="1" fillId="5" borderId="0" xfId="0" applyNumberFormat="1" applyFont="1" applyFill="1" applyAlignment="1" applyProtection="1">
      <alignment horizontal="right" vertical="bottom"/>
      <protection locked="1" hidden="0"/>
    </xf>
    <xf numFmtId="171" fontId="3" fillId="2" borderId="0" xfId="0" applyNumberFormat="1" applyFont="1" applyFill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0" fontId="3" fillId="3" borderId="2" xfId="0" applyFont="1" applyFill="1" applyBorder="1" applyAlignment="1" applyProtection="1">
      <alignment horizontal="general" vertical="bottom" wrapText="1"/>
      <protection locked="1" hidden="0"/>
    </xf>
    <xf numFmtId="171" fontId="3" fillId="2" borderId="3" xfId="0" applyNumberFormat="1" applyFont="1" applyFill="1" applyBorder="1" applyAlignment="1" applyProtection="1">
      <alignment horizontal="right" vertical="bottom"/>
      <protection locked="1" hidden="0"/>
    </xf>
    <xf numFmtId="0" fontId="3" fillId="4" borderId="3" xfId="0" applyFont="1" applyFill="1" applyBorder="1" applyAlignment="1" applyProtection="1">
      <alignment horizontal="right" vertical="bottom"/>
      <protection locked="1" hidden="0"/>
    </xf>
    <xf numFmtId="170" fontId="1" fillId="5" borderId="0" xfId="0" applyNumberFormat="1" applyFont="1" applyFill="1" applyAlignment="1" applyProtection="1">
      <alignment horizontal="right" vertical="bottom"/>
      <protection locked="1" hidden="0"/>
    </xf>
    <xf numFmtId="166" fontId="1" fillId="5" borderId="0" xfId="0" applyNumberFormat="1" applyFont="1" applyFill="1" applyAlignment="1" applyProtection="1">
      <alignment horizontal="right" vertical="bottom"/>
      <protection locked="1" hidden="0"/>
    </xf>
    <xf numFmtId="173" fontId="4" fillId="2" borderId="0" xfId="0" applyNumberFormat="1" applyFont="1" applyFill="1" applyAlignment="1" applyProtection="1">
      <alignment horizontal="right" vertical="bottom"/>
      <protection locked="1" hidden="0"/>
    </xf>
    <xf numFmtId="0" fontId="7" fillId="2" borderId="0" xfId="0" applyFont="1" applyFill="1" applyAlignment="1" applyProtection="1">
      <alignment horizontal="general" vertical="bottom"/>
      <protection locked="1" hidden="0"/>
    </xf>
    <xf numFmtId="171" fontId="3" fillId="5" borderId="0" xfId="0" applyNumberFormat="1" applyFont="1" applyFill="1" applyAlignment="1" applyProtection="1">
      <alignment horizontal="right" vertical="bottom"/>
      <protection locked="1" hidden="0"/>
    </xf>
    <xf numFmtId="165" fontId="3" fillId="5" borderId="3" xfId="0" applyNumberFormat="1" applyFont="1" applyFill="1" applyBorder="1" applyAlignment="1" applyProtection="1">
      <alignment horizontal="right" vertical="bottom"/>
      <protection locked="1" hidden="0"/>
    </xf>
    <xf numFmtId="174" fontId="1" fillId="2" borderId="0" xfId="0" applyNumberFormat="1" applyFont="1" applyFill="1" applyAlignment="1" applyProtection="1">
      <alignment horizontal="right" vertical="bottom"/>
      <protection locked="1" hidden="0"/>
    </xf>
    <xf numFmtId="171" fontId="3" fillId="5" borderId="3" xfId="0" applyNumberFormat="1" applyFont="1" applyFill="1" applyBorder="1" applyAlignment="1" applyProtection="1">
      <alignment horizontal="right" vertical="bottom"/>
      <protection locked="1" hidden="0"/>
    </xf>
    <xf numFmtId="174" fontId="1" fillId="2" borderId="0" xfId="0" applyNumberFormat="1" applyFont="1" applyFill="1" applyAlignment="1" applyProtection="1">
      <alignment horizontal="general" vertical="bottom"/>
      <protection locked="1" hidden="0"/>
    </xf>
    <xf numFmtId="0" fontId="3" fillId="2" borderId="0" xfId="0" applyFont="1" applyFill="1" applyAlignment="1" applyProtection="1">
      <alignment horizontal="general" vertical="bottom" wrapText="1"/>
      <protection locked="1" hidden="0"/>
    </xf>
    <xf numFmtId="0" fontId="3" fillId="2" borderId="0" xfId="0" applyFont="1" applyFill="1" applyAlignment="1" applyProtection="1">
      <alignment horizontal="right" vertical="bottom"/>
      <protection locked="1" hidden="0"/>
    </xf>
    <xf numFmtId="166" fontId="3" fillId="2" borderId="3" xfId="0" applyNumberFormat="1" applyFont="1" applyFill="1" applyBorder="1" applyAlignment="1" applyProtection="1">
      <alignment horizontal="right" vertical="bottom"/>
      <protection locked="1" hidden="0"/>
    </xf>
    <xf numFmtId="164" fontId="4" fillId="2" borderId="0" xfId="0" applyNumberFormat="1" applyFont="1" applyFill="1" applyAlignment="1" applyProtection="1">
      <alignment horizontal="right" vertical="bottom"/>
      <protection locked="1" hidden="0"/>
    </xf>
    <xf numFmtId="166" fontId="3" fillId="5" borderId="3" xfId="0" applyNumberFormat="1" applyFont="1" applyFill="1" applyBorder="1" applyAlignment="1" applyProtection="1">
      <alignment horizontal="right" vertical="bottom"/>
      <protection locked="1" hidden="0"/>
    </xf>
    <xf numFmtId="175" fontId="8" fillId="3" borderId="2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0" fontId="9" fillId="0" borderId="0" xfId="0" applyFont="1" applyFill="1" applyAlignment="1" applyProtection="1">
      <alignment horizontal="general" vertical="bottom"/>
      <protection locked="1" hidden="0"/>
    </xf>
    <xf numFmtId="175" fontId="8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76" fontId="1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1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5" fontId="12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2" fontId="1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3" fillId="5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5" fontId="13" fillId="5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Relationship Id="rId13" Type="http://schemas.openxmlformats.org/officeDocument/2006/relationships/theme" Target="theme/theme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2"/>
  <sheetViews>
    <sheetView showGridLines="0" tabSelected="1" workbookViewId="0"/>
  </sheetViews>
  <sheetFormatPr defaultColWidth="8.42578125" defaultRowHeight="15"/>
  <cols>
    <col min="1" max="1" width="10" customWidth="1"/>
    <col min="2" max="2" width="32" customWidth="1"/>
    <col min="3" max="8" width="12" customWidth="1"/>
    <col min="9" max="9" width="2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1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I5" s="1"/>
      <c r="J5" s="52" t="s">
        <v>3</v>
      </c>
      <c r="K5" s="1"/>
    </row>
    <row r="6">
      <c r="A6" s="1"/>
      <c r="I6" s="1"/>
      <c r="J6" s="1"/>
      <c r="K6" s="1"/>
    </row>
    <row r="7">
      <c r="A7" s="1"/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40" t="s">
        <v>4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 t="s">
        <v>5</v>
      </c>
      <c r="C10" s="15"/>
      <c r="D10" s="15"/>
      <c r="E10" s="15"/>
      <c r="F10" s="15"/>
      <c r="G10" s="15"/>
      <c r="H10" s="15"/>
      <c r="I10" s="1"/>
      <c r="J10" s="1"/>
      <c r="K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>
      <c r="A12" s="1"/>
      <c r="B12" s="1" t="s">
        <v>6</v>
      </c>
      <c r="C12" s="1" t="str">
        <f>Inputs!C28</f>
        <v>Constellation Brands, Inc.</v>
      </c>
      <c r="D12" s="1"/>
      <c r="E12" s="1"/>
      <c r="F12" s="1"/>
      <c r="G12" s="1"/>
      <c r="H12" s="1"/>
      <c r="I12" s="1"/>
      <c r="J12" s="1"/>
      <c r="K12" s="1"/>
    </row>
    <row r="13">
      <c r="A13" s="1"/>
      <c r="B13" s="1" t="s">
        <v>7</v>
      </c>
      <c r="C13" s="1" t="str">
        <f>Inputs!C27</f>
        <v>STZ</v>
      </c>
      <c r="D13" s="1"/>
      <c r="E13" s="1"/>
      <c r="F13" s="1"/>
      <c r="G13" s="1"/>
      <c r="H13" s="1"/>
      <c r="I13" s="1"/>
      <c r="J13" s="1"/>
      <c r="K13" s="1"/>
    </row>
    <row r="14">
      <c r="A14" s="1"/>
      <c r="B14" s="1" t="s">
        <v>8</v>
      </c>
      <c r="C14" s="1" t="str">
        <f>Inputs!C29</f>
        <v>NYSE:STZ</v>
      </c>
      <c r="D14" s="1"/>
      <c r="E14" s="1"/>
      <c r="F14" s="1"/>
      <c r="G14" s="1"/>
      <c r="H14" s="1"/>
      <c r="I14" s="1"/>
      <c r="J14" s="1"/>
      <c r="K14" s="1"/>
    </row>
    <row r="15">
      <c r="A15" s="1"/>
      <c r="B15" s="1" t="s">
        <v>9</v>
      </c>
      <c r="C15" s="1" t="str">
        <f>Inputs!C36</f>
        <v>Feb-28</v>
      </c>
      <c r="D15" s="1"/>
      <c r="E15" s="1"/>
      <c r="F15" s="1"/>
      <c r="G15" s="1"/>
      <c r="H15" s="1"/>
      <c r="I15" s="1"/>
      <c r="J15" s="1"/>
      <c r="K15" s="1"/>
    </row>
    <row r="16">
      <c r="A16" s="1"/>
      <c r="B16" s="1" t="s">
        <v>10</v>
      </c>
      <c r="C16" s="1" t="str">
        <f>Inputs!C21</f>
        <v>USD</v>
      </c>
      <c r="D16" s="1"/>
      <c r="E16" s="1"/>
      <c r="F16" s="1"/>
      <c r="G16" s="1"/>
      <c r="H16" s="1"/>
      <c r="I16" s="1"/>
      <c r="J16" s="1"/>
      <c r="K16" s="1"/>
    </row>
    <row r="17">
      <c r="A17" s="1"/>
      <c r="B17" s="1" t="s">
        <v>11</v>
      </c>
      <c r="C17" s="1" t="s">
        <v>12</v>
      </c>
      <c r="D17" s="1"/>
      <c r="E17" s="1"/>
      <c r="F17" s="1"/>
      <c r="G17" s="1"/>
      <c r="H17" s="1"/>
      <c r="I17" s="1"/>
      <c r="J17" s="1"/>
      <c r="K17" s="1"/>
    </row>
    <row r="18">
      <c r="A18" s="1"/>
      <c r="B18" s="1" t="s">
        <v>13</v>
      </c>
      <c r="C18" s="1" t="s">
        <v>14</v>
      </c>
      <c r="D18" s="1"/>
      <c r="E18" s="1"/>
      <c r="F18" s="1"/>
      <c r="G18" s="1"/>
      <c r="H18" s="1"/>
      <c r="I18" s="1"/>
      <c r="J18" s="1"/>
      <c r="K18" s="1"/>
    </row>
    <row r="19">
      <c r="A19" s="1"/>
      <c r="B19" s="1" t="s">
        <v>15</v>
      </c>
      <c r="C19" s="1" t="str">
        <f>Inputs!C35&amp;" (after market close; call 10/7 8:00 ET, S16)"</f>
        <v>2026-10-06 (after market close; call 10/7 8:00 ET, S16)</v>
      </c>
      <c r="D19" s="1"/>
      <c r="E19" s="1"/>
      <c r="F19" s="1"/>
      <c r="G19" s="1"/>
      <c r="H19" s="1"/>
      <c r="I19" s="1"/>
      <c r="J19" s="1"/>
      <c r="K19" s="1"/>
    </row>
    <row r="20">
      <c r="A20" s="1"/>
      <c r="B20" s="1" t="s">
        <v>16</v>
      </c>
      <c r="C20" s="1" t="str">
        <f>TEXT(Inputs!C119,"#,##0")&amp;" / S&amp;P 500 member: "&amp;Inputs!C126</f>
        <v>19,270 / S&amp;P 500 member: Y</v>
      </c>
      <c r="D20" s="1"/>
      <c r="E20" s="1"/>
      <c r="F20" s="1"/>
      <c r="G20" s="1"/>
      <c r="H20" s="1"/>
      <c r="I20" s="1"/>
      <c r="J20" s="1"/>
      <c r="K20" s="1"/>
    </row>
    <row r="21">
      <c r="A21" s="1"/>
      <c r="B21" s="1" t="s">
        <v>17</v>
      </c>
      <c r="C21" s="1" t="s">
        <v>18</v>
      </c>
      <c r="D21" s="1"/>
      <c r="E21" s="1"/>
      <c r="F21" s="1"/>
      <c r="G21" s="1"/>
      <c r="H21" s="1"/>
      <c r="I21" s="1"/>
      <c r="J21" s="1"/>
      <c r="K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ht="45">
      <c r="A23" s="1"/>
      <c r="B23" s="34" t="s">
        <v>19</v>
      </c>
      <c r="C23" s="6" t="s">
        <v>20</v>
      </c>
      <c r="D23" s="6" t="s">
        <v>21</v>
      </c>
      <c r="E23" s="6" t="s">
        <v>22</v>
      </c>
      <c r="F23" s="6" t="s">
        <v>23</v>
      </c>
      <c r="G23" s="6" t="s">
        <v>24</v>
      </c>
      <c r="H23" s="6"/>
      <c r="I23" s="6"/>
      <c r="J23" s="34"/>
      <c r="K23" s="1"/>
    </row>
    <row r="24">
      <c r="A24" s="1"/>
      <c r="B24" s="1" t="s">
        <v>25</v>
      </c>
      <c r="C24" s="3">
        <f>'Income Statement'!H21</f>
        <v>2534.6843795315162</v>
      </c>
      <c r="D24" s="3">
        <f>Inputs!C20</f>
        <v>2539.1</v>
      </c>
      <c r="E24" s="3">
        <f>C24-D24</f>
        <v>-4.415620468483667</v>
      </c>
      <c r="F24" s="3" t="s">
        <v>26</v>
      </c>
      <c r="G24" s="3">
        <f>Guidance!G34</f>
        <v>9000</v>
      </c>
      <c r="H24" s="3"/>
      <c r="I24" s="1"/>
      <c r="J24" s="1"/>
      <c r="K24" s="1"/>
    </row>
    <row r="25">
      <c r="A25" s="1"/>
      <c r="B25" s="7" t="s">
        <v>27</v>
      </c>
      <c r="C25" s="2"/>
      <c r="D25" s="2"/>
      <c r="E25" s="2">
        <f>E24/D24</f>
        <v>-0.0017390494539339398</v>
      </c>
      <c r="F25" s="2"/>
      <c r="G25" s="2"/>
      <c r="H25" s="2"/>
      <c r="I25" s="1"/>
      <c r="J25" s="1"/>
      <c r="K25" s="1"/>
    </row>
    <row r="26">
      <c r="A26" s="1"/>
      <c r="B26" s="1" t="s">
        <v>28</v>
      </c>
      <c r="C26" s="3">
        <f>'Income Statement'!H154</f>
        <v>610.1348581900072</v>
      </c>
      <c r="D26" s="3">
        <f>Inputs!C67</f>
        <v>609.02</v>
      </c>
      <c r="E26" s="3">
        <f>C26-D26</f>
        <v>1.1148581900072259</v>
      </c>
      <c r="F26" s="3" t="s">
        <v>26</v>
      </c>
      <c r="G26" s="3" t="s">
        <v>26</v>
      </c>
      <c r="H26" s="3"/>
      <c r="I26" s="1"/>
      <c r="J26" s="1"/>
      <c r="K26" s="1"/>
    </row>
    <row r="27">
      <c r="A27" s="1"/>
      <c r="B27" s="7" t="s">
        <v>27</v>
      </c>
      <c r="C27" s="2"/>
      <c r="D27" s="2"/>
      <c r="E27" s="2">
        <f>E26/D26</f>
        <v>0.0018305773045338837</v>
      </c>
      <c r="F27" s="2"/>
      <c r="G27" s="2"/>
      <c r="H27" s="2"/>
      <c r="I27" s="1"/>
      <c r="J27" s="1"/>
      <c r="K27" s="1"/>
    </row>
    <row r="28">
      <c r="A28" s="1"/>
      <c r="B28" s="1" t="s">
        <v>29</v>
      </c>
      <c r="C28" s="4">
        <f>'Income Statement'!H159</f>
        <v>3.5691562482601475</v>
      </c>
      <c r="D28" s="4">
        <f>Inputs!C18</f>
        <v>3.55</v>
      </c>
      <c r="E28" s="4">
        <f>C28-D28</f>
        <v>0.019156248260147724</v>
      </c>
      <c r="F28" s="4" t="s">
        <v>26</v>
      </c>
      <c r="G28" s="4">
        <f>Guidance!G32</f>
        <v>11.55</v>
      </c>
      <c r="H28" s="4"/>
      <c r="I28" s="1"/>
      <c r="J28" s="1"/>
      <c r="K28" s="1"/>
    </row>
    <row r="29">
      <c r="A29" s="1"/>
      <c r="B29" s="7" t="s">
        <v>27</v>
      </c>
      <c r="C29" s="2"/>
      <c r="D29" s="2"/>
      <c r="E29" s="2">
        <f>E28/D28</f>
        <v>0.005396126270464148</v>
      </c>
      <c r="F29" s="2"/>
      <c r="G29" s="2"/>
      <c r="H29" s="2"/>
      <c r="I29" s="1"/>
      <c r="J29" s="1"/>
      <c r="K29" s="1"/>
    </row>
    <row r="30">
      <c r="A30" s="1"/>
      <c r="B30" s="1" t="s">
        <v>30</v>
      </c>
      <c r="C30" s="4">
        <f>'Income Statement'!H91</f>
        <v>3.5081547158001447</v>
      </c>
      <c r="D30" s="4">
        <f>Inputs!C47</f>
        <v>3.55</v>
      </c>
      <c r="E30" s="4">
        <f>C30-D30</f>
        <v>-0.041845284199855115</v>
      </c>
      <c r="F30" s="4" t="s">
        <v>26</v>
      </c>
      <c r="G30" s="4">
        <f>Guidance!G33</f>
        <v>11.85</v>
      </c>
      <c r="H30" s="4"/>
      <c r="I30" s="1"/>
      <c r="J30" s="1"/>
      <c r="K30" s="1"/>
    </row>
    <row r="31">
      <c r="A31" s="1"/>
      <c r="B31" s="7" t="s">
        <v>27</v>
      </c>
      <c r="C31" s="2"/>
      <c r="D31" s="2"/>
      <c r="E31" s="2">
        <f>E30/D30</f>
        <v>-0.011787403999959188</v>
      </c>
      <c r="F31" s="2"/>
      <c r="G31" s="2"/>
      <c r="H31" s="2"/>
      <c r="I31" s="1"/>
      <c r="J31" s="1"/>
      <c r="K31" s="1"/>
    </row>
    <row r="32">
      <c r="A32" s="1"/>
      <c r="B32" s="1" t="s">
        <v>31</v>
      </c>
      <c r="C32" s="3">
        <f>ROUND(ABS(C24-'Income Statement'!H21)+ABS(C26-'Income Statement'!H154)+ABS(C28-'Income Statement'!H159)+ABS(C30-'Income Statement'!H91),2)</f>
        <v>0</v>
      </c>
      <c r="D32" s="3"/>
      <c r="E32" s="3"/>
      <c r="F32" s="3"/>
      <c r="G32" s="3"/>
      <c r="H32" s="3"/>
      <c r="I32" s="1"/>
      <c r="J32" s="1"/>
      <c r="K32" s="1"/>
    </row>
    <row r="33" ht="105">
      <c r="A33" s="1"/>
      <c r="B33" s="56" t="s">
        <v>32</v>
      </c>
      <c r="C33" s="12" t="str">
        <f>IF(AND(ABS('Revenue summary'!C51)&lt;Inputs!$C$133,ABS('Revenue summary'!D51)&lt;Inputs!$C$133,ABS('Revenue summary'!E51)&lt;Inputs!$C$133,ABS('Revenue summary'!F51)&lt;Inputs!$C$133,ABS('Revenue summary'!G51)&lt;Inputs!$C$133,ABS('Revenue summary'!H51)&lt;Inputs!$C$133,ABS('Revenue summary'!C53)&lt;Inputs!$C$133,ABS('Revenue summary'!D53)&lt;Inputs!$C$133,ABS('Revenue summary'!E53)&lt;Inputs!$C$133,ABS('Revenue summary'!F53)&lt;Inputs!$C$133,ABS('Revenue summary'!G53)&lt;Inputs!$C$133,ABS('Segment - Beer'!C115)&lt;Inputs!$C$133,ABS('Segment - Beer'!D115)&lt;Inputs!$C$133,ABS('Segment - Beer'!E115)&lt;Inputs!$C$133,ABS('Segment - Beer'!F115)&lt;Inputs!$C$133,ABS('Segment - Beer'!G115)&lt;Inputs!$C$133,ABS('Segment - Wine and Spirits'!C159)&lt;Inputs!$C$133,ABS('Segment - Wine and Spirits'!D159)&lt;Inputs!$C$133,ABS('Segment - Wine and Spirits'!E159)&lt;Inputs!$C$133,ABS('Segment - Wine and Spirits'!F159)&lt;Inputs!$C$133,ABS('Segment - Wine and Spirits'!G159)&lt;Inputs!$C$133,ABS('Segment - Wine and Spirits'!C65)&lt;Inputs!$C$133,ABS('Segment - Wine and Spirits'!D65)&lt;Inputs!$C$133,ABS('Segment - Wine and Spirits'!E65)&lt;Inputs!$C$133,ABS('Segment - Wine and Spirits'!F65)&lt;Inputs!$C$133,ABS('Segment - Wine and Spirits'!H65)&lt;Inputs!$C$133,ABS('Segment - Wine and Spirits'!C115)&lt;Inputs!$C$133,ABS('Segment - Wine and Spirits'!D115)&lt;Inputs!$C$133,ABS('Segment - Wine and Spirits'!E115)&lt;Inputs!$C$133,ABS('Segment - Wine and Spirits'!F115)&lt;Inputs!$C$133,ABS('Segment - Wine and Spirits'!H115)&lt;Inputs!$C$133,ABS('Income Statement'!C96)&lt;Inputs!$C$133,ABS('Income Statement'!D96)&lt;Inputs!$C$133,ABS('Income Statement'!E96)&lt;Inputs!$C$133,ABS('Income Statement'!F96)&lt;Inputs!$C$133,ABS('Income Statement'!G96)&lt;Inputs!$C$133,ABS('Income Statement'!H96)&lt;Inputs!$C$133,ABS('Income Statement'!C123)&lt;Inputs!$C$133,ABS('Income Statement'!D123)&lt;Inputs!$C$133,ABS('Income Statement'!E123)&lt;Inputs!$C$133,ABS('Income Statement'!F123)&lt;Inputs!$C$133,ABS('Income Statement'!G123)&lt;Inputs!$C$133,ABS('Income Statement'!H123)&lt;Inputs!$C$133,ABS('Income Statement'!C152)&lt;Inputs!$C$133,ABS('Income Statement'!D152)&lt;Inputs!$C$133,ABS('Income Statement'!E152)&lt;Inputs!$C$133,ABS('Income Statement'!F152)&lt;Inputs!$C$133,ABS('Income Statement'!G152)&lt;Inputs!$C$133,ABS('Income Statement'!C163)&lt;Inputs!$C$133,ABS('Income Statement'!D163)&lt;Inputs!$C$133,ABS('Income Statement'!E163)&lt;Inputs!$C$133,ABS('Income Statement'!F163)&lt;Inputs!$C$133,ABS('Income Statement'!G163)&lt;Inputs!$C$133,ABS('Income Statement'!H163)&lt;Inputs!$C$133,ABS('Income Statement'!C190)&lt;Inputs!$C$133,ABS('Income Statement'!D190)&lt;Inputs!$C$133,ABS('Income Statement'!E190)&lt;Inputs!$C$133,ABS('Income Statement'!F190)&lt;Inputs!$C$133,ABS('Income Statement'!G190)&lt;Inputs!$C$133,ABS('Income Statement'!H190)&lt;Inputs!$C$133,ABS('Income Statement'!F197)&lt;Inputs!$C$133,ABS('Balance Sheet'!C38)&lt;Inputs!$C$133,ABS('Balance Sheet'!D38)&lt;Inputs!$C$133,ABS('Balance Sheet'!E38)&lt;Inputs!$C$133,ABS('Balance Sheet'!F38)&lt;Inputs!$C$133,ABS('Balance Sheet'!G38)&lt;Inputs!$C$133,ABS('Balance Sheet'!H38)&lt;Inputs!$C$133,ABS('Balance Sheet'!C39)&lt;Inputs!$C$133,ABS('Balance Sheet'!D39)&lt;Inputs!$C$133,ABS('Balance Sheet'!E39)&lt;Inputs!$C$133,ABS('Balance Sheet'!F39)&lt;Inputs!$C$133,ABS('Balance Sheet'!G39)&lt;Inputs!$C$133,ABS('Cash Flow Statement'!C25)&lt;Inputs!$C$133,ABS('Cash Flow Statement'!D25)&lt;Inputs!$C$133,ABS('Cash Flow Statement'!E25)&lt;Inputs!$C$133,ABS('Cash Flow Statement'!F25)&lt;Inputs!$C$133,ABS('Cash Flow Statement'!G25)&lt;Inputs!$C$133,ABS('Cash Flow Statement'!C33)&lt;Inputs!$C$133,ABS('Cash Flow Statement'!D33)&lt;Inputs!$C$133,ABS('Cash Flow Statement'!E33)&lt;Inputs!$C$133,ABS('Cash Flow Statement'!F33)&lt;Inputs!$C$133,ABS('Cash Flow Statement'!G33)&lt;Inputs!$C$133,ABS('Cash Flow Statement'!C44)&lt;Inputs!$C$133,ABS('Cash Flow Statement'!D44)&lt;Inputs!$C$133,ABS('Cash Flow Statement'!E44)&lt;Inputs!$C$133,ABS('Cash Flow Statement'!F44)&lt;Inputs!$C$133,ABS('Cash Flow Statement'!G44)&lt;Inputs!$C$133,ABS('Cash Flow Statement'!C50)&lt;Inputs!$C$133,ABS('Cash Flow Statement'!D50)&lt;Inputs!$C$133,ABS('Cash Flow Statement'!E50)&lt;Inputs!$C$133,ABS('Cash Flow Statement'!F50)&lt;Inputs!$C$133,ABS('Cash Flow Statement'!G50)&lt;Inputs!$C$133,ABS('Cash Flow Statement'!H50)&lt;Inputs!$C$133,ABS('Cash Flow Statement'!C54)&lt;Inputs!$C$133,ABS('Cash Flow Statement'!D54)&lt;Inputs!$C$133,ABS('Cash Flow Statement'!E54)&lt;Inputs!$C$133,ABS('Cash Flow Statement'!F54)&lt;Inputs!$C$133,ABS('Cash Flow Statement'!G54)&lt;Inputs!$C$133,ABS('Cash Flow Statement'!H54)&lt;Inputs!$C$133,ABS('Share Count'!H51)&lt;Inputs!$C$133,ABS(Cover!C32)&lt;Inputs!$C$133),"PASS","FAIL")</f>
        <v>PASS</v>
      </c>
      <c r="D33" s="1"/>
      <c r="E33" s="1"/>
      <c r="F33" s="1"/>
      <c r="G33" s="1"/>
      <c r="H33" s="1"/>
      <c r="I33" s="1"/>
      <c r="J33" s="55" t="s">
        <v>33</v>
      </c>
      <c r="K33" s="1"/>
    </row>
    <row r="34">
      <c r="A34" s="1"/>
      <c r="B34" s="9" t="s">
        <v>34</v>
      </c>
      <c r="C34" s="39">
        <f>Inputs!C131</f>
        <v>0.62</v>
      </c>
      <c r="D34" s="39"/>
      <c r="E34" s="39"/>
      <c r="F34" s="39"/>
      <c r="G34" s="39"/>
      <c r="H34" s="39"/>
      <c r="I34" s="1"/>
      <c r="J34" s="1"/>
      <c r="K34" s="1"/>
    </row>
    <row r="35">
      <c r="A35" s="1"/>
      <c r="B35" s="12" t="s">
        <v>35</v>
      </c>
      <c r="C35" s="12" t="str">
        <f>Inputs!C132</f>
        <v>low</v>
      </c>
      <c r="D35" s="12"/>
      <c r="E35" s="12"/>
      <c r="F35" s="12"/>
      <c r="G35" s="12"/>
      <c r="H35" s="12"/>
      <c r="I35" s="1"/>
      <c r="J35" s="1"/>
      <c r="K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45">
      <c r="A37" s="1"/>
      <c r="B37" s="34" t="s">
        <v>36</v>
      </c>
      <c r="C37" s="6" t="s">
        <v>37</v>
      </c>
      <c r="D37" s="6" t="s">
        <v>38</v>
      </c>
      <c r="E37" s="6"/>
      <c r="F37" s="6"/>
      <c r="G37" s="6"/>
      <c r="H37" s="6"/>
      <c r="I37" s="6"/>
      <c r="J37" s="34"/>
      <c r="K37" s="1"/>
    </row>
    <row r="38">
      <c r="A38" s="1"/>
      <c r="B38" s="1" t="s">
        <v>39</v>
      </c>
      <c r="C38" s="33">
        <f>Inputs!C43</f>
        <v>19</v>
      </c>
      <c r="D38" s="33" t="s">
        <v>40</v>
      </c>
      <c r="E38" s="33"/>
      <c r="F38" s="33"/>
      <c r="G38" s="33"/>
      <c r="H38" s="33"/>
      <c r="I38" s="1"/>
      <c r="J38" s="1"/>
      <c r="K38" s="1"/>
    </row>
    <row r="39">
      <c r="A39" s="1"/>
      <c r="B39" s="1" t="s">
        <v>41</v>
      </c>
      <c r="C39" s="4">
        <f>Inputs!C39</f>
        <v>3.56</v>
      </c>
      <c r="D39" s="4" t="s">
        <v>40</v>
      </c>
      <c r="E39" s="4"/>
      <c r="F39" s="4"/>
      <c r="G39" s="4"/>
      <c r="H39" s="4"/>
      <c r="I39" s="1"/>
      <c r="J39" s="1"/>
      <c r="K39" s="1"/>
    </row>
    <row r="40">
      <c r="A40" s="1"/>
      <c r="B40" s="1" t="s">
        <v>42</v>
      </c>
      <c r="C40" s="4">
        <f>Inputs!C41</f>
        <v>3.25</v>
      </c>
      <c r="D40" s="4" t="s">
        <v>40</v>
      </c>
      <c r="E40" s="4"/>
      <c r="F40" s="4"/>
      <c r="G40" s="4"/>
      <c r="H40" s="4"/>
      <c r="I40" s="1"/>
      <c r="J40" s="1"/>
      <c r="K40" s="1"/>
    </row>
    <row r="41">
      <c r="A41" s="1"/>
      <c r="B41" s="1" t="s">
        <v>43</v>
      </c>
      <c r="C41" s="4">
        <f>Inputs!C40</f>
        <v>3.88</v>
      </c>
      <c r="D41" s="4" t="s">
        <v>40</v>
      </c>
      <c r="E41" s="4"/>
      <c r="F41" s="4"/>
      <c r="G41" s="4"/>
      <c r="H41" s="4"/>
      <c r="I41" s="1"/>
      <c r="J41" s="1"/>
      <c r="K41" s="1"/>
    </row>
    <row r="42">
      <c r="A42" s="1"/>
      <c r="B42" s="1" t="s">
        <v>44</v>
      </c>
      <c r="C42" s="4">
        <f>Inputs!C42</f>
        <v>0.16</v>
      </c>
      <c r="D42" s="4" t="s">
        <v>40</v>
      </c>
      <c r="E42" s="4"/>
      <c r="F42" s="4"/>
      <c r="G42" s="4"/>
      <c r="H42" s="4"/>
      <c r="I42" s="1"/>
      <c r="J42" s="1"/>
      <c r="K42" s="1"/>
    </row>
    <row r="43">
      <c r="A43" s="1"/>
      <c r="B43" s="1" t="s">
        <v>45</v>
      </c>
      <c r="C43" s="33">
        <f>Inputs!C59</f>
        <v>16</v>
      </c>
      <c r="D43" s="33" t="s">
        <v>40</v>
      </c>
      <c r="E43" s="33"/>
      <c r="F43" s="33"/>
      <c r="G43" s="33"/>
      <c r="H43" s="33"/>
      <c r="I43" s="1"/>
      <c r="J43" s="1"/>
      <c r="K43" s="1"/>
    </row>
    <row r="44">
      <c r="A44" s="1"/>
      <c r="B44" s="1" t="s">
        <v>46</v>
      </c>
      <c r="C44" s="4">
        <v>3.62</v>
      </c>
      <c r="D44" s="4" t="s">
        <v>47</v>
      </c>
      <c r="E44" s="4"/>
      <c r="F44" s="4"/>
      <c r="G44" s="4"/>
      <c r="H44" s="4"/>
      <c r="I44" s="1"/>
      <c r="J44" s="1"/>
      <c r="K44" s="1"/>
    </row>
    <row r="45">
      <c r="A45" s="1"/>
      <c r="B45" s="1" t="s">
        <v>48</v>
      </c>
      <c r="C45" s="3">
        <v>2570</v>
      </c>
      <c r="D45" s="3" t="s">
        <v>47</v>
      </c>
      <c r="E45" s="3"/>
      <c r="F45" s="3"/>
      <c r="G45" s="3"/>
      <c r="H45" s="3"/>
      <c r="I45" s="1"/>
      <c r="J45" s="1"/>
      <c r="K45" s="1"/>
    </row>
    <row r="46">
      <c r="A46" s="1"/>
      <c r="B46" s="1" t="s">
        <v>49</v>
      </c>
      <c r="C46" s="4">
        <v>3.54</v>
      </c>
      <c r="D46" s="4" t="s">
        <v>50</v>
      </c>
      <c r="E46" s="4"/>
      <c r="F46" s="4"/>
      <c r="G46" s="4"/>
      <c r="H46" s="4"/>
      <c r="I46" s="1"/>
      <c r="J46" s="1"/>
      <c r="K46" s="1"/>
    </row>
    <row r="47">
      <c r="A47" s="1"/>
      <c r="B47" s="1" t="s">
        <v>51</v>
      </c>
      <c r="C47" s="4">
        <v>3.55</v>
      </c>
      <c r="D47" s="4" t="s">
        <v>52</v>
      </c>
      <c r="E47" s="4"/>
      <c r="F47" s="4"/>
      <c r="G47" s="4"/>
      <c r="H47" s="4"/>
      <c r="I47" s="1"/>
      <c r="J47" s="1"/>
      <c r="K47" s="1"/>
    </row>
    <row r="48">
      <c r="A48" s="1"/>
      <c r="B48" s="1" t="s">
        <v>53</v>
      </c>
      <c r="C48" s="4">
        <v>3.33</v>
      </c>
      <c r="D48" s="4" t="s">
        <v>50</v>
      </c>
      <c r="E48" s="4"/>
      <c r="F48" s="4"/>
      <c r="G48" s="4"/>
      <c r="H48" s="4"/>
      <c r="I48" s="1"/>
      <c r="J48" s="1"/>
      <c r="K48" s="1"/>
    </row>
    <row r="49">
      <c r="A49" s="1"/>
      <c r="B49" s="1" t="s">
        <v>54</v>
      </c>
      <c r="C49" s="4">
        <f>Inputs!C118</f>
        <v>0.22666666666666666</v>
      </c>
      <c r="D49" s="4" t="s">
        <v>55</v>
      </c>
      <c r="E49" s="4"/>
      <c r="F49" s="4"/>
      <c r="G49" s="4"/>
      <c r="H49" s="4"/>
      <c r="I49" s="1"/>
      <c r="J49" s="1"/>
      <c r="K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ht="45">
      <c r="A51" s="1"/>
      <c r="B51" s="34" t="s">
        <v>56</v>
      </c>
      <c r="C51" s="6" t="s">
        <v>57</v>
      </c>
      <c r="D51" s="6" t="s">
        <v>58</v>
      </c>
      <c r="E51" s="6"/>
      <c r="F51" s="6"/>
      <c r="G51" s="6"/>
      <c r="H51" s="6"/>
      <c r="I51" s="6"/>
      <c r="J51" s="34"/>
      <c r="K51" s="1"/>
    </row>
    <row r="52">
      <c r="A52" s="1"/>
      <c r="B52" s="7" t="s">
        <v>59</v>
      </c>
      <c r="C52" s="2">
        <f>'Segment - Beer'!H11</f>
        <v>-0.015</v>
      </c>
      <c r="D52" s="2">
        <f>'Segment - Beer'!C11</f>
        <v>-0.027</v>
      </c>
      <c r="E52" s="2"/>
      <c r="F52" s="2"/>
      <c r="G52" s="2"/>
      <c r="H52" s="2"/>
      <c r="I52" s="1"/>
      <c r="J52" s="1"/>
      <c r="K52" s="1"/>
    </row>
    <row r="53">
      <c r="A53" s="1"/>
      <c r="B53" s="7" t="s">
        <v>60</v>
      </c>
      <c r="C53" s="2">
        <f>'Segment - Beer'!H32</f>
        <v>0.015120102214650682</v>
      </c>
      <c r="D53" s="2">
        <f>'Segment - Beer'!C32</f>
        <v>-0.08709175738724717</v>
      </c>
      <c r="E53" s="2"/>
      <c r="F53" s="2"/>
      <c r="G53" s="2"/>
      <c r="H53" s="2"/>
      <c r="I53" s="1"/>
      <c r="J53" s="1"/>
      <c r="K53" s="1"/>
    </row>
    <row r="54">
      <c r="A54" s="1"/>
      <c r="B54" s="1" t="s">
        <v>61</v>
      </c>
      <c r="C54" s="3">
        <f>'Segment - Beer'!H34</f>
        <v>119.1751</v>
      </c>
      <c r="D54" s="3">
        <f>'Segment - Beer'!C34</f>
        <v>117.4</v>
      </c>
      <c r="E54" s="3"/>
      <c r="F54" s="3"/>
      <c r="G54" s="3"/>
      <c r="H54" s="3"/>
      <c r="I54" s="1"/>
      <c r="J54" s="1"/>
      <c r="K54" s="1"/>
    </row>
    <row r="55">
      <c r="A55" s="1"/>
      <c r="B55" s="1" t="s">
        <v>62</v>
      </c>
      <c r="C55" s="29">
        <f>'Segment - Beer'!H52</f>
        <v>20.094293015332198</v>
      </c>
      <c r="D55" s="29">
        <f>'Segment - Beer'!C52</f>
        <v>19.974446337308347</v>
      </c>
      <c r="E55" s="29"/>
      <c r="F55" s="29"/>
      <c r="G55" s="29"/>
      <c r="H55" s="29"/>
      <c r="I55" s="1"/>
      <c r="J55" s="1"/>
      <c r="K55" s="1"/>
    </row>
    <row r="56">
      <c r="A56" s="1"/>
      <c r="B56" s="7" t="s">
        <v>63</v>
      </c>
      <c r="C56" s="2">
        <f>'Segment - Beer'!H82</f>
        <v>0.534</v>
      </c>
      <c r="D56" s="2">
        <f>'Segment - Beer'!C82</f>
        <v>0.5287846481876333</v>
      </c>
      <c r="E56" s="2"/>
      <c r="F56" s="2"/>
      <c r="G56" s="2"/>
      <c r="H56" s="2"/>
      <c r="I56" s="1"/>
      <c r="J56" s="1"/>
      <c r="K56" s="1"/>
    </row>
    <row r="57">
      <c r="A57" s="1"/>
      <c r="B57" s="7" t="s">
        <v>64</v>
      </c>
      <c r="C57" s="2">
        <f>'Segment - Beer'!H92</f>
        <v>0.102</v>
      </c>
      <c r="D57" s="2">
        <f>'Segment - Beer'!C92</f>
        <v>0.08132196162046908</v>
      </c>
      <c r="E57" s="2"/>
      <c r="F57" s="2"/>
      <c r="G57" s="2"/>
      <c r="H57" s="2"/>
      <c r="I57" s="1"/>
      <c r="J57" s="1"/>
      <c r="K57" s="1"/>
    </row>
    <row r="58">
      <c r="A58" s="1"/>
      <c r="B58" s="7" t="s">
        <v>65</v>
      </c>
      <c r="C58" s="2">
        <f>'Segment - Beer'!H110</f>
        <v>0.38773631063738684</v>
      </c>
      <c r="D58" s="2">
        <f>'Segment - Beer'!C110</f>
        <v>0.40579957356076757</v>
      </c>
      <c r="E58" s="2"/>
      <c r="F58" s="2"/>
      <c r="G58" s="2"/>
      <c r="H58" s="2"/>
      <c r="I58" s="1"/>
      <c r="J58" s="1"/>
      <c r="K58" s="1"/>
    </row>
    <row r="59">
      <c r="A59" s="1"/>
      <c r="B59" s="7" t="s">
        <v>66</v>
      </c>
      <c r="C59" s="2">
        <f>'Income Statement'!H183</f>
        <v>0.198</v>
      </c>
      <c r="D59" s="2">
        <f>'Income Statement'!C183</f>
        <v>0.18455627169062966</v>
      </c>
      <c r="E59" s="2"/>
      <c r="F59" s="2"/>
      <c r="G59" s="2"/>
      <c r="H59" s="2"/>
      <c r="I59" s="1"/>
      <c r="J59" s="1"/>
      <c r="K59" s="1"/>
    </row>
    <row r="60">
      <c r="A60" s="1"/>
      <c r="B60" s="1" t="s">
        <v>67</v>
      </c>
      <c r="C60" s="29">
        <f>'Income Statement'!H95</f>
        <v>170.94652510307694</v>
      </c>
      <c r="D60" s="29">
        <f>'Income Statement'!C95</f>
        <v>175.938</v>
      </c>
      <c r="E60" s="29"/>
      <c r="F60" s="29"/>
      <c r="G60" s="29"/>
      <c r="H60" s="29"/>
      <c r="I60" s="1"/>
      <c r="J60" s="1"/>
      <c r="K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68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26" t="s">
        <v>69</v>
      </c>
      <c r="C5" s="10" t="s">
        <v>58</v>
      </c>
      <c r="D5" s="10" t="s">
        <v>70</v>
      </c>
      <c r="E5" s="10" t="s">
        <v>71</v>
      </c>
      <c r="F5" s="10" t="s">
        <v>72</v>
      </c>
      <c r="G5" s="10" t="s">
        <v>73</v>
      </c>
      <c r="H5" s="36" t="s">
        <v>57</v>
      </c>
      <c r="I5" s="1"/>
      <c r="J5" s="9" t="s">
        <v>3</v>
      </c>
      <c r="K5" s="1"/>
    </row>
    <row r="6">
      <c r="A6" s="1"/>
      <c r="B6" s="18" t="s">
        <v>74</v>
      </c>
      <c r="C6" s="8">
        <v>45900</v>
      </c>
      <c r="D6" s="8">
        <v>45991</v>
      </c>
      <c r="E6" s="8">
        <v>46081</v>
      </c>
      <c r="F6" s="8">
        <v>46081</v>
      </c>
      <c r="G6" s="8">
        <v>46173</v>
      </c>
      <c r="H6" s="24">
        <v>46265</v>
      </c>
      <c r="I6" s="1"/>
      <c r="J6" s="1"/>
      <c r="K6" s="1"/>
    </row>
    <row r="7">
      <c r="A7" s="1"/>
      <c r="B7" s="11" t="s">
        <v>75</v>
      </c>
      <c r="C7" s="5">
        <v>92</v>
      </c>
      <c r="D7" s="5">
        <v>91</v>
      </c>
      <c r="E7" s="5">
        <v>90</v>
      </c>
      <c r="F7" s="5">
        <v>365</v>
      </c>
      <c r="G7" s="5">
        <v>92</v>
      </c>
      <c r="H7" s="13">
        <v>92</v>
      </c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"/>
      <c r="C9" s="1"/>
      <c r="D9" s="1"/>
      <c r="E9" s="1"/>
      <c r="F9" s="1"/>
      <c r="G9" s="1"/>
      <c r="H9" s="23"/>
      <c r="I9" s="1"/>
      <c r="J9" s="1"/>
      <c r="K9" s="1"/>
    </row>
    <row r="10">
      <c r="A10" s="1"/>
      <c r="B10" s="27" t="s">
        <v>76</v>
      </c>
      <c r="C10" s="1"/>
      <c r="D10" s="1"/>
      <c r="E10" s="1"/>
      <c r="F10" s="1"/>
      <c r="G10" s="1"/>
      <c r="H10" s="23"/>
      <c r="I10" s="1"/>
      <c r="J10" s="1"/>
      <c r="K10" s="1"/>
    </row>
    <row r="11">
      <c r="A11" s="1"/>
      <c r="B11" s="1" t="s">
        <v>77</v>
      </c>
      <c r="C11" s="3">
        <f>'Segment - Beer'!C64</f>
        <v>2530.2</v>
      </c>
      <c r="D11" s="3">
        <f>'Segment - Beer'!D64</f>
        <v>2032.4</v>
      </c>
      <c r="E11" s="3">
        <f>'Segment - Beer'!E64</f>
        <v>1704.4</v>
      </c>
      <c r="F11" s="3">
        <f>'Segment - Beer'!F64</f>
        <v>8539.8</v>
      </c>
      <c r="G11" s="3">
        <f>'Segment - Beer'!G64</f>
        <v>2234.5</v>
      </c>
      <c r="H11" s="25">
        <f>'Segment - Beer'!H64</f>
        <v>2345</v>
      </c>
      <c r="I11" s="1"/>
      <c r="J11" s="1"/>
      <c r="K11" s="1"/>
    </row>
    <row r="12">
      <c r="A12" s="1"/>
      <c r="B12" s="12" t="s">
        <v>78</v>
      </c>
      <c r="C12" s="19">
        <f>'Segment - Beer'!C65</f>
        <v>2345</v>
      </c>
      <c r="D12" s="19">
        <f>'Segment - Beer'!D65</f>
        <v>2009.7</v>
      </c>
      <c r="E12" s="19">
        <f>'Segment - Beer'!E65</f>
        <v>1726</v>
      </c>
      <c r="F12" s="19">
        <f>'Segment - Beer'!F65</f>
        <v>8315.2</v>
      </c>
      <c r="G12" s="19">
        <f>'Segment - Beer'!G65</f>
        <v>2283.5</v>
      </c>
      <c r="H12" s="30">
        <f>'Segment - Beer'!H65</f>
        <v>2394.739379531516</v>
      </c>
      <c r="I12" s="1"/>
      <c r="J12" s="1"/>
      <c r="K12" s="1"/>
    </row>
    <row r="13">
      <c r="A13" s="1"/>
      <c r="B13" s="7" t="s">
        <v>79</v>
      </c>
      <c r="C13" s="2">
        <f>IF(AND(ISNUMBER(C12),ISNUMBER(C11)),IF(C11&lt;=0,"n/m",C12/C11-1),"n/a")</f>
        <v>-0.0731957947988301</v>
      </c>
      <c r="D13" s="2">
        <f>IF(AND(ISNUMBER(D12),ISNUMBER(D11)),IF(D11&lt;=0,"n/m",D12/D11-1),"n/a")</f>
        <v>-0.011169061208423536</v>
      </c>
      <c r="E13" s="2">
        <f>IF(AND(ISNUMBER(E12),ISNUMBER(E11)),IF(E11&lt;=0,"n/m",E12/E11-1),"n/a")</f>
        <v>0.01267308143628254</v>
      </c>
      <c r="F13" s="2">
        <f>IF(AND(ISNUMBER(F12),ISNUMBER(F11)),IF(F11&lt;=0,"n/m",F12/F11-1),"n/a")</f>
        <v>-0.026300381741961032</v>
      </c>
      <c r="G13" s="2">
        <f>IF(AND(ISNUMBER(G12),ISNUMBER(G11)),IF(G11&lt;=0,"n/m",G12/G11-1),"n/a")</f>
        <v>0.02192884314164245</v>
      </c>
      <c r="H13" s="14">
        <f>IF(AND(ISNUMBER(H12),ISNUMBER(H11)),IF(H11&lt;=0,"n/m",H12/H11-1),"n/a")</f>
        <v>0.021210822827938625</v>
      </c>
      <c r="I13" s="1"/>
      <c r="J13" s="1"/>
      <c r="K13" s="1"/>
    </row>
    <row r="14">
      <c r="A14" s="1"/>
      <c r="B14" s="7" t="s">
        <v>80</v>
      </c>
      <c r="C14" s="2" t="s">
        <v>26</v>
      </c>
      <c r="D14" s="2">
        <f>IF(AND(ISNUMBER(D12),ISNUMBER(C12)),IF(C12&lt;=0,"n/m",D12/C12-1),"n/a")</f>
        <v>-0.1429850746268656</v>
      </c>
      <c r="E14" s="2">
        <f>IF(AND(ISNUMBER(E12),ISNUMBER(D12)),IF(D12&lt;=0,"n/m",E12/D12-1),"n/a")</f>
        <v>-0.14116534806189984</v>
      </c>
      <c r="F14" s="2" t="s">
        <v>26</v>
      </c>
      <c r="G14" s="2">
        <f>IF(AND(ISNUMBER(G12),ISNUMBER(E12)),IF(E12&lt;=0,"n/m",G12/E12-1),"n/a")</f>
        <v>0.3230011587485515</v>
      </c>
      <c r="H14" s="14">
        <f>IF(AND(ISNUMBER(H12),ISNUMBER(G12)),IF(G12&lt;=0,"n/m",H12/G12-1),"n/a")</f>
        <v>0.048714420640033396</v>
      </c>
      <c r="I14" s="1"/>
      <c r="J14" s="1"/>
      <c r="K14" s="1"/>
    </row>
    <row r="15">
      <c r="A15" s="1"/>
      <c r="B15" s="1" t="s">
        <v>81</v>
      </c>
      <c r="C15" s="3" t="s">
        <v>26</v>
      </c>
      <c r="D15" s="3">
        <f>IF(AND(ISNUMBER(D12),ISNUMBER(C12)),D12-C12,"n/a")</f>
        <v>-335.29999999999995</v>
      </c>
      <c r="E15" s="3">
        <f>IF(AND(ISNUMBER(E12),ISNUMBER(D12)),E12-D12,"n/a")</f>
        <v>-283.70000000000005</v>
      </c>
      <c r="F15" s="3" t="s">
        <v>26</v>
      </c>
      <c r="G15" s="3">
        <f>IF(AND(ISNUMBER(G12),ISNUMBER(E12)),G12-E12,"n/a")</f>
        <v>557.5</v>
      </c>
      <c r="H15" s="25">
        <f>IF(AND(ISNUMBER(H12),ISNUMBER(G12)),H12-G12,"n/a")</f>
        <v>111.23937953151608</v>
      </c>
      <c r="I15" s="1"/>
      <c r="J15" s="1"/>
      <c r="K15" s="1"/>
    </row>
    <row r="16">
      <c r="A16" s="1"/>
      <c r="B16" s="7" t="s">
        <v>82</v>
      </c>
      <c r="C16" s="2">
        <f>IF(AND(ISNUMBER(C12),ISNUMBER(C38)),IF(C38=0,"n/a",C12/C38),"n/a")</f>
        <v>0.9451833937928255</v>
      </c>
      <c r="D16" s="2">
        <f>IF(AND(ISNUMBER(D12),ISNUMBER(D38)),IF(D38=0,"n/a",D12/D38),"n/a")</f>
        <v>0.904129926219183</v>
      </c>
      <c r="E16" s="2">
        <f>IF(AND(ISNUMBER(E12),ISNUMBER(E38)),IF(E38=0,"n/a",E12/E38),"n/a")</f>
        <v>0.898864701593584</v>
      </c>
      <c r="F16" s="2">
        <f>IF(AND(ISNUMBER(F12),ISNUMBER(F38)),IF(F38=0,"n/a",F12/F38),"n/a")</f>
        <v>0.9098588467009521</v>
      </c>
      <c r="G16" s="2">
        <f>IF(AND(ISNUMBER(G12),ISNUMBER(G38)),IF(G38=0,"n/a",G12/G38),"n/a")</f>
        <v>0.9386689686356724</v>
      </c>
      <c r="H16" s="14">
        <f>IF(AND(ISNUMBER(H12),ISNUMBER(H38)),IF(H38=0,"n/a",H12/H38),"n/a")</f>
        <v>0.9447879976181232</v>
      </c>
      <c r="I16" s="1"/>
      <c r="J16" s="1"/>
      <c r="K16" s="1"/>
    </row>
    <row r="17">
      <c r="A17" s="1"/>
      <c r="B17" s="7" t="s">
        <v>83</v>
      </c>
      <c r="C17" s="2">
        <f>IF(AND(ISNUMBER(C11),ISNUMBER(C37)),IF(C37=0,"n/a",C11/C37),"n/a")</f>
        <v>0.8668333961423824</v>
      </c>
      <c r="D17" s="2">
        <f>IF(AND(ISNUMBER(D11),ISNUMBER(D37)),IF(D37=0,"n/a",D11/D37),"n/a")</f>
        <v>0.8249046188814027</v>
      </c>
      <c r="E17" s="2">
        <f>IF(AND(ISNUMBER(E11),ISNUMBER(E37)),IF(E37=0,"n/a",E11/E37),"n/a")</f>
        <v>0.7875427409666389</v>
      </c>
      <c r="F17" s="2">
        <f>IF(AND(ISNUMBER(F11),ISNUMBER(F37)),IF(F37=0,"n/a",F11/F37),"n/a")</f>
        <v>0.8365217902377384</v>
      </c>
      <c r="G17" s="2">
        <f>IF(AND(ISNUMBER(G11),ISNUMBER(G37)),IF(G37=0,"n/a",G11/G37),"n/a")</f>
        <v>0.8884691848906561</v>
      </c>
      <c r="H17" s="14">
        <f>IF(AND(ISNUMBER(H11),ISNUMBER(H37)),IF(H37=0,"n/a",H11/H37),"n/a")</f>
        <v>0.9451833937928255</v>
      </c>
      <c r="I17" s="1"/>
      <c r="J17" s="1"/>
      <c r="K17" s="1"/>
    </row>
    <row r="18">
      <c r="A18" s="1"/>
      <c r="B18" s="7" t="s">
        <v>84</v>
      </c>
      <c r="C18" s="17">
        <f>IF(AND(ISNUMBER(C16),ISNUMBER(C17)),(C16-C17)*10000,"n/a")</f>
        <v>783.4999765044304</v>
      </c>
      <c r="D18" s="17">
        <f>IF(AND(ISNUMBER(D16),ISNUMBER(D17)),(D16-D17)*10000,"n/a")</f>
        <v>792.2530733778033</v>
      </c>
      <c r="E18" s="17">
        <f>IF(AND(ISNUMBER(E16),ISNUMBER(E17)),(E16-E17)*10000,"n/a")</f>
        <v>1113.219606269451</v>
      </c>
      <c r="F18" s="17">
        <f>IF(AND(ISNUMBER(F16),ISNUMBER(F17)),(F16-F17)*10000,"n/a")</f>
        <v>733.3705646321365</v>
      </c>
      <c r="G18" s="17">
        <f>IF(AND(ISNUMBER(G16),ISNUMBER(G17)),(G16-G17)*10000,"n/a")</f>
        <v>501.9978374501632</v>
      </c>
      <c r="H18" s="16">
        <f>IF(AND(ISNUMBER(H16),ISNUMBER(H17)),(H16-H17)*10000,"n/a")</f>
        <v>-3.953961747023005</v>
      </c>
      <c r="I18" s="1"/>
      <c r="J18" s="1"/>
      <c r="K18" s="1"/>
    </row>
    <row r="19">
      <c r="A19" s="1"/>
      <c r="B19" s="7" t="s">
        <v>85</v>
      </c>
      <c r="C19" s="17" t="s">
        <v>26</v>
      </c>
      <c r="D19" s="17">
        <f>IF(AND(ISNUMBER(D16),ISNUMBER(C16)),(D16-C16)*10000,"n/a")</f>
        <v>-410.5346757364248</v>
      </c>
      <c r="E19" s="17">
        <f>IF(AND(ISNUMBER(E16),ISNUMBER(D16)),(E16-D16)*10000,"n/a")</f>
        <v>-52.652246255989745</v>
      </c>
      <c r="F19" s="17" t="s">
        <v>26</v>
      </c>
      <c r="G19" s="17">
        <f>IF(AND(ISNUMBER(G16),ISNUMBER(E16)),(G16-E16)*10000,"n/a")</f>
        <v>398.04267042088395</v>
      </c>
      <c r="H19" s="16">
        <f>IF(AND(ISNUMBER(H16),ISNUMBER(G16)),(H16-G16)*10000,"n/a")</f>
        <v>61.19028982450758</v>
      </c>
      <c r="I19" s="1"/>
      <c r="J19" s="1"/>
      <c r="K19" s="1"/>
    </row>
    <row r="20">
      <c r="A20" s="1"/>
      <c r="B20" s="7" t="s">
        <v>86</v>
      </c>
      <c r="C20" s="2">
        <f>'Segment - Beer'!C71</f>
        <v>-0.0731957947988301</v>
      </c>
      <c r="D20" s="2">
        <f>'Segment - Beer'!D71</f>
        <v>-0.011169061208423536</v>
      </c>
      <c r="E20" s="2">
        <f>'Segment - Beer'!E71</f>
        <v>0.01267308143628254</v>
      </c>
      <c r="F20" s="2">
        <f>'Segment - Beer'!F71</f>
        <v>-0.026300381741961032</v>
      </c>
      <c r="G20" s="2">
        <f>'Segment - Beer'!G71</f>
        <v>0.02192884314164245</v>
      </c>
      <c r="H20" s="14">
        <f>'Segment - Beer'!H71</f>
        <v>0.021210822827938625</v>
      </c>
      <c r="I20" s="1"/>
      <c r="J20" s="1"/>
      <c r="K20" s="1"/>
    </row>
    <row r="21">
      <c r="A21" s="1"/>
      <c r="B21" s="7" t="s">
        <v>87</v>
      </c>
      <c r="C21" s="2">
        <f>'Segment - Beer'!C69</f>
        <v>0</v>
      </c>
      <c r="D21" s="2">
        <f>'Segment - Beer'!D69</f>
        <v>0</v>
      </c>
      <c r="E21" s="2">
        <f>'Segment - Beer'!E69</f>
        <v>0</v>
      </c>
      <c r="F21" s="2">
        <f>'Segment - Beer'!F69</f>
        <v>0</v>
      </c>
      <c r="G21" s="2">
        <f>'Segment - Beer'!G69</f>
        <v>0</v>
      </c>
      <c r="H21" s="14">
        <f>'Segment - Beer'!H69</f>
        <v>0</v>
      </c>
      <c r="I21" s="1"/>
      <c r="J21" s="1"/>
      <c r="K21" s="1"/>
    </row>
    <row r="22">
      <c r="A22" s="1"/>
      <c r="B22" s="7" t="s">
        <v>88</v>
      </c>
      <c r="C22" s="2">
        <f>'Segment - Beer'!C70</f>
        <v>0</v>
      </c>
      <c r="D22" s="2">
        <f>'Segment - Beer'!D70</f>
        <v>0</v>
      </c>
      <c r="E22" s="2">
        <f>'Segment - Beer'!E70</f>
        <v>0</v>
      </c>
      <c r="F22" s="2">
        <f>'Segment - Beer'!F70</f>
        <v>0</v>
      </c>
      <c r="G22" s="2">
        <f>'Segment - Beer'!G70</f>
        <v>0</v>
      </c>
      <c r="H22" s="14">
        <f>'Segment - Beer'!H70</f>
        <v>0</v>
      </c>
      <c r="I22" s="1"/>
      <c r="J22" s="1"/>
      <c r="K22" s="1"/>
    </row>
    <row r="23">
      <c r="A23" s="1"/>
      <c r="B23" s="7" t="s">
        <v>89</v>
      </c>
      <c r="C23" s="2">
        <f>C13</f>
        <v>-0.0731957947988301</v>
      </c>
      <c r="D23" s="2">
        <f>D13</f>
        <v>-0.011169061208423536</v>
      </c>
      <c r="E23" s="2">
        <f>E13</f>
        <v>0.01267308143628254</v>
      </c>
      <c r="F23" s="2">
        <f>F13</f>
        <v>-0.026300381741961032</v>
      </c>
      <c r="G23" s="2">
        <f>G13</f>
        <v>0.02192884314164245</v>
      </c>
      <c r="H23" s="14">
        <f>H13</f>
        <v>0.021210822827938625</v>
      </c>
      <c r="I23" s="1"/>
      <c r="J23" s="1"/>
      <c r="K23" s="1"/>
    </row>
    <row r="24">
      <c r="A24" s="1"/>
      <c r="B24" s="1" t="s">
        <v>90</v>
      </c>
      <c r="C24" s="3">
        <f>'Segment - Wine and Spirits'!C55</f>
        <v>388.7</v>
      </c>
      <c r="D24" s="3">
        <f>'Segment - Wine and Spirits'!D55</f>
        <v>431.4</v>
      </c>
      <c r="E24" s="3">
        <f>'Segment - Wine and Spirits'!E55</f>
        <v>459.8</v>
      </c>
      <c r="F24" s="3">
        <f>'Segment - Wine and Spirits'!F55</f>
        <v>1668.9</v>
      </c>
      <c r="G24" s="3">
        <f>'Segment - Wine and Spirits'!G55</f>
        <v>280.5</v>
      </c>
      <c r="H24" s="25">
        <f>'Segment - Wine and Spirits'!H55</f>
        <v>136</v>
      </c>
      <c r="I24" s="1"/>
      <c r="J24" s="1"/>
      <c r="K24" s="1"/>
    </row>
    <row r="25">
      <c r="A25" s="1"/>
      <c r="B25" s="12" t="s">
        <v>91</v>
      </c>
      <c r="C25" s="19">
        <f>'Segment - Wine and Spirits'!C56</f>
        <v>136</v>
      </c>
      <c r="D25" s="19">
        <f>'Segment - Wine and Spirits'!D56</f>
        <v>213.1</v>
      </c>
      <c r="E25" s="19">
        <f>'Segment - Wine and Spirits'!E56</f>
        <v>194.2</v>
      </c>
      <c r="F25" s="19">
        <f>'Segment - Wine and Spirits'!F56</f>
        <v>823.8</v>
      </c>
      <c r="G25" s="19">
        <f>'Segment - Wine and Spirits'!G56</f>
        <v>149.2</v>
      </c>
      <c r="H25" s="30">
        <f>'Segment - Wine and Spirits'!H56</f>
        <v>139.945</v>
      </c>
      <c r="I25" s="1"/>
      <c r="J25" s="1"/>
      <c r="K25" s="1"/>
    </row>
    <row r="26">
      <c r="A26" s="1"/>
      <c r="B26" s="7" t="s">
        <v>79</v>
      </c>
      <c r="C26" s="2">
        <f>IF(AND(ISNUMBER(C25),ISNUMBER(C24)),IF(C24&lt;=0,"n/m",C25/C24-1),"n/a")</f>
        <v>-0.6501157705171083</v>
      </c>
      <c r="D26" s="2">
        <f>IF(AND(ISNUMBER(D25),ISNUMBER(D24)),IF(D24&lt;=0,"n/m",D25/D24-1),"n/a")</f>
        <v>-0.5060268891979601</v>
      </c>
      <c r="E26" s="2">
        <f>IF(AND(ISNUMBER(E25),ISNUMBER(E24)),IF(E24&lt;=0,"n/m",E25/E24-1),"n/a")</f>
        <v>-0.5776424532405394</v>
      </c>
      <c r="F26" s="2">
        <f>IF(AND(ISNUMBER(F25),ISNUMBER(F24)),IF(F24&lt;=0,"n/m",F25/F24-1),"n/a")</f>
        <v>-0.5063814488585296</v>
      </c>
      <c r="G26" s="2">
        <f>IF(AND(ISNUMBER(G25),ISNUMBER(G24)),IF(G24&lt;=0,"n/m",G25/G24-1),"n/a")</f>
        <v>-0.46809269162210343</v>
      </c>
      <c r="H26" s="14">
        <f>IF(AND(ISNUMBER(H25),ISNUMBER(H24)),IF(H24&lt;=0,"n/m",H25/H24-1),"n/a")</f>
        <v>0.029007352941176512</v>
      </c>
      <c r="I26" s="1"/>
      <c r="J26" s="1"/>
      <c r="K26" s="1"/>
    </row>
    <row r="27">
      <c r="A27" s="1"/>
      <c r="B27" s="7" t="s">
        <v>80</v>
      </c>
      <c r="C27" s="2" t="s">
        <v>26</v>
      </c>
      <c r="D27" s="2">
        <f>IF(AND(ISNUMBER(D25),ISNUMBER(C25)),IF(C25&lt;=0,"n/m",D25/C25-1),"n/a")</f>
        <v>0.5669117647058823</v>
      </c>
      <c r="E27" s="2">
        <f>IF(AND(ISNUMBER(E25),ISNUMBER(D25)),IF(D25&lt;=0,"n/m",E25/D25-1),"n/a")</f>
        <v>-0.08869075551384331</v>
      </c>
      <c r="F27" s="2" t="s">
        <v>26</v>
      </c>
      <c r="G27" s="2">
        <f>IF(AND(ISNUMBER(G25),ISNUMBER(E25)),IF(E25&lt;=0,"n/m",G25/E25-1),"n/a")</f>
        <v>-0.23171987641606595</v>
      </c>
      <c r="H27" s="14">
        <f>IF(AND(ISNUMBER(H25),ISNUMBER(G25)),IF(G25&lt;=0,"n/m",H25/G25-1),"n/a")</f>
        <v>-0.062030831099195716</v>
      </c>
      <c r="I27" s="1"/>
      <c r="J27" s="1"/>
      <c r="K27" s="1"/>
    </row>
    <row r="28">
      <c r="A28" s="1"/>
      <c r="B28" s="1" t="s">
        <v>81</v>
      </c>
      <c r="C28" s="3" t="s">
        <v>26</v>
      </c>
      <c r="D28" s="3">
        <f>IF(AND(ISNUMBER(D25),ISNUMBER(C25)),D25-C25,"n/a")</f>
        <v>77.1</v>
      </c>
      <c r="E28" s="3">
        <f>IF(AND(ISNUMBER(E25),ISNUMBER(D25)),E25-D25,"n/a")</f>
        <v>-18.900000000000006</v>
      </c>
      <c r="F28" s="3" t="s">
        <v>26</v>
      </c>
      <c r="G28" s="3">
        <f>IF(AND(ISNUMBER(G25),ISNUMBER(E25)),G25-E25,"n/a")</f>
        <v>-45</v>
      </c>
      <c r="H28" s="25">
        <f>IF(AND(ISNUMBER(H25),ISNUMBER(G25)),H25-G25,"n/a")</f>
        <v>-9.254999999999995</v>
      </c>
      <c r="I28" s="1"/>
      <c r="J28" s="1"/>
      <c r="K28" s="1"/>
    </row>
    <row r="29">
      <c r="A29" s="1"/>
      <c r="B29" s="7" t="s">
        <v>82</v>
      </c>
      <c r="C29" s="2">
        <f>IF(AND(ISNUMBER(C25),ISNUMBER(C38)),IF(C38=0,"n/a",C25/C38),"n/a")</f>
        <v>0.054816606207174524</v>
      </c>
      <c r="D29" s="2">
        <f>IF(AND(ISNUMBER(D25),ISNUMBER(D38)),IF(D38=0,"n/a",D25/D38),"n/a")</f>
        <v>0.09587007378081698</v>
      </c>
      <c r="E29" s="2">
        <f>IF(AND(ISNUMBER(E25),ISNUMBER(E38)),IF(E38=0,"n/a",E25/E38),"n/a")</f>
        <v>0.101135298406416</v>
      </c>
      <c r="F29" s="2">
        <f>IF(AND(ISNUMBER(F25),ISNUMBER(F38)),IF(F38=0,"n/a",F25/F38),"n/a")</f>
        <v>0.09014115329904802</v>
      </c>
      <c r="G29" s="2">
        <f>IF(AND(ISNUMBER(G25),ISNUMBER(G38)),IF(G38=0,"n/a",G25/G38),"n/a")</f>
        <v>0.0613310313643277</v>
      </c>
      <c r="H29" s="14">
        <f>IF(AND(ISNUMBER(H25),ISNUMBER(H38)),IF(H38=0,"n/a",H25/H38),"n/a")</f>
        <v>0.0552120023818768</v>
      </c>
      <c r="I29" s="1"/>
      <c r="J29" s="1"/>
      <c r="K29" s="1"/>
    </row>
    <row r="30">
      <c r="A30" s="1"/>
      <c r="B30" s="7" t="s">
        <v>83</v>
      </c>
      <c r="C30" s="2">
        <f>IF(AND(ISNUMBER(C24),ISNUMBER(C37)),IF(C37=0,"n/a",C24/C37),"n/a")</f>
        <v>0.1331666038576176</v>
      </c>
      <c r="D30" s="2">
        <f>IF(AND(ISNUMBER(D24),ISNUMBER(D37)),IF(D37=0,"n/a",D24/D37),"n/a")</f>
        <v>0.17509538111859727</v>
      </c>
      <c r="E30" s="2">
        <f>IF(AND(ISNUMBER(E24),ISNUMBER(E37)),IF(E37=0,"n/a",E24/E37),"n/a")</f>
        <v>0.21245725903336105</v>
      </c>
      <c r="F30" s="2">
        <f>IF(AND(ISNUMBER(F24),ISNUMBER(F37)),IF(F37=0,"n/a",F24/F37),"n/a")</f>
        <v>0.16347820976226163</v>
      </c>
      <c r="G30" s="2">
        <f>IF(AND(ISNUMBER(G24),ISNUMBER(G37)),IF(G37=0,"n/a",G24/G37),"n/a")</f>
        <v>0.11153081510934394</v>
      </c>
      <c r="H30" s="14">
        <f>IF(AND(ISNUMBER(H24),ISNUMBER(H37)),IF(H37=0,"n/a",H24/H37),"n/a")</f>
        <v>0.054816606207174524</v>
      </c>
      <c r="I30" s="1"/>
      <c r="J30" s="1"/>
      <c r="K30" s="1"/>
    </row>
    <row r="31">
      <c r="A31" s="1"/>
      <c r="B31" s="7" t="s">
        <v>84</v>
      </c>
      <c r="C31" s="17">
        <f>IF(AND(ISNUMBER(C29),ISNUMBER(C30)),(C29-C30)*10000,"n/a")</f>
        <v>-783.499976504431</v>
      </c>
      <c r="D31" s="17">
        <f>IF(AND(ISNUMBER(D29),ISNUMBER(D30)),(D29-D30)*10000,"n/a")</f>
        <v>-792.2530733778028</v>
      </c>
      <c r="E31" s="17">
        <f>IF(AND(ISNUMBER(E29),ISNUMBER(E30)),(E29-E30)*10000,"n/a")</f>
        <v>-1113.2196062694504</v>
      </c>
      <c r="F31" s="17">
        <f>IF(AND(ISNUMBER(F29),ISNUMBER(F30)),(F29-F30)*10000,"n/a")</f>
        <v>-733.370564632136</v>
      </c>
      <c r="G31" s="17">
        <f>IF(AND(ISNUMBER(G29),ISNUMBER(G30)),(G29-G30)*10000,"n/a")</f>
        <v>-501.9978374501624</v>
      </c>
      <c r="H31" s="16">
        <f>IF(AND(ISNUMBER(H29),ISNUMBER(H30)),(H29-H30)*10000,"n/a")</f>
        <v>3.9539617470227273</v>
      </c>
      <c r="I31" s="1"/>
      <c r="J31" s="1"/>
      <c r="K31" s="1"/>
    </row>
    <row r="32">
      <c r="A32" s="1"/>
      <c r="B32" s="7" t="s">
        <v>85</v>
      </c>
      <c r="C32" s="17" t="s">
        <v>26</v>
      </c>
      <c r="D32" s="17">
        <f>IF(AND(ISNUMBER(D29),ISNUMBER(C29)),(D29-C29)*10000,"n/a")</f>
        <v>410.53467573642456</v>
      </c>
      <c r="E32" s="17">
        <f>IF(AND(ISNUMBER(E29),ISNUMBER(D29)),(E29-D29)*10000,"n/a")</f>
        <v>52.65224625599016</v>
      </c>
      <c r="F32" s="17" t="s">
        <v>26</v>
      </c>
      <c r="G32" s="17">
        <f>IF(AND(ISNUMBER(G29),ISNUMBER(E29)),(G29-E29)*10000,"n/a")</f>
        <v>-398.0426704208829</v>
      </c>
      <c r="H32" s="16">
        <f>IF(AND(ISNUMBER(H29),ISNUMBER(G29)),(H29-G29)*10000,"n/a")</f>
        <v>-61.19028982450904</v>
      </c>
      <c r="I32" s="1"/>
      <c r="J32" s="1"/>
      <c r="K32" s="1"/>
    </row>
    <row r="33">
      <c r="A33" s="1"/>
      <c r="B33" s="7" t="s">
        <v>92</v>
      </c>
      <c r="C33" s="2">
        <f>'Segment - Wine and Spirits'!C63</f>
        <v>-0.19143876337693222</v>
      </c>
      <c r="D33" s="2">
        <f>'Segment - Wine and Spirits'!D63</f>
        <v>-0.06861888111888104</v>
      </c>
      <c r="E33" s="2">
        <f>'Segment - Wine and Spirits'!E63</f>
        <v>-0.06499759268175265</v>
      </c>
      <c r="F33" s="2">
        <f>'Segment - Wine and Spirits'!F63</f>
        <v>-0.13981413803905196</v>
      </c>
      <c r="G33" s="2">
        <f>'Segment - Wine and Spirits'!G63</f>
        <v>0.07725631768953067</v>
      </c>
      <c r="H33" s="14">
        <f>'Segment - Wine and Spirits'!H63</f>
        <v>0.029007352941176512</v>
      </c>
      <c r="I33" s="1"/>
      <c r="J33" s="1"/>
      <c r="K33" s="1"/>
    </row>
    <row r="34">
      <c r="A34" s="1"/>
      <c r="B34" s="7" t="s">
        <v>87</v>
      </c>
      <c r="C34" s="2">
        <f>'Segment - Wine and Spirits'!C61</f>
        <v>-0.5672755338307178</v>
      </c>
      <c r="D34" s="2">
        <f>'Segment - Wine and Spirits'!D61</f>
        <v>-0.46963375057950857</v>
      </c>
      <c r="E34" s="2">
        <f>'Segment - Wine and Spirits'!E61</f>
        <v>-0.5482818616789908</v>
      </c>
      <c r="F34" s="2">
        <f>'Segment - Wine and Spirits'!F61</f>
        <v>-0.42614896039307326</v>
      </c>
      <c r="G34" s="2">
        <f>'Segment - Wine and Spirits'!G61</f>
        <v>-0.5062388591800356</v>
      </c>
      <c r="H34" s="14">
        <f>'Segment - Wine and Spirits'!H61</f>
        <v>0</v>
      </c>
      <c r="I34" s="1"/>
      <c r="J34" s="1"/>
      <c r="K34" s="1"/>
    </row>
    <row r="35">
      <c r="A35" s="1"/>
      <c r="B35" s="61" t="s">
        <v>88</v>
      </c>
      <c r="C35" s="58" t="str">
        <f>'Segment - Wine and Spirits'!C62</f>
        <v>n/d</v>
      </c>
      <c r="D35" s="58" t="str">
        <f>'Segment - Wine and Spirits'!D62</f>
        <v>n/d</v>
      </c>
      <c r="E35" s="58" t="str">
        <f>'Segment - Wine and Spirits'!E62</f>
        <v>n/d</v>
      </c>
      <c r="F35" s="58" t="str">
        <f>'Segment - Wine and Spirits'!F62</f>
        <v>n/d</v>
      </c>
      <c r="G35" s="58" t="str">
        <f>'Segment - Wine and Spirits'!G62</f>
        <v>n/d</v>
      </c>
      <c r="H35" s="60" t="str">
        <f>'Segment - Wine and Spirits'!H62</f>
        <v>n/d</v>
      </c>
      <c r="I35" s="1"/>
      <c r="J35" s="1"/>
      <c r="K35" s="1"/>
    </row>
    <row r="36">
      <c r="A36" s="1"/>
      <c r="B36" s="7" t="s">
        <v>89</v>
      </c>
      <c r="C36" s="2">
        <f>C26</f>
        <v>-0.6501157705171083</v>
      </c>
      <c r="D36" s="2">
        <f>D26</f>
        <v>-0.5060268891979601</v>
      </c>
      <c r="E36" s="2">
        <f>E26</f>
        <v>-0.5776424532405394</v>
      </c>
      <c r="F36" s="2">
        <f>F26</f>
        <v>-0.5063814488585296</v>
      </c>
      <c r="G36" s="2">
        <f>G26</f>
        <v>-0.46809269162210343</v>
      </c>
      <c r="H36" s="14">
        <f>H26</f>
        <v>0.029007352941176512</v>
      </c>
      <c r="I36" s="1"/>
      <c r="J36" s="1"/>
      <c r="K36" s="1"/>
    </row>
    <row r="37">
      <c r="A37" s="1"/>
      <c r="B37" s="1" t="s">
        <v>93</v>
      </c>
      <c r="C37" s="3">
        <f>C11+C24</f>
        <v>2918.8999999999996</v>
      </c>
      <c r="D37" s="3">
        <f>D11+D24</f>
        <v>2463.8</v>
      </c>
      <c r="E37" s="3">
        <f>E11+E24</f>
        <v>2164.2000000000003</v>
      </c>
      <c r="F37" s="3">
        <f>F11+F24</f>
        <v>10208.699999999999</v>
      </c>
      <c r="G37" s="3">
        <f>G11+G24</f>
        <v>2515</v>
      </c>
      <c r="H37" s="25">
        <f>H11+H24</f>
        <v>2481</v>
      </c>
      <c r="I37" s="1"/>
      <c r="J37" s="1"/>
      <c r="K37" s="1"/>
    </row>
    <row r="38">
      <c r="A38" s="1"/>
      <c r="B38" s="12" t="s">
        <v>94</v>
      </c>
      <c r="C38" s="22">
        <f>C12+C25</f>
        <v>2481</v>
      </c>
      <c r="D38" s="22">
        <f>D12+D25</f>
        <v>2222.8</v>
      </c>
      <c r="E38" s="22">
        <f>E12+E25</f>
        <v>1920.2</v>
      </c>
      <c r="F38" s="22">
        <f>F12+F25</f>
        <v>9139</v>
      </c>
      <c r="G38" s="22">
        <f>G12+G25</f>
        <v>2432.7</v>
      </c>
      <c r="H38" s="42">
        <f>H12+H25</f>
        <v>2534.6843795315162</v>
      </c>
      <c r="I38" s="1"/>
      <c r="J38" s="1"/>
      <c r="K38" s="1"/>
    </row>
    <row r="39">
      <c r="A39" s="1"/>
      <c r="B39" s="7" t="s">
        <v>79</v>
      </c>
      <c r="C39" s="2">
        <f>IF(AND(ISNUMBER(C38),ISNUMBER(C37)),IF(C37&lt;=0,"n/m",C38/C37-1),"n/a")</f>
        <v>-0.1500222686628523</v>
      </c>
      <c r="D39" s="2">
        <f>IF(AND(ISNUMBER(D38),ISNUMBER(D37)),IF(D37&lt;=0,"n/m",D38/D37-1),"n/a")</f>
        <v>-0.09781638119977265</v>
      </c>
      <c r="E39" s="2">
        <f>IF(AND(ISNUMBER(E38),ISNUMBER(E37)),IF(E37&lt;=0,"n/m",E38/E37-1),"n/a")</f>
        <v>-0.11274373902596813</v>
      </c>
      <c r="F39" s="2">
        <f>IF(AND(ISNUMBER(F38),ISNUMBER(F37)),IF(F37&lt;=0,"n/m",F38/F37-1),"n/a")</f>
        <v>-0.10478317513493385</v>
      </c>
      <c r="G39" s="2">
        <f>IF(AND(ISNUMBER(G38),ISNUMBER(G37)),IF(G37&lt;=0,"n/m",G38/G37-1),"n/a")</f>
        <v>-0.032723658051689974</v>
      </c>
      <c r="H39" s="14">
        <f>IF(AND(ISNUMBER(H38),ISNUMBER(H37)),IF(H37&lt;=0,"n/m",H38/H37-1),"n/a")</f>
        <v>0.021638202148938523</v>
      </c>
      <c r="I39" s="1"/>
      <c r="J39" s="1"/>
      <c r="K39" s="1"/>
    </row>
    <row r="40">
      <c r="A40" s="1"/>
      <c r="B40" s="7" t="s">
        <v>80</v>
      </c>
      <c r="C40" s="2" t="s">
        <v>26</v>
      </c>
      <c r="D40" s="2">
        <f>IF(AND(ISNUMBER(D38),ISNUMBER(C38)),IF(C38&lt;=0,"n/m",D38/C38-1),"n/a")</f>
        <v>-0.10407093913744447</v>
      </c>
      <c r="E40" s="2">
        <f>IF(AND(ISNUMBER(E38),ISNUMBER(D38)),IF(D38&lt;=0,"n/m",E38/D38-1),"n/a")</f>
        <v>-0.13613460500269936</v>
      </c>
      <c r="F40" s="2" t="s">
        <v>26</v>
      </c>
      <c r="G40" s="2">
        <f>IF(AND(ISNUMBER(G38),ISNUMBER(E38)),IF(E38&lt;=0,"n/m",G38/E38-1),"n/a")</f>
        <v>0.26689928132486185</v>
      </c>
      <c r="H40" s="14">
        <f>IF(AND(ISNUMBER(H38),ISNUMBER(G38)),IF(G38&lt;=0,"n/m",H38/G38-1),"n/a")</f>
        <v>0.04192230013216447</v>
      </c>
      <c r="I40" s="1"/>
      <c r="J40" s="1"/>
      <c r="K40" s="1"/>
    </row>
    <row r="41">
      <c r="A41" s="1"/>
      <c r="B41" s="1" t="s">
        <v>81</v>
      </c>
      <c r="C41" s="3" t="s">
        <v>26</v>
      </c>
      <c r="D41" s="3">
        <f>IF(AND(ISNUMBER(D38),ISNUMBER(C38)),D38-C38,"n/a")</f>
        <v>-258.1999999999998</v>
      </c>
      <c r="E41" s="3">
        <f>IF(AND(ISNUMBER(E38),ISNUMBER(D38)),E38-D38,"n/a")</f>
        <v>-302.60000000000014</v>
      </c>
      <c r="F41" s="3" t="s">
        <v>26</v>
      </c>
      <c r="G41" s="3">
        <f>IF(AND(ISNUMBER(G38),ISNUMBER(E38)),G38-E38,"n/a")</f>
        <v>512.4999999999998</v>
      </c>
      <c r="H41" s="25">
        <f>IF(AND(ISNUMBER(H38),ISNUMBER(G38)),H38-G38,"n/a")</f>
        <v>101.98437953151642</v>
      </c>
      <c r="I41" s="1"/>
      <c r="J41" s="1"/>
      <c r="K41" s="1"/>
    </row>
    <row r="42">
      <c r="A42" s="1"/>
      <c r="B42" s="7" t="s">
        <v>82</v>
      </c>
      <c r="C42" s="2">
        <f>IF(AND(ISNUMBER(C38),ISNUMBER(C38)),IF(C38=0,"n/a",C38/C38),"n/a")</f>
        <v>1</v>
      </c>
      <c r="D42" s="2">
        <f>IF(AND(ISNUMBER(D38),ISNUMBER(D38)),IF(D38=0,"n/a",D38/D38),"n/a")</f>
        <v>1</v>
      </c>
      <c r="E42" s="2">
        <f>IF(AND(ISNUMBER(E38),ISNUMBER(E38)),IF(E38=0,"n/a",E38/E38),"n/a")</f>
        <v>1</v>
      </c>
      <c r="F42" s="2">
        <f>IF(AND(ISNUMBER(F38),ISNUMBER(F38)),IF(F38=0,"n/a",F38/F38),"n/a")</f>
        <v>1</v>
      </c>
      <c r="G42" s="2">
        <f>IF(AND(ISNUMBER(G38),ISNUMBER(G38)),IF(G38=0,"n/a",G38/G38),"n/a")</f>
        <v>1</v>
      </c>
      <c r="H42" s="14">
        <f>IF(AND(ISNUMBER(H38),ISNUMBER(H38)),IF(H38=0,"n/a",H38/H38),"n/a")</f>
        <v>1</v>
      </c>
      <c r="I42" s="1"/>
      <c r="J42" s="1"/>
      <c r="K42" s="1"/>
    </row>
    <row r="43">
      <c r="A43" s="1"/>
      <c r="B43" s="1" t="s">
        <v>95</v>
      </c>
      <c r="C43" s="3">
        <f>'Segment - Wine and Spirits'!C60</f>
        <v>220.5</v>
      </c>
      <c r="D43" s="3">
        <f>'Segment - Wine and Spirits'!D60</f>
        <v>202.6</v>
      </c>
      <c r="E43" s="3">
        <f>'Segment - Wine and Spirits'!E60</f>
        <v>252.1</v>
      </c>
      <c r="F43" s="3">
        <f>'Segment - Wine and Spirits'!F60</f>
        <v>711.2</v>
      </c>
      <c r="G43" s="3">
        <f>'Segment - Wine and Spirits'!G60</f>
        <v>142</v>
      </c>
      <c r="H43" s="25">
        <f>'Segment - Wine and Spirits'!H60</f>
        <v>0</v>
      </c>
      <c r="I43" s="1"/>
      <c r="J43" s="1"/>
      <c r="K43" s="1"/>
    </row>
    <row r="44">
      <c r="A44" s="1"/>
      <c r="B44" s="7" t="s">
        <v>96</v>
      </c>
      <c r="C44" s="2">
        <f>-C43/C37</f>
        <v>-0.07554215629175375</v>
      </c>
      <c r="D44" s="2">
        <f>-D43/D37</f>
        <v>-0.08223070054387531</v>
      </c>
      <c r="E44" s="2">
        <f>-E43/E37</f>
        <v>-0.11648646151002678</v>
      </c>
      <c r="F44" s="2">
        <f>-F43/F37</f>
        <v>-0.06966606913710856</v>
      </c>
      <c r="G44" s="2">
        <f>-G43/G37</f>
        <v>-0.05646123260437376</v>
      </c>
      <c r="H44" s="14">
        <f>-H43/H37</f>
        <v>0</v>
      </c>
      <c r="I44" s="1"/>
      <c r="J44" s="1"/>
      <c r="K44" s="1"/>
    </row>
    <row r="45">
      <c r="A45" s="1"/>
      <c r="B45" s="61" t="s">
        <v>97</v>
      </c>
      <c r="C45" s="59" t="s">
        <v>98</v>
      </c>
      <c r="D45" s="59" t="s">
        <v>98</v>
      </c>
      <c r="E45" s="59" t="s">
        <v>98</v>
      </c>
      <c r="F45" s="59" t="s">
        <v>98</v>
      </c>
      <c r="G45" s="59" t="s">
        <v>98</v>
      </c>
      <c r="H45" s="62" t="s">
        <v>98</v>
      </c>
      <c r="I45" s="1"/>
      <c r="J45" s="1"/>
      <c r="K45" s="1"/>
    </row>
    <row r="46">
      <c r="A46" s="1"/>
      <c r="B46" s="7" t="s">
        <v>92</v>
      </c>
      <c r="C46" s="2">
        <f>C38/(C37-C43)-1</f>
        <v>-0.08056626148828927</v>
      </c>
      <c r="D46" s="2">
        <f>D38/(D37-D43)-1</f>
        <v>-0.016982133380505915</v>
      </c>
      <c r="E46" s="2">
        <f>E38/(E37-E43)-1</f>
        <v>0.004236180116102606</v>
      </c>
      <c r="F46" s="2">
        <f>F38/(F37-F43)-1</f>
        <v>-0.037746775467228044</v>
      </c>
      <c r="G46" s="2">
        <f>G38/(G37-G43)-1</f>
        <v>0.02515802781289489</v>
      </c>
      <c r="H46" s="14">
        <f>H38/(H37-H43)-1</f>
        <v>0.021638202148938523</v>
      </c>
      <c r="I46" s="1"/>
      <c r="J46" s="1" t="s">
        <v>99</v>
      </c>
      <c r="K46" s="1"/>
    </row>
    <row r="47">
      <c r="A47" s="1"/>
      <c r="B47" s="7" t="s">
        <v>100</v>
      </c>
      <c r="C47" s="2" t="str">
        <f>IF(AND(ISNUMBER(C39),ISNUMBER(C44),ISNUMBER(C45)),(1+C39)/((1+C44)*(1+C45))-1,"n/a")</f>
        <v>n/a</v>
      </c>
      <c r="D47" s="2" t="str">
        <f>IF(AND(ISNUMBER(D39),ISNUMBER(D44),ISNUMBER(D45)),(1+D39)/((1+D44)*(1+D45))-1,"n/a")</f>
        <v>n/a</v>
      </c>
      <c r="E47" s="2" t="str">
        <f>IF(AND(ISNUMBER(E39),ISNUMBER(E44),ISNUMBER(E45)),(1+E39)/((1+E44)*(1+E45))-1,"n/a")</f>
        <v>n/a</v>
      </c>
      <c r="F47" s="2" t="str">
        <f>IF(AND(ISNUMBER(F39),ISNUMBER(F44),ISNUMBER(F45)),(1+F39)/((1+F44)*(1+F45))-1,"n/a")</f>
        <v>n/a</v>
      </c>
      <c r="G47" s="2" t="str">
        <f>IF(AND(ISNUMBER(G39),ISNUMBER(G44),ISNUMBER(G45)),(1+G39)/((1+G44)*(1+G45))-1,"n/a")</f>
        <v>n/a</v>
      </c>
      <c r="H47" s="14" t="str">
        <f>IF(AND(ISNUMBER(H39),ISNUMBER(H44),ISNUMBER(H45)),(1+H39)/((1+H44)*(1+H45))-1,"n/a")</f>
        <v>n/a</v>
      </c>
      <c r="I47" s="1"/>
      <c r="J47" s="1"/>
      <c r="K47" s="1"/>
    </row>
    <row r="48">
      <c r="A48" s="1"/>
      <c r="B48" s="7" t="s">
        <v>89</v>
      </c>
      <c r="C48" s="2">
        <f>C39</f>
        <v>-0.1500222686628523</v>
      </c>
      <c r="D48" s="2">
        <f>D39</f>
        <v>-0.09781638119977265</v>
      </c>
      <c r="E48" s="2">
        <f>E39</f>
        <v>-0.11274373902596813</v>
      </c>
      <c r="F48" s="2">
        <f>F39</f>
        <v>-0.10478317513493385</v>
      </c>
      <c r="G48" s="2">
        <f>G39</f>
        <v>-0.032723658051689974</v>
      </c>
      <c r="H48" s="14">
        <f>H39</f>
        <v>0.021638202148938523</v>
      </c>
      <c r="I48" s="1"/>
      <c r="J48" s="1"/>
      <c r="K48" s="1"/>
    </row>
    <row r="49">
      <c r="A49" s="1"/>
      <c r="B49" s="1"/>
      <c r="C49" s="1"/>
      <c r="D49" s="1"/>
      <c r="E49" s="1"/>
      <c r="F49" s="1"/>
      <c r="G49" s="1"/>
      <c r="H49" s="23"/>
      <c r="I49" s="1"/>
      <c r="J49" s="1"/>
      <c r="K49" s="1"/>
    </row>
    <row r="50">
      <c r="A50" s="1"/>
      <c r="B50" s="27" t="s">
        <v>101</v>
      </c>
      <c r="C50" s="1"/>
      <c r="D50" s="1"/>
      <c r="E50" s="1"/>
      <c r="F50" s="1"/>
      <c r="G50" s="1"/>
      <c r="H50" s="23"/>
      <c r="I50" s="1"/>
      <c r="J50" s="1"/>
      <c r="K50" s="1"/>
    </row>
    <row r="51">
      <c r="A51" s="1"/>
      <c r="B51" s="1" t="s">
        <v>102</v>
      </c>
      <c r="C51" s="3">
        <f>ROUND(C38-'Income Statement'!C21,1)</f>
        <v>0</v>
      </c>
      <c r="D51" s="3">
        <f>ROUND(D38-'Income Statement'!D21,1)</f>
        <v>0</v>
      </c>
      <c r="E51" s="3">
        <f>ROUND(E38-'Income Statement'!E21,1)</f>
        <v>0</v>
      </c>
      <c r="F51" s="3">
        <f>ROUND(F38-'Income Statement'!F21,1)</f>
        <v>0</v>
      </c>
      <c r="G51" s="3">
        <f>ROUND(G38-'Income Statement'!G21,1)</f>
        <v>0</v>
      </c>
      <c r="H51" s="25">
        <f>ROUND(H38-'Income Statement'!H21,1)</f>
        <v>0</v>
      </c>
      <c r="I51" s="1"/>
      <c r="J51" s="1"/>
      <c r="K51" s="1"/>
    </row>
    <row r="52">
      <c r="A52" s="1"/>
      <c r="B52" s="1" t="s">
        <v>103</v>
      </c>
      <c r="C52" s="3">
        <f>Inputs!$I$103</f>
        <v>2481</v>
      </c>
      <c r="D52" s="3">
        <f>Inputs!$I$104</f>
        <v>2222.8</v>
      </c>
      <c r="E52" s="3">
        <f>Inputs!$I$105</f>
        <v>1920.2</v>
      </c>
      <c r="F52" s="3">
        <f>SUM(Inputs!$I$102:$I$105)</f>
        <v>9139</v>
      </c>
      <c r="G52" s="3">
        <f>Inputs!$I$106</f>
        <v>2432.7</v>
      </c>
      <c r="H52" s="25" t="s">
        <v>26</v>
      </c>
      <c r="I52" s="1"/>
      <c r="J52" s="1" t="s">
        <v>104</v>
      </c>
      <c r="K52" s="1"/>
    </row>
    <row r="53">
      <c r="A53" s="1"/>
      <c r="B53" s="1" t="s">
        <v>105</v>
      </c>
      <c r="C53" s="3">
        <f>ROUND(C38-C52,1)</f>
        <v>0</v>
      </c>
      <c r="D53" s="3">
        <f>ROUND(D38-D52,1)</f>
        <v>0</v>
      </c>
      <c r="E53" s="3">
        <f>ROUND(E38-E52,1)</f>
        <v>0</v>
      </c>
      <c r="F53" s="3">
        <f>ROUND(F38-F52,1)</f>
        <v>0</v>
      </c>
      <c r="G53" s="3">
        <f>ROUND(G38-G52,1)</f>
        <v>0</v>
      </c>
      <c r="H53" s="25" t="s">
        <v>26</v>
      </c>
      <c r="I53" s="1"/>
      <c r="J53" s="1"/>
      <c r="K53" s="1"/>
    </row>
    <row r="54">
      <c r="A54" s="1"/>
      <c r="B54" s="1"/>
      <c r="C54" s="1"/>
      <c r="D54" s="1"/>
      <c r="E54" s="1"/>
      <c r="F54" s="1"/>
      <c r="G54" s="1"/>
      <c r="H54" s="23"/>
      <c r="I54" s="1"/>
      <c r="J54" s="1"/>
      <c r="K54" s="1"/>
    </row>
    <row r="55">
      <c r="A55" s="1"/>
      <c r="B55" s="27" t="s">
        <v>106</v>
      </c>
      <c r="C55" s="1"/>
      <c r="D55" s="1"/>
      <c r="E55" s="1"/>
      <c r="F55" s="1"/>
      <c r="G55" s="1"/>
      <c r="H55" s="23"/>
      <c r="I55" s="1"/>
      <c r="J55" s="1"/>
      <c r="K55" s="1"/>
    </row>
    <row r="56">
      <c r="A56" s="1"/>
      <c r="B56" s="1" t="s">
        <v>107</v>
      </c>
      <c r="C56" s="15"/>
      <c r="D56" s="15"/>
      <c r="E56" s="15"/>
      <c r="F56" s="15"/>
      <c r="G56" s="15"/>
      <c r="H56" s="21"/>
      <c r="I56" s="1"/>
      <c r="J56" s="1"/>
      <c r="K56" s="1"/>
    </row>
    <row r="57">
      <c r="A57" s="1"/>
      <c r="B57" s="1"/>
      <c r="C57" s="1"/>
      <c r="D57" s="1"/>
      <c r="E57" s="1"/>
      <c r="F57" s="1"/>
      <c r="G57" s="1"/>
      <c r="H57" s="23"/>
      <c r="I57" s="1"/>
      <c r="J57" s="1"/>
      <c r="K57" s="1"/>
    </row>
    <row r="58">
      <c r="A58" s="1"/>
      <c r="B58" s="1"/>
      <c r="C58" s="1"/>
      <c r="D58" s="1"/>
      <c r="E58" s="1"/>
      <c r="F58" s="1"/>
      <c r="G58" s="1"/>
      <c r="H58" s="23"/>
      <c r="I58" s="1"/>
      <c r="J58" s="1"/>
      <c r="K58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K12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108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26" t="s">
        <v>69</v>
      </c>
      <c r="C5" s="10" t="s">
        <v>58</v>
      </c>
      <c r="D5" s="10" t="s">
        <v>70</v>
      </c>
      <c r="E5" s="10" t="s">
        <v>71</v>
      </c>
      <c r="F5" s="10" t="s">
        <v>72</v>
      </c>
      <c r="G5" s="10" t="s">
        <v>73</v>
      </c>
      <c r="H5" s="36" t="s">
        <v>57</v>
      </c>
      <c r="I5" s="1"/>
      <c r="J5" s="9" t="s">
        <v>3</v>
      </c>
      <c r="K5" s="1"/>
    </row>
    <row r="6">
      <c r="A6" s="1"/>
      <c r="B6" s="18" t="s">
        <v>74</v>
      </c>
      <c r="C6" s="8">
        <v>45900</v>
      </c>
      <c r="D6" s="8">
        <v>45991</v>
      </c>
      <c r="E6" s="8">
        <v>46081</v>
      </c>
      <c r="F6" s="8">
        <v>46081</v>
      </c>
      <c r="G6" s="8">
        <v>46173</v>
      </c>
      <c r="H6" s="24">
        <v>46265</v>
      </c>
      <c r="I6" s="1"/>
      <c r="J6" s="1"/>
      <c r="K6" s="1"/>
    </row>
    <row r="7">
      <c r="A7" s="1"/>
      <c r="B7" s="11" t="s">
        <v>75</v>
      </c>
      <c r="C7" s="5">
        <v>92</v>
      </c>
      <c r="D7" s="5">
        <v>91</v>
      </c>
      <c r="E7" s="5">
        <v>90</v>
      </c>
      <c r="F7" s="5">
        <v>365</v>
      </c>
      <c r="G7" s="5">
        <v>92</v>
      </c>
      <c r="H7" s="13">
        <v>92</v>
      </c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"/>
      <c r="C9" s="1"/>
      <c r="D9" s="1"/>
      <c r="E9" s="1"/>
      <c r="F9" s="1"/>
      <c r="G9" s="1"/>
      <c r="H9" s="23"/>
      <c r="I9" s="1"/>
      <c r="J9" s="1"/>
      <c r="K9" s="1"/>
    </row>
    <row r="10">
      <c r="A10" s="1"/>
      <c r="B10" s="27" t="s">
        <v>109</v>
      </c>
      <c r="C10" s="1"/>
      <c r="D10" s="1"/>
      <c r="E10" s="1"/>
      <c r="F10" s="1"/>
      <c r="G10" s="1"/>
      <c r="H10" s="23"/>
      <c r="I10" s="1"/>
      <c r="J10" s="1"/>
      <c r="K10" s="1"/>
    </row>
    <row r="11">
      <c r="A11" s="1"/>
      <c r="B11" s="7" t="s">
        <v>110</v>
      </c>
      <c r="C11" s="2">
        <v>-0.027</v>
      </c>
      <c r="D11" s="2">
        <v>-0.03</v>
      </c>
      <c r="E11" s="2">
        <v>0.006</v>
      </c>
      <c r="F11" s="2">
        <v>-0.021</v>
      </c>
      <c r="G11" s="2">
        <v>-0.003</v>
      </c>
      <c r="H11" s="14">
        <v>-0.015</v>
      </c>
      <c r="I11" s="1"/>
      <c r="J11" s="1" t="s">
        <v>111</v>
      </c>
      <c r="K11" s="1"/>
    </row>
    <row r="12">
      <c r="A12" s="1"/>
      <c r="B12" s="7" t="s">
        <v>112</v>
      </c>
      <c r="C12" s="17" t="s">
        <v>26</v>
      </c>
      <c r="D12" s="17">
        <f>IF(AND(ISNUMBER(D11),ISNUMBER(C11)),(D11-C11)*10000,"n/a")</f>
        <v>-29.999999999999993</v>
      </c>
      <c r="E12" s="17">
        <f>IF(AND(ISNUMBER(E11),ISNUMBER(D11)),(E11-D11)*10000,"n/a")</f>
        <v>360</v>
      </c>
      <c r="F12" s="17" t="s">
        <v>26</v>
      </c>
      <c r="G12" s="17">
        <f>IF(AND(ISNUMBER(G11),ISNUMBER(E11)),(G11-E11)*10000,"n/a")</f>
        <v>-90.00000000000001</v>
      </c>
      <c r="H12" s="16">
        <f>IF(AND(ISNUMBER(H11),ISNUMBER(G11)),(H11-G11)*10000,"n/a")</f>
        <v>-120</v>
      </c>
      <c r="I12" s="1"/>
      <c r="J12" s="1"/>
      <c r="K12" s="1"/>
    </row>
    <row r="13">
      <c r="A13" s="1"/>
      <c r="B13" s="7" t="s">
        <v>113</v>
      </c>
      <c r="C13" s="2">
        <v>-0.04</v>
      </c>
      <c r="D13" s="2">
        <v>-0.04</v>
      </c>
      <c r="E13" s="2">
        <v>-0.01</v>
      </c>
      <c r="F13" s="2">
        <v>-0.03</v>
      </c>
      <c r="G13" s="2">
        <v>-0.02</v>
      </c>
      <c r="H13" s="14" t="s">
        <v>26</v>
      </c>
      <c r="I13" s="1"/>
      <c r="J13" s="1" t="s">
        <v>114</v>
      </c>
      <c r="K13" s="1"/>
    </row>
    <row r="14">
      <c r="A14" s="1"/>
      <c r="B14" s="7" t="s">
        <v>112</v>
      </c>
      <c r="C14" s="17" t="s">
        <v>26</v>
      </c>
      <c r="D14" s="17">
        <f>IF(AND(ISNUMBER(D13),ISNUMBER(C13)),(D13-C13)*10000,"n/a")</f>
        <v>0</v>
      </c>
      <c r="E14" s="17">
        <f>IF(AND(ISNUMBER(E13),ISNUMBER(D13)),(E13-D13)*10000,"n/a")</f>
        <v>300</v>
      </c>
      <c r="F14" s="17" t="s">
        <v>26</v>
      </c>
      <c r="G14" s="17">
        <f>IF(AND(ISNUMBER(G13),ISNUMBER(E13)),(G13-E13)*10000,"n/a")</f>
        <v>-100</v>
      </c>
      <c r="H14" s="16" t="str">
        <f>IF(AND(ISNUMBER(H13),ISNUMBER(G13)),(H13-G13)*10000,"n/a")</f>
        <v>n/a</v>
      </c>
      <c r="I14" s="1"/>
      <c r="J14" s="1"/>
      <c r="K14" s="1"/>
    </row>
    <row r="15">
      <c r="A15" s="1"/>
      <c r="B15" s="7" t="s">
        <v>115</v>
      </c>
      <c r="C15" s="2">
        <v>-0.07</v>
      </c>
      <c r="D15" s="2">
        <v>-0.09</v>
      </c>
      <c r="E15" s="2">
        <v>-0.06</v>
      </c>
      <c r="F15" s="2">
        <v>-0.07</v>
      </c>
      <c r="G15" s="2">
        <v>-0.05</v>
      </c>
      <c r="H15" s="14" t="s">
        <v>26</v>
      </c>
      <c r="I15" s="1"/>
      <c r="J15" s="1" t="s">
        <v>116</v>
      </c>
      <c r="K15" s="1"/>
    </row>
    <row r="16">
      <c r="A16" s="1"/>
      <c r="B16" s="7" t="s">
        <v>112</v>
      </c>
      <c r="C16" s="17" t="s">
        <v>26</v>
      </c>
      <c r="D16" s="17">
        <f>IF(AND(ISNUMBER(D15),ISNUMBER(C15)),(D15-C15)*10000,"n/a")</f>
        <v>-199.9999999999999</v>
      </c>
      <c r="E16" s="17">
        <f>IF(AND(ISNUMBER(E15),ISNUMBER(D15)),(E15-D15)*10000,"n/a")</f>
        <v>300</v>
      </c>
      <c r="F16" s="17" t="s">
        <v>26</v>
      </c>
      <c r="G16" s="17">
        <f>IF(AND(ISNUMBER(G15),ISNUMBER(E15)),(G15-E15)*10000,"n/a")</f>
        <v>99.99999999999994</v>
      </c>
      <c r="H16" s="16" t="str">
        <f>IF(AND(ISNUMBER(H15),ISNUMBER(G15)),(H15-G15)*10000,"n/a")</f>
        <v>n/a</v>
      </c>
      <c r="I16" s="1"/>
      <c r="J16" s="1"/>
      <c r="K16" s="1"/>
    </row>
    <row r="17">
      <c r="A17" s="1"/>
      <c r="B17" s="7" t="s">
        <v>117</v>
      </c>
      <c r="C17" s="2">
        <v>-0.03</v>
      </c>
      <c r="D17" s="2">
        <v>-0.02</v>
      </c>
      <c r="E17" s="2">
        <v>0.05</v>
      </c>
      <c r="F17" s="2">
        <v>-0.01</v>
      </c>
      <c r="G17" s="2">
        <v>0.06</v>
      </c>
      <c r="H17" s="14" t="s">
        <v>26</v>
      </c>
      <c r="I17" s="1"/>
      <c r="J17" s="1" t="s">
        <v>116</v>
      </c>
      <c r="K17" s="1"/>
    </row>
    <row r="18">
      <c r="A18" s="1"/>
      <c r="B18" s="7" t="s">
        <v>112</v>
      </c>
      <c r="C18" s="17" t="s">
        <v>26</v>
      </c>
      <c r="D18" s="17">
        <f>IF(AND(ISNUMBER(D17),ISNUMBER(C17)),(D17-C17)*10000,"n/a")</f>
        <v>99.99999999999999</v>
      </c>
      <c r="E18" s="17">
        <f>IF(AND(ISNUMBER(E17),ISNUMBER(D17)),(E17-D17)*10000,"n/a")</f>
        <v>700.0000000000001</v>
      </c>
      <c r="F18" s="17" t="s">
        <v>26</v>
      </c>
      <c r="G18" s="17">
        <f>IF(AND(ISNUMBER(G17),ISNUMBER(E17)),(G17-E17)*10000,"n/a")</f>
        <v>99.99999999999994</v>
      </c>
      <c r="H18" s="16" t="str">
        <f>IF(AND(ISNUMBER(H17),ISNUMBER(G17)),(H17-G17)*10000,"n/a")</f>
        <v>n/a</v>
      </c>
      <c r="I18" s="1"/>
      <c r="J18" s="1"/>
      <c r="K18" s="1"/>
    </row>
    <row r="19">
      <c r="A19" s="1"/>
      <c r="B19" s="7" t="s">
        <v>118</v>
      </c>
      <c r="C19" s="2">
        <v>0.14</v>
      </c>
      <c r="D19" s="2">
        <v>0.15</v>
      </c>
      <c r="E19" s="2">
        <v>0.21</v>
      </c>
      <c r="F19" s="2">
        <v>0.15</v>
      </c>
      <c r="G19" s="2">
        <v>0.21</v>
      </c>
      <c r="H19" s="14" t="s">
        <v>26</v>
      </c>
      <c r="I19" s="1"/>
      <c r="J19" s="1" t="s">
        <v>116</v>
      </c>
      <c r="K19" s="1"/>
    </row>
    <row r="20">
      <c r="A20" s="1"/>
      <c r="B20" s="7" t="s">
        <v>112</v>
      </c>
      <c r="C20" s="17" t="s">
        <v>26</v>
      </c>
      <c r="D20" s="17">
        <f>IF(AND(ISNUMBER(D19),ISNUMBER(C19)),(D19-C19)*10000,"n/a")</f>
        <v>99.99999999999982</v>
      </c>
      <c r="E20" s="17">
        <f>IF(AND(ISNUMBER(E19),ISNUMBER(D19)),(E19-D19)*10000,"n/a")</f>
        <v>600</v>
      </c>
      <c r="F20" s="17" t="s">
        <v>26</v>
      </c>
      <c r="G20" s="17">
        <f>IF(AND(ISNUMBER(G19),ISNUMBER(E19)),(G19-E19)*10000,"n/a")</f>
        <v>0</v>
      </c>
      <c r="H20" s="16" t="str">
        <f>IF(AND(ISNUMBER(H19),ISNUMBER(G19)),(H19-G19)*10000,"n/a")</f>
        <v>n/a</v>
      </c>
      <c r="I20" s="1"/>
      <c r="J20" s="1"/>
      <c r="K20" s="1"/>
    </row>
    <row r="21">
      <c r="A21" s="1"/>
      <c r="B21" s="7" t="s">
        <v>119</v>
      </c>
      <c r="C21" s="2">
        <v>0.19</v>
      </c>
      <c r="D21" s="2">
        <v>0.13</v>
      </c>
      <c r="E21" s="2">
        <v>0.17</v>
      </c>
      <c r="F21" s="2">
        <v>0.16</v>
      </c>
      <c r="G21" s="2">
        <v>0.14</v>
      </c>
      <c r="H21" s="14" t="s">
        <v>26</v>
      </c>
      <c r="I21" s="1"/>
      <c r="J21" s="1" t="s">
        <v>116</v>
      </c>
      <c r="K21" s="1"/>
    </row>
    <row r="22">
      <c r="A22" s="1"/>
      <c r="B22" s="7" t="s">
        <v>112</v>
      </c>
      <c r="C22" s="17" t="s">
        <v>26</v>
      </c>
      <c r="D22" s="17">
        <f>IF(AND(ISNUMBER(D21),ISNUMBER(C21)),(D21-C21)*10000,"n/a")</f>
        <v>-600</v>
      </c>
      <c r="E22" s="17">
        <f>IF(AND(ISNUMBER(E21),ISNUMBER(D21)),(E21-D21)*10000,"n/a")</f>
        <v>400.00000000000006</v>
      </c>
      <c r="F22" s="17" t="s">
        <v>26</v>
      </c>
      <c r="G22" s="17">
        <f>IF(AND(ISNUMBER(G21),ISNUMBER(E21)),(G21-E21)*10000,"n/a")</f>
        <v>-300</v>
      </c>
      <c r="H22" s="16" t="str">
        <f>IF(AND(ISNUMBER(H21),ISNUMBER(G21)),(H21-G21)*10000,"n/a")</f>
        <v>n/a</v>
      </c>
      <c r="I22" s="1"/>
      <c r="J22" s="1"/>
      <c r="K22" s="1"/>
    </row>
    <row r="23">
      <c r="A23" s="1"/>
      <c r="B23" s="1"/>
      <c r="C23" s="1"/>
      <c r="D23" s="1"/>
      <c r="E23" s="1"/>
      <c r="F23" s="1"/>
      <c r="G23" s="1"/>
      <c r="H23" s="23"/>
      <c r="I23" s="1"/>
      <c r="J23" s="1"/>
      <c r="K23" s="1"/>
    </row>
    <row r="24">
      <c r="A24" s="1"/>
      <c r="B24" s="27" t="s">
        <v>120</v>
      </c>
      <c r="C24" s="1"/>
      <c r="D24" s="1"/>
      <c r="E24" s="1"/>
      <c r="F24" s="1"/>
      <c r="G24" s="1"/>
      <c r="H24" s="23"/>
      <c r="I24" s="1"/>
      <c r="J24" s="1"/>
      <c r="K24" s="1"/>
    </row>
    <row r="25">
      <c r="A25" s="1"/>
      <c r="B25" s="1" t="s">
        <v>121</v>
      </c>
      <c r="C25" s="3">
        <v>128.6</v>
      </c>
      <c r="D25" s="3">
        <v>102.7</v>
      </c>
      <c r="E25" s="3">
        <v>85.4</v>
      </c>
      <c r="F25" s="3">
        <v>431.8</v>
      </c>
      <c r="G25" s="3">
        <v>111.3</v>
      </c>
      <c r="H25" s="25">
        <f>C34</f>
        <v>117.4</v>
      </c>
      <c r="I25" s="1"/>
      <c r="J25" s="1" t="s">
        <v>122</v>
      </c>
      <c r="K25" s="1"/>
    </row>
    <row r="26">
      <c r="A26" s="1"/>
      <c r="B26" s="7" t="s">
        <v>123</v>
      </c>
      <c r="C26" s="2">
        <f>C11</f>
        <v>-0.027</v>
      </c>
      <c r="D26" s="2">
        <f>D11</f>
        <v>-0.03</v>
      </c>
      <c r="E26" s="2">
        <f>E11</f>
        <v>0.006</v>
      </c>
      <c r="F26" s="2">
        <f>F11</f>
        <v>-0.021</v>
      </c>
      <c r="G26" s="2">
        <f>G11</f>
        <v>-0.003</v>
      </c>
      <c r="H26" s="14">
        <f>H11</f>
        <v>-0.015</v>
      </c>
      <c r="I26" s="1"/>
      <c r="J26" s="1"/>
      <c r="K26" s="1"/>
    </row>
    <row r="27" ht="66.75">
      <c r="A27" s="1"/>
      <c r="B27" s="7" t="s">
        <v>124</v>
      </c>
      <c r="C27" s="2" t="s">
        <v>26</v>
      </c>
      <c r="D27" s="2" t="s">
        <v>26</v>
      </c>
      <c r="E27" s="2" t="s">
        <v>26</v>
      </c>
      <c r="F27" s="2" t="s">
        <v>26</v>
      </c>
      <c r="G27" s="2" t="s">
        <v>26</v>
      </c>
      <c r="H27" s="14">
        <v>0.06</v>
      </c>
      <c r="I27" s="1"/>
      <c r="J27" s="55" t="s">
        <v>125</v>
      </c>
      <c r="K27" s="1"/>
    </row>
    <row r="28">
      <c r="A28" s="1"/>
      <c r="B28" s="7" t="s">
        <v>126</v>
      </c>
      <c r="C28" s="2" t="s">
        <v>26</v>
      </c>
      <c r="D28" s="2" t="s">
        <v>26</v>
      </c>
      <c r="E28" s="2" t="s">
        <v>26</v>
      </c>
      <c r="F28" s="2" t="s">
        <v>26</v>
      </c>
      <c r="G28" s="2" t="s">
        <v>26</v>
      </c>
      <c r="H28" s="14">
        <f>-G30*G25/H25</f>
        <v>-0.019879897785349317</v>
      </c>
      <c r="I28" s="1"/>
      <c r="J28" s="1" t="s">
        <v>127</v>
      </c>
      <c r="K28" s="1"/>
    </row>
    <row r="29">
      <c r="A29" s="1"/>
      <c r="B29" s="7" t="s">
        <v>128</v>
      </c>
      <c r="C29" s="2" t="s">
        <v>26</v>
      </c>
      <c r="D29" s="2" t="s">
        <v>26</v>
      </c>
      <c r="E29" s="2" t="s">
        <v>26</v>
      </c>
      <c r="F29" s="2" t="s">
        <v>26</v>
      </c>
      <c r="G29" s="2" t="s">
        <v>26</v>
      </c>
      <c r="H29" s="14">
        <v>-0.01</v>
      </c>
      <c r="I29" s="1"/>
      <c r="J29" s="1"/>
      <c r="K29" s="1"/>
    </row>
    <row r="30">
      <c r="A30" s="1"/>
      <c r="B30" s="7" t="s">
        <v>129</v>
      </c>
      <c r="C30" s="2">
        <f>C32-C11</f>
        <v>-0.060091757387247174</v>
      </c>
      <c r="D30" s="2">
        <f>D32-D11</f>
        <v>0.007604673807205503</v>
      </c>
      <c r="E30" s="2">
        <f>E32-E11</f>
        <v>0.00453864168618257</v>
      </c>
      <c r="F30" s="2">
        <f>F32-F11</f>
        <v>-0.016980546549328474</v>
      </c>
      <c r="G30" s="2">
        <f>G32-G11</f>
        <v>0.020969451931716173</v>
      </c>
      <c r="H30" s="14">
        <f>SUM(H27,H28,H29)</f>
        <v>0.030120102214650682</v>
      </c>
      <c r="I30" s="1"/>
      <c r="J30" s="1"/>
      <c r="K30" s="1"/>
    </row>
    <row r="31">
      <c r="A31" s="1"/>
      <c r="B31" s="7" t="s">
        <v>112</v>
      </c>
      <c r="C31" s="17" t="s">
        <v>26</v>
      </c>
      <c r="D31" s="17">
        <f>IF(AND(ISNUMBER(D30),ISNUMBER(C30)),(D30-C30)*10000,"n/a")</f>
        <v>676.9643119445268</v>
      </c>
      <c r="E31" s="17">
        <f>IF(AND(ISNUMBER(E30),ISNUMBER(D30)),(E30-D30)*10000,"n/a")</f>
        <v>-30.660321210229327</v>
      </c>
      <c r="F31" s="17" t="s">
        <v>26</v>
      </c>
      <c r="G31" s="17">
        <f>IF(AND(ISNUMBER(G30),ISNUMBER(E30)),(G30-E30)*10000,"n/a")</f>
        <v>164.30810245533604</v>
      </c>
      <c r="H31" s="16">
        <f>IF(AND(ISNUMBER(H30),ISNUMBER(G30)),(H30-G30)*10000,"n/a")</f>
        <v>91.5065028293451</v>
      </c>
      <c r="I31" s="1"/>
      <c r="J31" s="1"/>
      <c r="K31" s="1"/>
    </row>
    <row r="32">
      <c r="A32" s="1"/>
      <c r="B32" s="7" t="s">
        <v>130</v>
      </c>
      <c r="C32" s="2">
        <f>C34/C25-1</f>
        <v>-0.08709175738724717</v>
      </c>
      <c r="D32" s="2">
        <f>D34/D25-1</f>
        <v>-0.022395326192794496</v>
      </c>
      <c r="E32" s="2">
        <f>E34/E25-1</f>
        <v>0.01053864168618257</v>
      </c>
      <c r="F32" s="2">
        <f>F34/F25-1</f>
        <v>-0.037980546549328476</v>
      </c>
      <c r="G32" s="2">
        <f>G34/G25-1</f>
        <v>0.017969451931716174</v>
      </c>
      <c r="H32" s="14">
        <f>H11+H30</f>
        <v>0.015120102214650682</v>
      </c>
      <c r="I32" s="1"/>
      <c r="J32" s="1"/>
      <c r="K32" s="1"/>
    </row>
    <row r="33">
      <c r="A33" s="1"/>
      <c r="B33" s="7" t="s">
        <v>112</v>
      </c>
      <c r="C33" s="17" t="s">
        <v>26</v>
      </c>
      <c r="D33" s="17">
        <f>IF(AND(ISNUMBER(D32),ISNUMBER(C32)),(D32-C32)*10000,"n/a")</f>
        <v>646.9643119445268</v>
      </c>
      <c r="E33" s="17">
        <f>IF(AND(ISNUMBER(E32),ISNUMBER(D32)),(E32-D32)*10000,"n/a")</f>
        <v>329.3396787897707</v>
      </c>
      <c r="F33" s="17" t="s">
        <v>26</v>
      </c>
      <c r="G33" s="17">
        <f>IF(AND(ISNUMBER(G32),ISNUMBER(E32)),(G32-E32)*10000,"n/a")</f>
        <v>74.30810245533604</v>
      </c>
      <c r="H33" s="16">
        <f>IF(AND(ISNUMBER(H32),ISNUMBER(G32)),(H32-G32)*10000,"n/a")</f>
        <v>-28.493497170654912</v>
      </c>
      <c r="I33" s="1"/>
      <c r="J33" s="1"/>
      <c r="K33" s="1"/>
    </row>
    <row r="34">
      <c r="A34" s="1"/>
      <c r="B34" s="12" t="s">
        <v>131</v>
      </c>
      <c r="C34" s="22">
        <v>117.4</v>
      </c>
      <c r="D34" s="22">
        <v>100.4</v>
      </c>
      <c r="E34" s="22">
        <v>86.3</v>
      </c>
      <c r="F34" s="22">
        <v>415.4</v>
      </c>
      <c r="G34" s="22">
        <v>113.3</v>
      </c>
      <c r="H34" s="42">
        <f>H25*(1+H32)</f>
        <v>119.1751</v>
      </c>
      <c r="I34" s="1"/>
      <c r="J34" s="1" t="s">
        <v>132</v>
      </c>
      <c r="K34" s="1"/>
    </row>
    <row r="35">
      <c r="A35" s="1"/>
      <c r="B35" s="1" t="s">
        <v>133</v>
      </c>
      <c r="C35" s="3">
        <f>IF(AND(ISNUMBER(C34),ISNUMBER(C25)),C34-C25,"n/a")</f>
        <v>-11.199999999999989</v>
      </c>
      <c r="D35" s="3">
        <f>IF(AND(ISNUMBER(D34),ISNUMBER(D25)),D34-D25,"n/a")</f>
        <v>-2.299999999999997</v>
      </c>
      <c r="E35" s="3">
        <f>IF(AND(ISNUMBER(E34),ISNUMBER(E25)),E34-E25,"n/a")</f>
        <v>0.8999999999999915</v>
      </c>
      <c r="F35" s="3">
        <f>IF(AND(ISNUMBER(F34),ISNUMBER(F25)),F34-F25,"n/a")</f>
        <v>-16.400000000000034</v>
      </c>
      <c r="G35" s="3">
        <f>IF(AND(ISNUMBER(G34),ISNUMBER(G25)),G34-G25,"n/a")</f>
        <v>2</v>
      </c>
      <c r="H35" s="25">
        <f>IF(AND(ISNUMBER(H34),ISNUMBER(H25)),H34-H25,"n/a")</f>
        <v>1.7750999999999948</v>
      </c>
      <c r="I35" s="1"/>
      <c r="J35" s="1"/>
      <c r="K35" s="1"/>
    </row>
    <row r="36">
      <c r="A36" s="1"/>
      <c r="B36" s="7" t="s">
        <v>80</v>
      </c>
      <c r="C36" s="2" t="s">
        <v>26</v>
      </c>
      <c r="D36" s="2">
        <f>IF(AND(ISNUMBER(D34),ISNUMBER(C34)),IF(C34&lt;=0,"n/m",D34/C34-1),"n/a")</f>
        <v>-0.14480408858603067</v>
      </c>
      <c r="E36" s="2">
        <f>IF(AND(ISNUMBER(E34),ISNUMBER(D34)),IF(D34&lt;=0,"n/m",E34/D34-1),"n/a")</f>
        <v>-0.1404382470119523</v>
      </c>
      <c r="F36" s="2" t="s">
        <v>26</v>
      </c>
      <c r="G36" s="2">
        <f>IF(AND(ISNUMBER(G34),ISNUMBER(E34)),IF(E34&lt;=0,"n/m",G34/E34-1),"n/a")</f>
        <v>0.31286210892236377</v>
      </c>
      <c r="H36" s="14">
        <f>IF(AND(ISNUMBER(H34),ISNUMBER(G34)),IF(G34&lt;=0,"n/m",H34/G34-1),"n/a")</f>
        <v>0.051854368932038764</v>
      </c>
      <c r="I36" s="1"/>
      <c r="J36" s="1"/>
      <c r="K36" s="1"/>
    </row>
    <row r="37">
      <c r="A37" s="1"/>
      <c r="B37" s="1" t="s">
        <v>134</v>
      </c>
      <c r="C37" s="3" t="s">
        <v>26</v>
      </c>
      <c r="D37" s="3">
        <f>IF(AND(ISNUMBER(D34),ISNUMBER(C34)),D34-C34,"n/a")</f>
        <v>-17</v>
      </c>
      <c r="E37" s="3">
        <f>IF(AND(ISNUMBER(E34),ISNUMBER(D34)),E34-D34,"n/a")</f>
        <v>-14.100000000000009</v>
      </c>
      <c r="F37" s="3" t="s">
        <v>26</v>
      </c>
      <c r="G37" s="3">
        <f>IF(AND(ISNUMBER(G34),ISNUMBER(E34)),G34-E34,"n/a")</f>
        <v>27</v>
      </c>
      <c r="H37" s="25">
        <f>IF(AND(ISNUMBER(H34),ISNUMBER(G34)),H34-G34,"n/a")</f>
        <v>5.875100000000003</v>
      </c>
      <c r="I37" s="1"/>
      <c r="J37" s="1"/>
      <c r="K37" s="1"/>
    </row>
    <row r="38">
      <c r="A38" s="1"/>
      <c r="B38" s="1" t="s">
        <v>135</v>
      </c>
      <c r="C38" s="29">
        <f>C34/C$7</f>
        <v>1.2760869565217392</v>
      </c>
      <c r="D38" s="29">
        <f>D34/D$7</f>
        <v>1.1032967032967034</v>
      </c>
      <c r="E38" s="29">
        <f>E34/E$7</f>
        <v>0.9588888888888889</v>
      </c>
      <c r="F38" s="29">
        <f>F34/F$7</f>
        <v>1.138082191780822</v>
      </c>
      <c r="G38" s="29">
        <f>G34/G$7</f>
        <v>1.2315217391304347</v>
      </c>
      <c r="H38" s="31">
        <f>H34/H$7</f>
        <v>1.2953815217391305</v>
      </c>
      <c r="I38" s="1"/>
      <c r="J38" s="1"/>
      <c r="K38" s="1"/>
    </row>
    <row r="39">
      <c r="A39" s="1"/>
      <c r="B39" s="1" t="s">
        <v>136</v>
      </c>
      <c r="C39" s="29">
        <f>C25/C$7</f>
        <v>1.3978260869565218</v>
      </c>
      <c r="D39" s="29">
        <f>D25/D$7</f>
        <v>1.1285714285714286</v>
      </c>
      <c r="E39" s="29">
        <f>E25/E$7</f>
        <v>0.948888888888889</v>
      </c>
      <c r="F39" s="29">
        <f>F25/F$7</f>
        <v>1.183013698630137</v>
      </c>
      <c r="G39" s="29">
        <f>G25/G$7</f>
        <v>1.2097826086956522</v>
      </c>
      <c r="H39" s="31">
        <f>H25/H$7</f>
        <v>1.2760869565217392</v>
      </c>
      <c r="I39" s="1"/>
      <c r="J39" s="1"/>
      <c r="K39" s="1"/>
    </row>
    <row r="40">
      <c r="A40" s="1"/>
      <c r="B40" s="7" t="s">
        <v>79</v>
      </c>
      <c r="C40" s="2">
        <f>IF(AND(ISNUMBER(C38),ISNUMBER(C39)),IF(C39&lt;=0,"n/m",C38/C39-1),"n/a")</f>
        <v>-0.08709175738724728</v>
      </c>
      <c r="D40" s="2">
        <f>IF(AND(ISNUMBER(D38),ISNUMBER(D39)),IF(D39&lt;=0,"n/m",D38/D39-1),"n/a")</f>
        <v>-0.022395326192794496</v>
      </c>
      <c r="E40" s="2">
        <f>IF(AND(ISNUMBER(E38),ISNUMBER(E39)),IF(E39&lt;=0,"n/m",E38/E39-1),"n/a")</f>
        <v>0.01053864168618257</v>
      </c>
      <c r="F40" s="2">
        <f>IF(AND(ISNUMBER(F38),ISNUMBER(F39)),IF(F39&lt;=0,"n/m",F38/F39-1),"n/a")</f>
        <v>-0.037980546549328364</v>
      </c>
      <c r="G40" s="2">
        <f>IF(AND(ISNUMBER(G38),ISNUMBER(G39)),IF(G39&lt;=0,"n/m",G38/G39-1),"n/a")</f>
        <v>0.017969451931715952</v>
      </c>
      <c r="H40" s="14">
        <f>IF(AND(ISNUMBER(H38),ISNUMBER(H39)),IF(H39&lt;=0,"n/m",H38/H39-1),"n/a")</f>
        <v>0.015120102214650766</v>
      </c>
      <c r="I40" s="1"/>
      <c r="J40" s="1"/>
      <c r="K40" s="1"/>
    </row>
    <row r="41">
      <c r="A41" s="1"/>
      <c r="B41" s="1" t="s">
        <v>137</v>
      </c>
      <c r="C41" s="29" t="s">
        <v>26</v>
      </c>
      <c r="D41" s="29">
        <f>IF(AND(ISNUMBER(D38),ISNUMBER(C38)),D38-C38,"n/a")</f>
        <v>-0.17279025322503583</v>
      </c>
      <c r="E41" s="29">
        <f>IF(AND(ISNUMBER(E38),ISNUMBER(D38)),E38-D38,"n/a")</f>
        <v>-0.14440781440781447</v>
      </c>
      <c r="F41" s="29" t="s">
        <v>26</v>
      </c>
      <c r="G41" s="29">
        <f>IF(AND(ISNUMBER(G38),ISNUMBER(E38)),G38-E38,"n/a")</f>
        <v>0.2726328502415458</v>
      </c>
      <c r="H41" s="31">
        <f>IF(AND(ISNUMBER(H38),ISNUMBER(G38)),H38-G38,"n/a")</f>
        <v>0.06385978260869574</v>
      </c>
      <c r="I41" s="1"/>
      <c r="J41" s="1"/>
      <c r="K41" s="1"/>
    </row>
    <row r="42">
      <c r="A42" s="1"/>
      <c r="B42" s="1" t="s">
        <v>138</v>
      </c>
      <c r="C42" s="29">
        <v>2.25</v>
      </c>
      <c r="D42" s="29"/>
      <c r="E42" s="29"/>
      <c r="F42" s="29"/>
      <c r="G42" s="29"/>
      <c r="H42" s="31"/>
      <c r="I42" s="1"/>
      <c r="J42" s="1" t="s">
        <v>139</v>
      </c>
      <c r="K42" s="1"/>
    </row>
    <row r="43">
      <c r="A43" s="1"/>
      <c r="B43" s="1" t="s">
        <v>140</v>
      </c>
      <c r="C43" s="3">
        <f>C34*$C$42</f>
        <v>264.15000000000003</v>
      </c>
      <c r="D43" s="3">
        <f>D34*$C$42</f>
        <v>225.9</v>
      </c>
      <c r="E43" s="3">
        <f>E34*$C$42</f>
        <v>194.17499999999998</v>
      </c>
      <c r="F43" s="3">
        <f>F34*$C$42</f>
        <v>934.65</v>
      </c>
      <c r="G43" s="3">
        <f>G34*$C$42</f>
        <v>254.92499999999998</v>
      </c>
      <c r="H43" s="25">
        <f>H34*$C$42</f>
        <v>268.143975</v>
      </c>
      <c r="I43" s="1"/>
      <c r="J43" s="1" t="s">
        <v>141</v>
      </c>
      <c r="K43" s="1"/>
    </row>
    <row r="44">
      <c r="A44" s="1"/>
      <c r="B44" s="1" t="s">
        <v>142</v>
      </c>
      <c r="C44" s="3">
        <f>C25*$C$42</f>
        <v>289.34999999999997</v>
      </c>
      <c r="D44" s="3">
        <f>D25*$C$42</f>
        <v>231.07500000000002</v>
      </c>
      <c r="E44" s="3">
        <f>E25*$C$42</f>
        <v>192.15</v>
      </c>
      <c r="F44" s="3">
        <f>F25*$C$42</f>
        <v>971.5500000000001</v>
      </c>
      <c r="G44" s="3">
        <f>G25*$C$42</f>
        <v>250.42499999999998</v>
      </c>
      <c r="H44" s="25">
        <f>H25*$C$42</f>
        <v>264.15000000000003</v>
      </c>
      <c r="I44" s="1"/>
      <c r="J44" s="1"/>
      <c r="K44" s="1"/>
    </row>
    <row r="45">
      <c r="A45" s="1"/>
      <c r="B45" s="7" t="s">
        <v>79</v>
      </c>
      <c r="C45" s="2">
        <f>IF(AND(ISNUMBER(C43),ISNUMBER(C44)),IF(C44&lt;=0,"n/m",C43/C44-1),"n/a")</f>
        <v>-0.08709175738724706</v>
      </c>
      <c r="D45" s="2">
        <f>IF(AND(ISNUMBER(D43),ISNUMBER(D44)),IF(D44&lt;=0,"n/m",D43/D44-1),"n/a")</f>
        <v>-0.022395326192794607</v>
      </c>
      <c r="E45" s="2">
        <f>IF(AND(ISNUMBER(E43),ISNUMBER(E44)),IF(E44&lt;=0,"n/m",E43/E44-1),"n/a")</f>
        <v>0.01053864168618257</v>
      </c>
      <c r="F45" s="2">
        <f>IF(AND(ISNUMBER(F43),ISNUMBER(F44)),IF(F44&lt;=0,"n/m",F43/F44-1),"n/a")</f>
        <v>-0.037980546549328476</v>
      </c>
      <c r="G45" s="2">
        <f>IF(AND(ISNUMBER(G43),ISNUMBER(G44)),IF(G44&lt;=0,"n/m",G43/G44-1),"n/a")</f>
        <v>0.017969451931716174</v>
      </c>
      <c r="H45" s="14">
        <f>IF(AND(ISNUMBER(H43),ISNUMBER(H44)),IF(H44&lt;=0,"n/m",H43/H44-1),"n/a")</f>
        <v>0.015120102214650766</v>
      </c>
      <c r="I45" s="1"/>
      <c r="J45" s="1"/>
      <c r="K45" s="1"/>
    </row>
    <row r="46">
      <c r="A46" s="1"/>
      <c r="B46" s="1" t="s">
        <v>143</v>
      </c>
      <c r="C46" s="3" t="s">
        <v>26</v>
      </c>
      <c r="D46" s="3">
        <f>IF(AND(ISNUMBER(D43),ISNUMBER(C43)),D43-C43,"n/a")</f>
        <v>-38.25000000000003</v>
      </c>
      <c r="E46" s="3">
        <f>IF(AND(ISNUMBER(E43),ISNUMBER(D43)),E43-D43,"n/a")</f>
        <v>-31.725000000000023</v>
      </c>
      <c r="F46" s="3" t="s">
        <v>26</v>
      </c>
      <c r="G46" s="3">
        <f>IF(AND(ISNUMBER(G43),ISNUMBER(E43)),G43-E43,"n/a")</f>
        <v>60.75</v>
      </c>
      <c r="H46" s="25">
        <f>IF(AND(ISNUMBER(H43),ISNUMBER(G43)),H43-G43,"n/a")</f>
        <v>13.218975000000029</v>
      </c>
      <c r="I46" s="1"/>
      <c r="J46" s="1"/>
      <c r="K46" s="1"/>
    </row>
    <row r="47">
      <c r="A47" s="1"/>
      <c r="B47" s="1"/>
      <c r="C47" s="1"/>
      <c r="D47" s="1"/>
      <c r="E47" s="1"/>
      <c r="F47" s="1"/>
      <c r="G47" s="1"/>
      <c r="H47" s="23"/>
      <c r="I47" s="1"/>
      <c r="J47" s="1"/>
      <c r="K47" s="1"/>
    </row>
    <row r="48">
      <c r="A48" s="1"/>
      <c r="B48" s="27" t="s">
        <v>144</v>
      </c>
      <c r="C48" s="1"/>
      <c r="D48" s="1"/>
      <c r="E48" s="1"/>
      <c r="F48" s="1"/>
      <c r="G48" s="1"/>
      <c r="H48" s="23"/>
      <c r="I48" s="1"/>
      <c r="J48" s="1"/>
      <c r="K48" s="1"/>
    </row>
    <row r="49">
      <c r="A49" s="1"/>
      <c r="B49" s="1" t="s">
        <v>145</v>
      </c>
      <c r="C49" s="29">
        <f>IF(AND(ISNUMBER(C64),ISNUMBER(C25)),IF(C25=0,"n/a",C64/C25),"n/a")</f>
        <v>19.674961119751167</v>
      </c>
      <c r="D49" s="29">
        <f>IF(AND(ISNUMBER(D64),ISNUMBER(D25)),IF(D25=0,"n/a",D64/D25),"n/a")</f>
        <v>19.789678675754626</v>
      </c>
      <c r="E49" s="29">
        <f>IF(AND(ISNUMBER(E64),ISNUMBER(E25)),IF(E25=0,"n/a",E64/E25),"n/a")</f>
        <v>19.95784543325527</v>
      </c>
      <c r="F49" s="29">
        <f>IF(AND(ISNUMBER(F64),ISNUMBER(F25)),IF(F25=0,"n/a",F64/F25),"n/a")</f>
        <v>19.7772116720704</v>
      </c>
      <c r="G49" s="29">
        <f>IF(AND(ISNUMBER(G64),ISNUMBER(G25)),IF(G25=0,"n/a",G64/G25),"n/a")</f>
        <v>20.076370170709794</v>
      </c>
      <c r="H49" s="31">
        <f>IF(AND(ISNUMBER(H64),ISNUMBER(H25)),IF(H25=0,"n/a",H64/H25),"n/a")</f>
        <v>19.974446337308347</v>
      </c>
      <c r="I49" s="1"/>
      <c r="J49" s="1"/>
      <c r="K49" s="1"/>
    </row>
    <row r="50">
      <c r="A50" s="1"/>
      <c r="B50" s="7" t="s">
        <v>146</v>
      </c>
      <c r="C50" s="2">
        <f>C52/C49-1</f>
        <v>0.015221642153921966</v>
      </c>
      <c r="D50" s="2">
        <f>D52/D49-1</f>
        <v>0.011483440377439313</v>
      </c>
      <c r="E50" s="2">
        <f>E52/E49-1</f>
        <v>0.0021121802393804234</v>
      </c>
      <c r="F50" s="2">
        <f>F52/F49-1</f>
        <v>0.012141297938905282</v>
      </c>
      <c r="G50" s="2">
        <f>G52/G49-1</f>
        <v>0.003889499043820077</v>
      </c>
      <c r="H50" s="14">
        <v>0.006</v>
      </c>
      <c r="I50" s="1"/>
      <c r="J50" s="1"/>
      <c r="K50" s="1"/>
    </row>
    <row r="51">
      <c r="A51" s="1"/>
      <c r="B51" s="7" t="s">
        <v>112</v>
      </c>
      <c r="C51" s="17" t="s">
        <v>26</v>
      </c>
      <c r="D51" s="17">
        <f>IF(AND(ISNUMBER(D50),ISNUMBER(C50)),(D50-C50)*10000,"n/a")</f>
        <v>-37.38201776482653</v>
      </c>
      <c r="E51" s="17">
        <f>IF(AND(ISNUMBER(E50),ISNUMBER(D50)),(E50-D50)*10000,"n/a")</f>
        <v>-93.7126013805889</v>
      </c>
      <c r="F51" s="17" t="s">
        <v>26</v>
      </c>
      <c r="G51" s="17">
        <f>IF(AND(ISNUMBER(G50),ISNUMBER(E50)),(G50-E50)*10000,"n/a")</f>
        <v>17.773188044396537</v>
      </c>
      <c r="H51" s="16">
        <f>IF(AND(ISNUMBER(H50),ISNUMBER(G50)),(H50-G50)*10000,"n/a")</f>
        <v>21.10500956179923</v>
      </c>
      <c r="I51" s="1"/>
      <c r="J51" s="1"/>
      <c r="K51" s="1"/>
    </row>
    <row r="52">
      <c r="A52" s="1"/>
      <c r="B52" s="12" t="s">
        <v>147</v>
      </c>
      <c r="C52" s="32">
        <f>C65/C34</f>
        <v>19.974446337308347</v>
      </c>
      <c r="D52" s="32">
        <f>D65/D34</f>
        <v>20.016932270916335</v>
      </c>
      <c r="E52" s="32">
        <f>E65/E34</f>
        <v>20</v>
      </c>
      <c r="F52" s="32">
        <f>F65/F34</f>
        <v>20.017332691381803</v>
      </c>
      <c r="G52" s="32">
        <f>G65/G34</f>
        <v>20.154457193292146</v>
      </c>
      <c r="H52" s="41">
        <f>H49*(1+H50)</f>
        <v>20.094293015332198</v>
      </c>
      <c r="I52" s="1"/>
      <c r="J52" s="1"/>
      <c r="K52" s="1"/>
    </row>
    <row r="53">
      <c r="A53" s="1"/>
      <c r="B53" s="1" t="s">
        <v>148</v>
      </c>
      <c r="C53" s="29">
        <f>IF(AND(ISNUMBER(C52),ISNUMBER(C49)),C52-C49,"n/a")</f>
        <v>0.29948521755718005</v>
      </c>
      <c r="D53" s="29">
        <f>IF(AND(ISNUMBER(D52),ISNUMBER(D49)),D52-D49,"n/a")</f>
        <v>0.2272535951617094</v>
      </c>
      <c r="E53" s="29">
        <f>IF(AND(ISNUMBER(E52),ISNUMBER(E49)),E52-E49,"n/a")</f>
        <v>0.04215456674473117</v>
      </c>
      <c r="F53" s="29">
        <f>IF(AND(ISNUMBER(F52),ISNUMBER(F49)),F52-F49,"n/a")</f>
        <v>0.2401210193114025</v>
      </c>
      <c r="G53" s="29">
        <f>IF(AND(ISNUMBER(G52),ISNUMBER(G49)),G52-G49,"n/a")</f>
        <v>0.078087022582352</v>
      </c>
      <c r="H53" s="31">
        <f>IF(AND(ISNUMBER(H52),ISNUMBER(H49)),H52-H49,"n/a")</f>
        <v>0.11984667802385118</v>
      </c>
      <c r="I53" s="1"/>
      <c r="J53" s="1"/>
      <c r="K53" s="1"/>
    </row>
    <row r="54">
      <c r="A54" s="1"/>
      <c r="B54" s="1" t="s">
        <v>149</v>
      </c>
      <c r="C54" s="29" t="s">
        <v>26</v>
      </c>
      <c r="D54" s="29">
        <f>IF(AND(ISNUMBER(D52),ISNUMBER(C52)),D52-C52,"n/a")</f>
        <v>0.04248593360798836</v>
      </c>
      <c r="E54" s="29">
        <f>IF(AND(ISNUMBER(E52),ISNUMBER(D52)),E52-D52,"n/a")</f>
        <v>-0.016932270916335312</v>
      </c>
      <c r="F54" s="29" t="s">
        <v>26</v>
      </c>
      <c r="G54" s="29">
        <f>IF(AND(ISNUMBER(G52),ISNUMBER(E52)),G52-E52,"n/a")</f>
        <v>0.1544571932921457</v>
      </c>
      <c r="H54" s="31">
        <f>IF(AND(ISNUMBER(H52),ISNUMBER(G52)),H52-G52,"n/a")</f>
        <v>-0.06016417795994755</v>
      </c>
      <c r="I54" s="1"/>
      <c r="J54" s="1"/>
      <c r="K54" s="1"/>
    </row>
    <row r="55">
      <c r="A55" s="1"/>
      <c r="B55" s="1"/>
      <c r="C55" s="1"/>
      <c r="D55" s="1"/>
      <c r="E55" s="1"/>
      <c r="F55" s="1"/>
      <c r="G55" s="1"/>
      <c r="H55" s="23"/>
      <c r="I55" s="1"/>
      <c r="J55" s="1"/>
      <c r="K55" s="1"/>
    </row>
    <row r="56">
      <c r="A56" s="1"/>
      <c r="B56" s="27" t="s">
        <v>150</v>
      </c>
      <c r="C56" s="1"/>
      <c r="D56" s="1"/>
      <c r="E56" s="1"/>
      <c r="F56" s="1"/>
      <c r="G56" s="1"/>
      <c r="H56" s="23"/>
      <c r="I56" s="1"/>
      <c r="J56" s="1"/>
      <c r="K56" s="1"/>
    </row>
    <row r="57">
      <c r="A57" s="1"/>
      <c r="B57" s="1" t="s">
        <v>151</v>
      </c>
      <c r="C57" s="3">
        <v>-219.3</v>
      </c>
      <c r="D57" s="3">
        <v>-46.2</v>
      </c>
      <c r="E57" s="3" t="s">
        <v>26</v>
      </c>
      <c r="F57" s="3" t="s">
        <v>26</v>
      </c>
      <c r="G57" s="3">
        <v>40.7</v>
      </c>
      <c r="H57" s="25">
        <f>(H34-H25)*H49</f>
        <v>35.456639693355946</v>
      </c>
      <c r="I57" s="1"/>
      <c r="J57" s="1" t="s">
        <v>152</v>
      </c>
      <c r="K57" s="1"/>
    </row>
    <row r="58">
      <c r="A58" s="1"/>
      <c r="B58" s="1" t="s">
        <v>153</v>
      </c>
      <c r="C58" s="3">
        <v>40.6</v>
      </c>
      <c r="D58" s="3">
        <v>30.3</v>
      </c>
      <c r="E58" s="3" t="s">
        <v>26</v>
      </c>
      <c r="F58" s="3" t="s">
        <v>26</v>
      </c>
      <c r="G58" s="3">
        <v>17.6</v>
      </c>
      <c r="H58" s="25">
        <f>(H52-H49)*H34</f>
        <v>14.282739838160268</v>
      </c>
      <c r="I58" s="1"/>
      <c r="J58" s="1" t="s">
        <v>154</v>
      </c>
      <c r="K58" s="1"/>
    </row>
    <row r="59">
      <c r="A59" s="1"/>
      <c r="B59" s="1" t="s">
        <v>155</v>
      </c>
      <c r="C59" s="3" t="s">
        <v>26</v>
      </c>
      <c r="D59" s="3" t="s">
        <v>26</v>
      </c>
      <c r="E59" s="3" t="s">
        <v>26</v>
      </c>
      <c r="F59" s="3" t="s">
        <v>26</v>
      </c>
      <c r="G59" s="3">
        <v>-9.3</v>
      </c>
      <c r="H59" s="25" t="s">
        <v>26</v>
      </c>
      <c r="I59" s="1"/>
      <c r="J59" s="1" t="s">
        <v>156</v>
      </c>
      <c r="K59" s="1"/>
    </row>
    <row r="60">
      <c r="A60" s="1"/>
      <c r="B60" s="1" t="s">
        <v>157</v>
      </c>
      <c r="C60" s="3">
        <f>C61-C57-C58-IF(ISNUMBER(C59),C59,0)</f>
        <v>-6.499999999999808</v>
      </c>
      <c r="D60" s="3">
        <f>D61-D57-D58-IF(ISNUMBER(D59),D59,0)</f>
        <v>-6.800000000000043</v>
      </c>
      <c r="E60" s="3" t="s">
        <v>26</v>
      </c>
      <c r="F60" s="3" t="s">
        <v>26</v>
      </c>
      <c r="G60" s="3">
        <f>G61-G57-G58-IF(ISNUMBER(G59),G59,0)</f>
        <v>0</v>
      </c>
      <c r="H60" s="25">
        <f>H61-H57-H58</f>
        <v>0</v>
      </c>
      <c r="I60" s="1"/>
      <c r="J60" s="1"/>
      <c r="K60" s="1"/>
    </row>
    <row r="61">
      <c r="A61" s="1"/>
      <c r="B61" s="12" t="s">
        <v>158</v>
      </c>
      <c r="C61" s="22">
        <f>C65-C64</f>
        <v>-185.19999999999982</v>
      </c>
      <c r="D61" s="22">
        <f>D65-D64</f>
        <v>-22.700000000000045</v>
      </c>
      <c r="E61" s="22">
        <f>E65-E64</f>
        <v>21.59999999999991</v>
      </c>
      <c r="F61" s="22">
        <f>F65-F64</f>
        <v>-224.59999999999854</v>
      </c>
      <c r="G61" s="22">
        <f>G65-G64</f>
        <v>49</v>
      </c>
      <c r="H61" s="42">
        <f>H65-H64</f>
        <v>49.73937953151608</v>
      </c>
      <c r="I61" s="1"/>
      <c r="J61" s="1"/>
      <c r="K61" s="1"/>
    </row>
    <row r="62">
      <c r="A62" s="1"/>
      <c r="B62" s="1"/>
      <c r="C62" s="1"/>
      <c r="D62" s="1"/>
      <c r="E62" s="1"/>
      <c r="F62" s="1"/>
      <c r="G62" s="1"/>
      <c r="H62" s="23"/>
      <c r="I62" s="1"/>
      <c r="J62" s="1"/>
      <c r="K62" s="1"/>
    </row>
    <row r="63">
      <c r="A63" s="1"/>
      <c r="B63" s="27" t="s">
        <v>25</v>
      </c>
      <c r="C63" s="1"/>
      <c r="D63" s="1"/>
      <c r="E63" s="1"/>
      <c r="F63" s="1"/>
      <c r="G63" s="1"/>
      <c r="H63" s="23"/>
      <c r="I63" s="1"/>
      <c r="J63" s="1"/>
      <c r="K63" s="1"/>
    </row>
    <row r="64">
      <c r="A64" s="1"/>
      <c r="B64" s="1" t="s">
        <v>159</v>
      </c>
      <c r="C64" s="3">
        <v>2530.2</v>
      </c>
      <c r="D64" s="3">
        <v>2032.4</v>
      </c>
      <c r="E64" s="3">
        <v>1704.4</v>
      </c>
      <c r="F64" s="3">
        <v>8539.8</v>
      </c>
      <c r="G64" s="3">
        <v>2234.5</v>
      </c>
      <c r="H64" s="25">
        <f>C65</f>
        <v>2345</v>
      </c>
      <c r="I64" s="1"/>
      <c r="J64" s="1" t="s">
        <v>160</v>
      </c>
      <c r="K64" s="1"/>
    </row>
    <row r="65">
      <c r="A65" s="1"/>
      <c r="B65" s="12" t="s">
        <v>78</v>
      </c>
      <c r="C65" s="22">
        <v>2345</v>
      </c>
      <c r="D65" s="22">
        <v>2009.7</v>
      </c>
      <c r="E65" s="22">
        <v>1726</v>
      </c>
      <c r="F65" s="22">
        <v>8315.2</v>
      </c>
      <c r="G65" s="22">
        <v>2283.5</v>
      </c>
      <c r="H65" s="42">
        <f>H34*H52</f>
        <v>2394.739379531516</v>
      </c>
      <c r="I65" s="1"/>
      <c r="J65" s="1" t="s">
        <v>161</v>
      </c>
      <c r="K65" s="1"/>
    </row>
    <row r="66">
      <c r="A66" s="1"/>
      <c r="B66" s="7" t="s">
        <v>162</v>
      </c>
      <c r="C66" s="2">
        <f>IF(AND(ISNUMBER(C65),ISNUMBER(C64)),IF(C64&lt;=0,"n/m",C65/C64-1),"n/a")</f>
        <v>-0.0731957947988301</v>
      </c>
      <c r="D66" s="2">
        <f>IF(AND(ISNUMBER(D65),ISNUMBER(D64)),IF(D64&lt;=0,"n/m",D65/D64-1),"n/a")</f>
        <v>-0.011169061208423536</v>
      </c>
      <c r="E66" s="2">
        <f>IF(AND(ISNUMBER(E65),ISNUMBER(E64)),IF(E64&lt;=0,"n/m",E65/E64-1),"n/a")</f>
        <v>0.01267308143628254</v>
      </c>
      <c r="F66" s="2">
        <f>IF(AND(ISNUMBER(F65),ISNUMBER(F64)),IF(F64&lt;=0,"n/m",F65/F64-1),"n/a")</f>
        <v>-0.026300381741961032</v>
      </c>
      <c r="G66" s="2">
        <f>IF(AND(ISNUMBER(G65),ISNUMBER(G64)),IF(G64&lt;=0,"n/m",G65/G64-1),"n/a")</f>
        <v>0.02192884314164245</v>
      </c>
      <c r="H66" s="14">
        <f>IF(AND(ISNUMBER(H65),ISNUMBER(H64)),IF(H64&lt;=0,"n/m",H65/H64-1),"n/a")</f>
        <v>0.021210822827938625</v>
      </c>
      <c r="I66" s="1"/>
      <c r="J66" s="1"/>
      <c r="K66" s="1"/>
    </row>
    <row r="67">
      <c r="A67" s="1"/>
      <c r="B67" s="7" t="s">
        <v>80</v>
      </c>
      <c r="C67" s="2" t="s">
        <v>26</v>
      </c>
      <c r="D67" s="2">
        <f>IF(AND(ISNUMBER(D65),ISNUMBER(C65)),IF(C65&lt;=0,"n/m",D65/C65-1),"n/a")</f>
        <v>-0.1429850746268656</v>
      </c>
      <c r="E67" s="2">
        <f>IF(AND(ISNUMBER(E65),ISNUMBER(D65)),IF(D65&lt;=0,"n/m",E65/D65-1),"n/a")</f>
        <v>-0.14116534806189984</v>
      </c>
      <c r="F67" s="2" t="s">
        <v>26</v>
      </c>
      <c r="G67" s="2">
        <f>IF(AND(ISNUMBER(G65),ISNUMBER(E65)),IF(E65&lt;=0,"n/m",G65/E65-1),"n/a")</f>
        <v>0.3230011587485515</v>
      </c>
      <c r="H67" s="14">
        <f>IF(AND(ISNUMBER(H65),ISNUMBER(G65)),IF(G65&lt;=0,"n/m",H65/G65-1),"n/a")</f>
        <v>0.048714420640033396</v>
      </c>
      <c r="I67" s="1"/>
      <c r="J67" s="1"/>
      <c r="K67" s="1"/>
    </row>
    <row r="68">
      <c r="A68" s="1"/>
      <c r="B68" s="1" t="s">
        <v>81</v>
      </c>
      <c r="C68" s="3" t="s">
        <v>26</v>
      </c>
      <c r="D68" s="3">
        <f>IF(AND(ISNUMBER(D65),ISNUMBER(C65)),D65-C65,"n/a")</f>
        <v>-335.29999999999995</v>
      </c>
      <c r="E68" s="3">
        <f>IF(AND(ISNUMBER(E65),ISNUMBER(D65)),E65-D65,"n/a")</f>
        <v>-283.70000000000005</v>
      </c>
      <c r="F68" s="3" t="s">
        <v>26</v>
      </c>
      <c r="G68" s="3">
        <f>IF(AND(ISNUMBER(G65),ISNUMBER(E65)),G65-E65,"n/a")</f>
        <v>557.5</v>
      </c>
      <c r="H68" s="25">
        <f>IF(AND(ISNUMBER(H65),ISNUMBER(G65)),H65-G65,"n/a")</f>
        <v>111.23937953151608</v>
      </c>
      <c r="I68" s="1"/>
      <c r="J68" s="1"/>
      <c r="K68" s="1"/>
    </row>
    <row r="69">
      <c r="A69" s="1"/>
      <c r="B69" s="7" t="s">
        <v>96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14">
        <v>0</v>
      </c>
      <c r="I69" s="1"/>
      <c r="J69" s="1" t="s">
        <v>163</v>
      </c>
      <c r="K69" s="1"/>
    </row>
    <row r="70">
      <c r="A70" s="1"/>
      <c r="B70" s="7" t="s">
        <v>88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14">
        <v>0</v>
      </c>
      <c r="I70" s="1"/>
      <c r="J70" s="1" t="s">
        <v>164</v>
      </c>
      <c r="K70" s="1"/>
    </row>
    <row r="71">
      <c r="A71" s="1"/>
      <c r="B71" s="7" t="s">
        <v>86</v>
      </c>
      <c r="C71" s="2">
        <f>IF(AND(ISNUMBER(C66),ISNUMBER(C69),ISNUMBER(C70)),(1+C66)/((1+C69)*(1+C70))-1,"n/a")</f>
        <v>-0.0731957947988301</v>
      </c>
      <c r="D71" s="2">
        <f>IF(AND(ISNUMBER(D66),ISNUMBER(D69),ISNUMBER(D70)),(1+D66)/((1+D69)*(1+D70))-1,"n/a")</f>
        <v>-0.011169061208423536</v>
      </c>
      <c r="E71" s="2">
        <f>IF(AND(ISNUMBER(E66),ISNUMBER(E69),ISNUMBER(E70)),(1+E66)/((1+E69)*(1+E70))-1,"n/a")</f>
        <v>0.01267308143628254</v>
      </c>
      <c r="F71" s="2">
        <f>IF(AND(ISNUMBER(F66),ISNUMBER(F69),ISNUMBER(F70)),(1+F66)/((1+F69)*(1+F70))-1,"n/a")</f>
        <v>-0.026300381741961032</v>
      </c>
      <c r="G71" s="2">
        <f>IF(AND(ISNUMBER(G66),ISNUMBER(G69),ISNUMBER(G70)),(1+G66)/((1+G69)*(1+G70))-1,"n/a")</f>
        <v>0.02192884314164245</v>
      </c>
      <c r="H71" s="14">
        <f>IF(AND(ISNUMBER(H66),ISNUMBER(H69),ISNUMBER(H70)),(1+H66)/((1+H69)*(1+H70))-1,"n/a")</f>
        <v>0.021210822827938625</v>
      </c>
      <c r="I71" s="1"/>
      <c r="J71" s="1" t="s">
        <v>165</v>
      </c>
      <c r="K71" s="1"/>
    </row>
    <row r="72">
      <c r="A72" s="1"/>
      <c r="B72" s="1"/>
      <c r="C72" s="1"/>
      <c r="D72" s="1"/>
      <c r="E72" s="1"/>
      <c r="F72" s="1"/>
      <c r="G72" s="1"/>
      <c r="H72" s="23"/>
      <c r="I72" s="1"/>
      <c r="J72" s="1"/>
      <c r="K72" s="1"/>
    </row>
    <row r="73">
      <c r="A73" s="1"/>
      <c r="B73" s="27" t="s">
        <v>166</v>
      </c>
      <c r="C73" s="1"/>
      <c r="D73" s="1"/>
      <c r="E73" s="1"/>
      <c r="F73" s="1"/>
      <c r="G73" s="1"/>
      <c r="H73" s="23"/>
      <c r="I73" s="1"/>
      <c r="J73" s="1"/>
      <c r="K73" s="1"/>
    </row>
    <row r="74">
      <c r="A74" s="1"/>
      <c r="B74" s="1" t="s">
        <v>167</v>
      </c>
      <c r="C74" s="3">
        <f>C79-C65</f>
        <v>-1105</v>
      </c>
      <c r="D74" s="3">
        <f>D79-D65</f>
        <v>-946.5</v>
      </c>
      <c r="E74" s="3">
        <f>E79-E65</f>
        <v>-854.7</v>
      </c>
      <c r="F74" s="3">
        <f>F79-F65</f>
        <v>-3953.7000000000007</v>
      </c>
      <c r="G74" s="3">
        <f>G79-G65</f>
        <v>-1065.3</v>
      </c>
      <c r="H74" s="25">
        <f>-H65*(1-H82)</f>
        <v>-1115.9485508616865</v>
      </c>
      <c r="I74" s="1"/>
      <c r="J74" s="1" t="s">
        <v>168</v>
      </c>
      <c r="K74" s="1"/>
    </row>
    <row r="75">
      <c r="A75" s="1"/>
      <c r="B75" s="1" t="s">
        <v>169</v>
      </c>
      <c r="C75" s="3">
        <f>C78-C64</f>
        <v>-1163.7999999999997</v>
      </c>
      <c r="D75" s="3">
        <f>D78-D64</f>
        <v>-955.7</v>
      </c>
      <c r="E75" s="3">
        <f>E78-E64</f>
        <v>-794.5000000000001</v>
      </c>
      <c r="F75" s="3">
        <f>F78-F64</f>
        <v>-3973.699999999999</v>
      </c>
      <c r="G75" s="3">
        <f>G78-G64</f>
        <v>-1047.5</v>
      </c>
      <c r="H75" s="25">
        <f>H78-H64</f>
        <v>-1105</v>
      </c>
      <c r="I75" s="1"/>
      <c r="J75" s="1"/>
      <c r="K75" s="1"/>
    </row>
    <row r="76">
      <c r="A76" s="1"/>
      <c r="B76" s="7" t="s">
        <v>79</v>
      </c>
      <c r="C76" s="2">
        <f>IF(AND(ISNUMBER(C74),ISNUMBER(C75)),C74/C75-1,"n/a")</f>
        <v>-0.05052414504210323</v>
      </c>
      <c r="D76" s="2">
        <f>IF(AND(ISNUMBER(D74),ISNUMBER(D75)),D74/D75-1,"n/a")</f>
        <v>-0.00962645181542332</v>
      </c>
      <c r="E76" s="2">
        <f>IF(AND(ISNUMBER(E74),ISNUMBER(E75)),E74/E75-1,"n/a")</f>
        <v>0.07577092511013217</v>
      </c>
      <c r="F76" s="2">
        <f>IF(AND(ISNUMBER(F74),ISNUMBER(F75)),F74/F75-1,"n/a")</f>
        <v>-0.005033092583737631</v>
      </c>
      <c r="G76" s="2">
        <f>IF(AND(ISNUMBER(G74),ISNUMBER(G75)),G74/G75-1,"n/a")</f>
        <v>0.01699284009546531</v>
      </c>
      <c r="H76" s="14">
        <f>IF(AND(ISNUMBER(H74),ISNUMBER(H75)),H74/H75-1,"n/a")</f>
        <v>0.009908190825055563</v>
      </c>
      <c r="I76" s="1"/>
      <c r="J76" s="1"/>
      <c r="K76" s="1"/>
    </row>
    <row r="77">
      <c r="A77" s="1"/>
      <c r="B77" s="1" t="s">
        <v>170</v>
      </c>
      <c r="C77" s="3" t="s">
        <v>26</v>
      </c>
      <c r="D77" s="3">
        <f>IF(AND(ISNUMBER(D74),ISNUMBER(C74)),D74-C74,"n/a")</f>
        <v>158.5</v>
      </c>
      <c r="E77" s="3">
        <f>IF(AND(ISNUMBER(E74),ISNUMBER(D74)),E74-D74,"n/a")</f>
        <v>91.79999999999995</v>
      </c>
      <c r="F77" s="3" t="s">
        <v>26</v>
      </c>
      <c r="G77" s="3">
        <f>IF(AND(ISNUMBER(G74),ISNUMBER(E74)),G74-E74,"n/a")</f>
        <v>-210.5999999999999</v>
      </c>
      <c r="H77" s="25">
        <f>IF(AND(ISNUMBER(H74),ISNUMBER(G74)),H74-G74,"n/a")</f>
        <v>-50.648550861686545</v>
      </c>
      <c r="I77" s="1"/>
      <c r="J77" s="1"/>
      <c r="K77" s="1"/>
    </row>
    <row r="78">
      <c r="A78" s="1"/>
      <c r="B78" s="1" t="s">
        <v>171</v>
      </c>
      <c r="C78" s="3">
        <v>1366.4</v>
      </c>
      <c r="D78" s="3">
        <v>1076.7</v>
      </c>
      <c r="E78" s="3">
        <v>909.9</v>
      </c>
      <c r="F78" s="3">
        <v>4566.1</v>
      </c>
      <c r="G78" s="3">
        <v>1187</v>
      </c>
      <c r="H78" s="25">
        <f>C79</f>
        <v>1240</v>
      </c>
      <c r="I78" s="1"/>
      <c r="J78" s="1" t="s">
        <v>160</v>
      </c>
      <c r="K78" s="1"/>
    </row>
    <row r="79">
      <c r="A79" s="1"/>
      <c r="B79" s="12" t="s">
        <v>172</v>
      </c>
      <c r="C79" s="22">
        <v>1240</v>
      </c>
      <c r="D79" s="22">
        <v>1063.2</v>
      </c>
      <c r="E79" s="22">
        <v>871.3</v>
      </c>
      <c r="F79" s="22">
        <v>4361.5</v>
      </c>
      <c r="G79" s="22">
        <v>1218.2</v>
      </c>
      <c r="H79" s="42">
        <f>H65+H74</f>
        <v>1278.7908286698296</v>
      </c>
      <c r="I79" s="1"/>
      <c r="J79" s="1" t="s">
        <v>160</v>
      </c>
      <c r="K79" s="1"/>
    </row>
    <row r="80">
      <c r="A80" s="1"/>
      <c r="B80" s="7" t="s">
        <v>79</v>
      </c>
      <c r="C80" s="2">
        <f>IF(AND(ISNUMBER(C79),ISNUMBER(C78)),IF(C78&lt;=0,"n/m",C79/C78-1),"n/a")</f>
        <v>-0.09250585480093687</v>
      </c>
      <c r="D80" s="2">
        <f>IF(AND(ISNUMBER(D79),ISNUMBER(D78)),IF(D78&lt;=0,"n/m",D79/D78-1),"n/a")</f>
        <v>-0.012538311507383715</v>
      </c>
      <c r="E80" s="2">
        <f>IF(AND(ISNUMBER(E79),ISNUMBER(E78)),IF(E78&lt;=0,"n/m",E79/E78-1),"n/a")</f>
        <v>-0.04242224420265961</v>
      </c>
      <c r="F80" s="2">
        <f>IF(AND(ISNUMBER(F79),ISNUMBER(F78)),IF(F78&lt;=0,"n/m",F79/F78-1),"n/a")</f>
        <v>-0.044808479884365315</v>
      </c>
      <c r="G80" s="2">
        <f>IF(AND(ISNUMBER(G79),ISNUMBER(G78)),IF(G78&lt;=0,"n/m",G79/G78-1),"n/a")</f>
        <v>0.02628475147430498</v>
      </c>
      <c r="H80" s="14">
        <f>IF(AND(ISNUMBER(H79),ISNUMBER(H78)),IF(H78&lt;=0,"n/m",H79/H78-1),"n/a")</f>
        <v>0.031282926346636764</v>
      </c>
      <c r="I80" s="1"/>
      <c r="J80" s="1"/>
      <c r="K80" s="1"/>
    </row>
    <row r="81">
      <c r="A81" s="1"/>
      <c r="B81" s="1" t="s">
        <v>170</v>
      </c>
      <c r="C81" s="3" t="s">
        <v>26</v>
      </c>
      <c r="D81" s="3">
        <f>IF(AND(ISNUMBER(D79),ISNUMBER(C79)),D79-C79,"n/a")</f>
        <v>-176.79999999999995</v>
      </c>
      <c r="E81" s="3">
        <f>IF(AND(ISNUMBER(E79),ISNUMBER(D79)),E79-D79,"n/a")</f>
        <v>-191.9000000000001</v>
      </c>
      <c r="F81" s="3" t="s">
        <v>26</v>
      </c>
      <c r="G81" s="3">
        <f>IF(AND(ISNUMBER(G79),ISNUMBER(E79)),G79-E79,"n/a")</f>
        <v>346.9000000000001</v>
      </c>
      <c r="H81" s="25">
        <f>IF(AND(ISNUMBER(H79),ISNUMBER(G79)),H79-G79,"n/a")</f>
        <v>60.590828669829534</v>
      </c>
      <c r="I81" s="1"/>
      <c r="J81" s="1"/>
      <c r="K81" s="1"/>
    </row>
    <row r="82">
      <c r="A82" s="1"/>
      <c r="B82" s="7" t="s">
        <v>173</v>
      </c>
      <c r="C82" s="2">
        <f>C79/C65</f>
        <v>0.5287846481876333</v>
      </c>
      <c r="D82" s="2">
        <f>D79/D65</f>
        <v>0.529034184206598</v>
      </c>
      <c r="E82" s="2">
        <f>E79/E65</f>
        <v>0.5048088064889918</v>
      </c>
      <c r="F82" s="2">
        <f>F79/F65</f>
        <v>0.5245213584760439</v>
      </c>
      <c r="G82" s="2">
        <f>G79/G65</f>
        <v>0.5334793080797022</v>
      </c>
      <c r="H82" s="14">
        <v>0.534</v>
      </c>
      <c r="I82" s="1"/>
      <c r="J82" s="1"/>
      <c r="K82" s="1"/>
    </row>
    <row r="83">
      <c r="A83" s="1"/>
      <c r="B83" s="7" t="s">
        <v>174</v>
      </c>
      <c r="C83" s="2">
        <f>IF(AND(ISNUMBER(C78),ISNUMBER(C64)),IF(C64=0,"n/a",C78/C64),"n/a")</f>
        <v>0.5400363607619951</v>
      </c>
      <c r="D83" s="2">
        <f>IF(AND(ISNUMBER(D78),ISNUMBER(D64)),IF(D64=0,"n/a",D78/D64),"n/a")</f>
        <v>0.5297677622515253</v>
      </c>
      <c r="E83" s="2">
        <f>IF(AND(ISNUMBER(E78),ISNUMBER(E64)),IF(E64=0,"n/a",E78/E64),"n/a")</f>
        <v>0.533853555503403</v>
      </c>
      <c r="F83" s="2">
        <f>IF(AND(ISNUMBER(F78),ISNUMBER(F64)),IF(F64=0,"n/a",F78/F64),"n/a")</f>
        <v>0.5346846530363709</v>
      </c>
      <c r="G83" s="2">
        <f>IF(AND(ISNUMBER(G78),ISNUMBER(G64)),IF(G64=0,"n/a",G78/G64),"n/a")</f>
        <v>0.5312150369210115</v>
      </c>
      <c r="H83" s="14">
        <f>IF(AND(ISNUMBER(H78),ISNUMBER(H64)),IF(H64=0,"n/a",H78/H64),"n/a")</f>
        <v>0.5287846481876333</v>
      </c>
      <c r="I83" s="1"/>
      <c r="J83" s="1"/>
      <c r="K83" s="1"/>
    </row>
    <row r="84">
      <c r="A84" s="1"/>
      <c r="B84" s="7" t="s">
        <v>175</v>
      </c>
      <c r="C84" s="17">
        <f>IF(AND(ISNUMBER(C82),ISNUMBER(C83)),(C82-C83)*10000,"n/a")</f>
        <v>-112.5171257436186</v>
      </c>
      <c r="D84" s="17">
        <f>IF(AND(ISNUMBER(D82),ISNUMBER(D83)),(D82-D83)*10000,"n/a")</f>
        <v>-7.335780449273521</v>
      </c>
      <c r="E84" s="17">
        <f>IF(AND(ISNUMBER(E82),ISNUMBER(E83)),(E82-E83)*10000,"n/a")</f>
        <v>-290.4474901441112</v>
      </c>
      <c r="F84" s="17">
        <f>IF(AND(ISNUMBER(F82),ISNUMBER(F83)),(F82-F83)*10000,"n/a")</f>
        <v>-101.63294560327051</v>
      </c>
      <c r="G84" s="17">
        <f>IF(AND(ISNUMBER(G82),ISNUMBER(G83)),(G82-G83)*10000,"n/a")</f>
        <v>22.642711586907673</v>
      </c>
      <c r="H84" s="16">
        <f>IF(AND(ISNUMBER(H82),ISNUMBER(H83)),(H82-H83)*10000,"n/a")</f>
        <v>52.15351812366764</v>
      </c>
      <c r="I84" s="1"/>
      <c r="J84" s="1"/>
      <c r="K84" s="1"/>
    </row>
    <row r="85">
      <c r="A85" s="1"/>
      <c r="B85" s="7" t="s">
        <v>112</v>
      </c>
      <c r="C85" s="17" t="s">
        <v>26</v>
      </c>
      <c r="D85" s="17">
        <f>IF(AND(ISNUMBER(D82),ISNUMBER(C82)),(D82-C82)*10000,"n/a")</f>
        <v>2.4953601896471334</v>
      </c>
      <c r="E85" s="17">
        <f>IF(AND(ISNUMBER(E82),ISNUMBER(D82)),(E82-D82)*10000,"n/a")</f>
        <v>-242.25377717606133</v>
      </c>
      <c r="F85" s="17" t="s">
        <v>26</v>
      </c>
      <c r="G85" s="17">
        <f>IF(AND(ISNUMBER(G82),ISNUMBER(E82)),(G82-E82)*10000,"n/a")</f>
        <v>286.70501590710387</v>
      </c>
      <c r="H85" s="16">
        <f>IF(AND(ISNUMBER(H82),ISNUMBER(G82)),(H82-G82)*10000,"n/a")</f>
        <v>5.206919202978</v>
      </c>
      <c r="I85" s="1"/>
      <c r="J85" s="1"/>
      <c r="K85" s="1"/>
    </row>
    <row r="86">
      <c r="A86" s="1"/>
      <c r="B86" s="1" t="s">
        <v>176</v>
      </c>
      <c r="C86" s="3"/>
      <c r="D86" s="3">
        <v>-592.8</v>
      </c>
      <c r="E86" s="3"/>
      <c r="F86" s="3"/>
      <c r="G86" s="3"/>
      <c r="H86" s="25"/>
      <c r="I86" s="1"/>
      <c r="J86" s="1" t="s">
        <v>177</v>
      </c>
      <c r="K86" s="1"/>
    </row>
    <row r="87">
      <c r="A87" s="1"/>
      <c r="B87" s="1" t="s">
        <v>178</v>
      </c>
      <c r="C87" s="3"/>
      <c r="D87" s="3"/>
      <c r="E87" s="3">
        <v>-588.1</v>
      </c>
      <c r="F87" s="3"/>
      <c r="G87" s="3"/>
      <c r="H87" s="25"/>
      <c r="I87" s="1"/>
      <c r="J87" s="1" t="s">
        <v>179</v>
      </c>
      <c r="K87" s="1"/>
    </row>
    <row r="88">
      <c r="A88" s="1"/>
      <c r="B88" s="1" t="s">
        <v>180</v>
      </c>
      <c r="C88" s="3">
        <v>-193.5</v>
      </c>
      <c r="D88" s="3">
        <v>-204.3</v>
      </c>
      <c r="E88" s="3">
        <f>F88-E87</f>
        <v>-180.89999999999998</v>
      </c>
      <c r="F88" s="3">
        <v>-769</v>
      </c>
      <c r="G88" s="3">
        <v>-200.5</v>
      </c>
      <c r="H88" s="25">
        <f>C89</f>
        <v>-190.7</v>
      </c>
      <c r="I88" s="1"/>
      <c r="J88" s="1" t="s">
        <v>181</v>
      </c>
      <c r="K88" s="1"/>
    </row>
    <row r="89">
      <c r="A89" s="1"/>
      <c r="B89" s="1" t="s">
        <v>182</v>
      </c>
      <c r="C89" s="3">
        <v>-190.7</v>
      </c>
      <c r="D89" s="3">
        <v>-201.6</v>
      </c>
      <c r="E89" s="3">
        <f>F89-D86</f>
        <v>-182.10000000000002</v>
      </c>
      <c r="F89" s="3">
        <v>-774.9</v>
      </c>
      <c r="G89" s="3">
        <v>-205.7</v>
      </c>
      <c r="H89" s="25">
        <f>-H65*H92</f>
        <v>-244.26341671221462</v>
      </c>
      <c r="I89" s="1"/>
      <c r="J89" s="1" t="s">
        <v>183</v>
      </c>
      <c r="K89" s="1"/>
    </row>
    <row r="90">
      <c r="A90" s="1"/>
      <c r="B90" s="7" t="s">
        <v>79</v>
      </c>
      <c r="C90" s="2">
        <f>IF(AND(ISNUMBER(C89),ISNUMBER(C88)),C89/C88-1,"n/a")</f>
        <v>-0.014470284237726116</v>
      </c>
      <c r="D90" s="2">
        <f>IF(AND(ISNUMBER(D89),ISNUMBER(D88)),D89/D88-1,"n/a")</f>
        <v>-0.013215859030837107</v>
      </c>
      <c r="E90" s="2">
        <f>IF(AND(ISNUMBER(E89),ISNUMBER(E88)),E89/E88-1,"n/a")</f>
        <v>0.0066334991708127955</v>
      </c>
      <c r="F90" s="2">
        <f>IF(AND(ISNUMBER(F89),ISNUMBER(F88)),F89/F88-1,"n/a")</f>
        <v>0.007672301690507144</v>
      </c>
      <c r="G90" s="2">
        <f>IF(AND(ISNUMBER(G89),ISNUMBER(G88)),G89/G88-1,"n/a")</f>
        <v>0.025935162094762987</v>
      </c>
      <c r="H90" s="14">
        <f>IF(AND(ISNUMBER(H89),ISNUMBER(H88)),H89/H88-1,"n/a")</f>
        <v>0.2808779061993427</v>
      </c>
      <c r="I90" s="1"/>
      <c r="J90" s="1"/>
      <c r="K90" s="1"/>
    </row>
    <row r="91">
      <c r="A91" s="1"/>
      <c r="B91" s="1" t="s">
        <v>170</v>
      </c>
      <c r="C91" s="3" t="s">
        <v>26</v>
      </c>
      <c r="D91" s="3">
        <f>IF(AND(ISNUMBER(D89),ISNUMBER(C89)),D89-C89,"n/a")</f>
        <v>-10.900000000000006</v>
      </c>
      <c r="E91" s="3">
        <f>IF(AND(ISNUMBER(E89),ISNUMBER(D89)),E89-D89,"n/a")</f>
        <v>19.49999999999997</v>
      </c>
      <c r="F91" s="3" t="s">
        <v>26</v>
      </c>
      <c r="G91" s="3">
        <f>IF(AND(ISNUMBER(G89),ISNUMBER(E89)),G89-E89,"n/a")</f>
        <v>-23.599999999999966</v>
      </c>
      <c r="H91" s="25">
        <f>IF(AND(ISNUMBER(H89),ISNUMBER(G89)),H89-G89,"n/a")</f>
        <v>-38.56341671221463</v>
      </c>
      <c r="I91" s="1"/>
      <c r="J91" s="1"/>
      <c r="K91" s="1"/>
    </row>
    <row r="92">
      <c r="A92" s="1"/>
      <c r="B92" s="7" t="s">
        <v>184</v>
      </c>
      <c r="C92" s="2">
        <f>-C89/C65</f>
        <v>0.08132196162046908</v>
      </c>
      <c r="D92" s="2">
        <f>-D89/D65</f>
        <v>0.10031347962382445</v>
      </c>
      <c r="E92" s="2">
        <f>-E89/E65</f>
        <v>0.1055040556199305</v>
      </c>
      <c r="F92" s="2">
        <f>-F89/F65</f>
        <v>0.0931907831441216</v>
      </c>
      <c r="G92" s="2">
        <f>-G89/G65</f>
        <v>0.09008101598423472</v>
      </c>
      <c r="H92" s="14">
        <v>0.102</v>
      </c>
      <c r="I92" s="1"/>
      <c r="J92" s="1"/>
      <c r="K92" s="1"/>
    </row>
    <row r="93">
      <c r="A93" s="1"/>
      <c r="B93" s="7" t="s">
        <v>185</v>
      </c>
      <c r="C93" s="2">
        <f>IF(AND(ISNUMBER(C88),ISNUMBER(C64)),IF(C64=0,"n/a",-C88/C64),"n/a")</f>
        <v>0.07647616789186626</v>
      </c>
      <c r="D93" s="2">
        <f>IF(AND(ISNUMBER(D88),ISNUMBER(D64)),IF(D64=0,"n/a",-D88/D64),"n/a")</f>
        <v>0.10052155087581185</v>
      </c>
      <c r="E93" s="2">
        <f>IF(AND(ISNUMBER(E88),ISNUMBER(E64)),IF(E64=0,"n/a",-E88/E64),"n/a")</f>
        <v>0.10613705702886644</v>
      </c>
      <c r="F93" s="2">
        <f>IF(AND(ISNUMBER(F88),ISNUMBER(F64)),IF(F64=0,"n/a",-F88/F64),"n/a")</f>
        <v>0.09004894728213776</v>
      </c>
      <c r="G93" s="2">
        <f>IF(AND(ISNUMBER(G88),ISNUMBER(G64)),IF(G64=0,"n/a",-G88/G64),"n/a")</f>
        <v>0.08972924591631237</v>
      </c>
      <c r="H93" s="14">
        <f>IF(AND(ISNUMBER(H88),ISNUMBER(H64)),IF(H64=0,"n/a",-H88/H64),"n/a")</f>
        <v>0.08132196162046908</v>
      </c>
      <c r="I93" s="1"/>
      <c r="J93" s="1"/>
      <c r="K93" s="1"/>
    </row>
    <row r="94">
      <c r="A94" s="1"/>
      <c r="B94" s="7" t="s">
        <v>175</v>
      </c>
      <c r="C94" s="17">
        <f>IF(AND(ISNUMBER(C92),ISNUMBER(C93)),(C92-C93)*10000,"n/a")</f>
        <v>48.45793728602818</v>
      </c>
      <c r="D94" s="17">
        <f>IF(AND(ISNUMBER(D92),ISNUMBER(D93)),(D92-D93)*10000,"n/a")</f>
        <v>-2.080712519874073</v>
      </c>
      <c r="E94" s="17">
        <f>IF(AND(ISNUMBER(E92),ISNUMBER(E93)),(E92-E93)*10000,"n/a")</f>
        <v>-6.330014089359487</v>
      </c>
      <c r="F94" s="17">
        <f>IF(AND(ISNUMBER(F92),ISNUMBER(F93)),(F92-F93)*10000,"n/a")</f>
        <v>31.41835861983841</v>
      </c>
      <c r="G94" s="17">
        <f>IF(AND(ISNUMBER(G92),ISNUMBER(G93)),(G92-G93)*10000,"n/a")</f>
        <v>3.5177006792234957</v>
      </c>
      <c r="H94" s="16">
        <f>IF(AND(ISNUMBER(H92),ISNUMBER(H93)),(H92-H93)*10000,"n/a")</f>
        <v>206.78038379530918</v>
      </c>
      <c r="I94" s="1"/>
      <c r="J94" s="1"/>
      <c r="K94" s="1"/>
    </row>
    <row r="95">
      <c r="A95" s="1"/>
      <c r="B95" s="7" t="s">
        <v>112</v>
      </c>
      <c r="C95" s="17" t="s">
        <v>26</v>
      </c>
      <c r="D95" s="17">
        <f>IF(AND(ISNUMBER(D92),ISNUMBER(C92)),(D92-C92)*10000,"n/a")</f>
        <v>189.9151800335537</v>
      </c>
      <c r="E95" s="17">
        <f>IF(AND(ISNUMBER(E92),ISNUMBER(D92)),(E92-D92)*10000,"n/a")</f>
        <v>51.905759961060475</v>
      </c>
      <c r="F95" s="17" t="s">
        <v>26</v>
      </c>
      <c r="G95" s="17">
        <f>IF(AND(ISNUMBER(G92),ISNUMBER(E92)),(G92-E92)*10000,"n/a")</f>
        <v>-154.23039635695773</v>
      </c>
      <c r="H95" s="16">
        <f>IF(AND(ISNUMBER(H92),ISNUMBER(G92)),(H92-G92)*10000,"n/a")</f>
        <v>119.18984015765271</v>
      </c>
      <c r="I95" s="1"/>
      <c r="J95" s="1"/>
      <c r="K95" s="1"/>
    </row>
    <row r="96">
      <c r="A96" s="1"/>
      <c r="B96" s="1" t="s">
        <v>186</v>
      </c>
      <c r="C96" s="3"/>
      <c r="D96" s="3">
        <v>-308.9</v>
      </c>
      <c r="E96" s="3"/>
      <c r="F96" s="3"/>
      <c r="G96" s="3"/>
      <c r="H96" s="25"/>
      <c r="I96" s="1"/>
      <c r="J96" s="1" t="s">
        <v>177</v>
      </c>
      <c r="K96" s="1"/>
    </row>
    <row r="97">
      <c r="A97" s="1"/>
      <c r="B97" s="1" t="s">
        <v>187</v>
      </c>
      <c r="C97" s="3"/>
      <c r="D97" s="3"/>
      <c r="E97" s="3">
        <v>-297.5</v>
      </c>
      <c r="F97" s="3"/>
      <c r="G97" s="3"/>
      <c r="H97" s="25"/>
      <c r="I97" s="1"/>
      <c r="J97" s="1" t="s">
        <v>179</v>
      </c>
      <c r="K97" s="1"/>
    </row>
    <row r="98">
      <c r="A98" s="1"/>
      <c r="B98" s="1" t="s">
        <v>188</v>
      </c>
      <c r="C98" s="3">
        <v>-95.2</v>
      </c>
      <c r="D98" s="3">
        <v>-102.5</v>
      </c>
      <c r="E98" s="3">
        <f>F98-E97</f>
        <v>-105.19999999999999</v>
      </c>
      <c r="F98" s="3">
        <v>-402.7</v>
      </c>
      <c r="G98" s="3">
        <v>-113.1</v>
      </c>
      <c r="H98" s="25">
        <f>C99</f>
        <v>-97.7</v>
      </c>
      <c r="I98" s="1"/>
      <c r="J98" s="1" t="s">
        <v>181</v>
      </c>
      <c r="K98" s="1"/>
    </row>
    <row r="99">
      <c r="A99" s="1"/>
      <c r="B99" s="1" t="s">
        <v>189</v>
      </c>
      <c r="C99" s="3">
        <v>-97.7</v>
      </c>
      <c r="D99" s="3">
        <v>-98.1</v>
      </c>
      <c r="E99" s="3">
        <f>F99-D96</f>
        <v>-116.70000000000005</v>
      </c>
      <c r="F99" s="3">
        <v>-425.6</v>
      </c>
      <c r="G99" s="3">
        <v>-121.1</v>
      </c>
      <c r="H99" s="25">
        <v>-106</v>
      </c>
      <c r="I99" s="1"/>
      <c r="J99" s="1" t="s">
        <v>190</v>
      </c>
      <c r="K99" s="1"/>
    </row>
    <row r="100">
      <c r="A100" s="1"/>
      <c r="B100" s="7" t="s">
        <v>79</v>
      </c>
      <c r="C100" s="2">
        <f>IF(AND(ISNUMBER(C99),ISNUMBER(C98)),C99/C98-1,"n/a")</f>
        <v>0.02626050420168058</v>
      </c>
      <c r="D100" s="2">
        <f>IF(AND(ISNUMBER(D99),ISNUMBER(D98)),D99/D98-1,"n/a")</f>
        <v>-0.04292682926829272</v>
      </c>
      <c r="E100" s="2">
        <f>IF(AND(ISNUMBER(E99),ISNUMBER(E98)),E99/E98-1,"n/a")</f>
        <v>0.10931558935361263</v>
      </c>
      <c r="F100" s="2">
        <f>IF(AND(ISNUMBER(F99),ISNUMBER(F98)),F99/F98-1,"n/a")</f>
        <v>0.056866153464117275</v>
      </c>
      <c r="G100" s="2">
        <f>IF(AND(ISNUMBER(G99),ISNUMBER(G98)),G99/G98-1,"n/a")</f>
        <v>0.07073386383731206</v>
      </c>
      <c r="H100" s="14">
        <f>IF(AND(ISNUMBER(H99),ISNUMBER(H98)),H99/H98-1,"n/a")</f>
        <v>0.0849539406345956</v>
      </c>
      <c r="I100" s="1"/>
      <c r="J100" s="1"/>
      <c r="K100" s="1"/>
    </row>
    <row r="101">
      <c r="A101" s="1"/>
      <c r="B101" s="1" t="s">
        <v>170</v>
      </c>
      <c r="C101" s="3" t="s">
        <v>26</v>
      </c>
      <c r="D101" s="3">
        <f>IF(AND(ISNUMBER(D99),ISNUMBER(C99)),D99-C99,"n/a")</f>
        <v>-0.3999999999999915</v>
      </c>
      <c r="E101" s="3">
        <f>IF(AND(ISNUMBER(E99),ISNUMBER(D99)),E99-D99,"n/a")</f>
        <v>-18.60000000000005</v>
      </c>
      <c r="F101" s="3" t="s">
        <v>26</v>
      </c>
      <c r="G101" s="3">
        <f>IF(AND(ISNUMBER(G99),ISNUMBER(E99)),G99-E99,"n/a")</f>
        <v>-4.399999999999949</v>
      </c>
      <c r="H101" s="25">
        <f>IF(AND(ISNUMBER(H99),ISNUMBER(G99)),H99-G99,"n/a")</f>
        <v>15.099999999999994</v>
      </c>
      <c r="I101" s="1"/>
      <c r="J101" s="1"/>
      <c r="K101" s="1"/>
    </row>
    <row r="102">
      <c r="A102" s="1"/>
      <c r="B102" s="7" t="s">
        <v>191</v>
      </c>
      <c r="C102" s="2">
        <f>-C99/C65</f>
        <v>0.041663113006396586</v>
      </c>
      <c r="D102" s="2">
        <f>-D99/D65</f>
        <v>0.04881325570980743</v>
      </c>
      <c r="E102" s="2">
        <f>-E99/E65</f>
        <v>0.06761297798377755</v>
      </c>
      <c r="F102" s="2">
        <f>-F99/F65</f>
        <v>0.05118337502405233</v>
      </c>
      <c r="G102" s="2">
        <f>-G99/G65</f>
        <v>0.05303262535581344</v>
      </c>
      <c r="H102" s="14">
        <f>-H99/H65</f>
        <v>0.04426368936261316</v>
      </c>
      <c r="I102" s="1"/>
      <c r="J102" s="1"/>
      <c r="K102" s="1"/>
    </row>
    <row r="103">
      <c r="A103" s="1"/>
      <c r="B103" s="7" t="s">
        <v>192</v>
      </c>
      <c r="C103" s="2">
        <f>IF(AND(ISNUMBER(C98),ISNUMBER(C64)),IF(C64=0,"n/a",-C98/C64),"n/a")</f>
        <v>0.037625484151450485</v>
      </c>
      <c r="D103" s="2">
        <f>IF(AND(ISNUMBER(D98),ISNUMBER(D64)),IF(D64=0,"n/a",-D98/D64),"n/a")</f>
        <v>0.05043298563274946</v>
      </c>
      <c r="E103" s="2">
        <f>IF(AND(ISNUMBER(E98),ISNUMBER(E64)),IF(E64=0,"n/a",-E98/E64),"n/a")</f>
        <v>0.06172260032856136</v>
      </c>
      <c r="F103" s="2">
        <f>IF(AND(ISNUMBER(F98),ISNUMBER(F64)),IF(F64=0,"n/a",-F98/F64),"n/a")</f>
        <v>0.04715567109299984</v>
      </c>
      <c r="G103" s="2">
        <f>IF(AND(ISNUMBER(G98),ISNUMBER(G64)),IF(G64=0,"n/a",-G98/G64),"n/a")</f>
        <v>0.050615350190199145</v>
      </c>
      <c r="H103" s="14">
        <f>IF(AND(ISNUMBER(H98),ISNUMBER(H64)),IF(H64=0,"n/a",-H98/H64),"n/a")</f>
        <v>0.041663113006396586</v>
      </c>
      <c r="I103" s="1"/>
      <c r="J103" s="1"/>
      <c r="K103" s="1"/>
    </row>
    <row r="104">
      <c r="A104" s="1"/>
      <c r="B104" s="7" t="s">
        <v>175</v>
      </c>
      <c r="C104" s="17">
        <f>IF(AND(ISNUMBER(C102),ISNUMBER(C103)),(C102-C103)*10000,"n/a")</f>
        <v>40.376288549461016</v>
      </c>
      <c r="D104" s="17">
        <f>IF(AND(ISNUMBER(D102),ISNUMBER(D103)),(D102-D103)*10000,"n/a")</f>
        <v>-16.197299229420288</v>
      </c>
      <c r="E104" s="17">
        <f>IF(AND(ISNUMBER(E102),ISNUMBER(E103)),(E102-E103)*10000,"n/a")</f>
        <v>58.903776552161894</v>
      </c>
      <c r="F104" s="17">
        <f>IF(AND(ISNUMBER(F102),ISNUMBER(F103)),(F102-F103)*10000,"n/a")</f>
        <v>40.27703931052493</v>
      </c>
      <c r="G104" s="17">
        <f>IF(AND(ISNUMBER(G102),ISNUMBER(G103)),(G102-G103)*10000,"n/a")</f>
        <v>24.172751656142964</v>
      </c>
      <c r="H104" s="16">
        <f>IF(AND(ISNUMBER(H102),ISNUMBER(H103)),(H102-H103)*10000,"n/a")</f>
        <v>26.005763562165704</v>
      </c>
      <c r="I104" s="1"/>
      <c r="J104" s="1"/>
      <c r="K104" s="1"/>
    </row>
    <row r="105">
      <c r="A105" s="1"/>
      <c r="B105" s="7" t="s">
        <v>112</v>
      </c>
      <c r="C105" s="17" t="s">
        <v>26</v>
      </c>
      <c r="D105" s="17">
        <f>IF(AND(ISNUMBER(D102),ISNUMBER(C102)),(D102-C102)*10000,"n/a")</f>
        <v>71.50142703410842</v>
      </c>
      <c r="E105" s="17">
        <f>IF(AND(ISNUMBER(E102),ISNUMBER(D102)),(E102-D102)*10000,"n/a")</f>
        <v>187.99722273970121</v>
      </c>
      <c r="F105" s="17" t="s">
        <v>26</v>
      </c>
      <c r="G105" s="17">
        <f>IF(AND(ISNUMBER(G102),ISNUMBER(E102)),(G102-E102)*10000,"n/a")</f>
        <v>-145.8035262796411</v>
      </c>
      <c r="H105" s="16">
        <f>IF(AND(ISNUMBER(H102),ISNUMBER(G102)),(H102-G102)*10000,"n/a")</f>
        <v>-87.68935993200284</v>
      </c>
      <c r="I105" s="1"/>
      <c r="J105" s="1"/>
      <c r="K105" s="1"/>
    </row>
    <row r="106">
      <c r="A106" s="1"/>
      <c r="B106" s="1" t="s">
        <v>193</v>
      </c>
      <c r="C106" s="3">
        <v>1077.7</v>
      </c>
      <c r="D106" s="3">
        <v>769.9</v>
      </c>
      <c r="E106" s="3">
        <v>623.8</v>
      </c>
      <c r="F106" s="3">
        <v>3394.4</v>
      </c>
      <c r="G106" s="3">
        <v>873.4</v>
      </c>
      <c r="H106" s="25">
        <f>C107</f>
        <v>951.5999999999999</v>
      </c>
      <c r="I106" s="1"/>
      <c r="J106" s="1" t="s">
        <v>160</v>
      </c>
      <c r="K106" s="1"/>
    </row>
    <row r="107">
      <c r="A107" s="1"/>
      <c r="B107" s="12" t="s">
        <v>194</v>
      </c>
      <c r="C107" s="22">
        <f>C79+C89+C99</f>
        <v>951.5999999999999</v>
      </c>
      <c r="D107" s="22">
        <f>D79+D89+D99</f>
        <v>763.5</v>
      </c>
      <c r="E107" s="22">
        <f>E79+E89+E99</f>
        <v>572.4999999999999</v>
      </c>
      <c r="F107" s="22">
        <f>F79+F89+F99</f>
        <v>3161</v>
      </c>
      <c r="G107" s="22">
        <f>G79+G89+G99</f>
        <v>891.4</v>
      </c>
      <c r="H107" s="42">
        <f>H79+H89+H99</f>
        <v>928.527411957615</v>
      </c>
      <c r="I107" s="1"/>
      <c r="J107" s="1"/>
      <c r="K107" s="1"/>
    </row>
    <row r="108">
      <c r="A108" s="1"/>
      <c r="B108" s="7" t="s">
        <v>79</v>
      </c>
      <c r="C108" s="2">
        <f>IF(AND(ISNUMBER(C107),ISNUMBER(C106)),IF(C106&lt;=0,"n/m",C107/C106-1),"n/a")</f>
        <v>-0.11700844390832343</v>
      </c>
      <c r="D108" s="2">
        <f>IF(AND(ISNUMBER(D107),ISNUMBER(D106)),IF(D106&lt;=0,"n/m",D107/D106-1),"n/a")</f>
        <v>-0.008312767891934025</v>
      </c>
      <c r="E108" s="2">
        <f>IF(AND(ISNUMBER(E107),ISNUMBER(E106)),IF(E106&lt;=0,"n/m",E107/E106-1),"n/a")</f>
        <v>-0.08223789676178273</v>
      </c>
      <c r="F108" s="2">
        <f>IF(AND(ISNUMBER(F107),ISNUMBER(F106)),IF(F106&lt;=0,"n/m",F107/F106-1),"n/a")</f>
        <v>-0.0687603111006364</v>
      </c>
      <c r="G108" s="2">
        <f>IF(AND(ISNUMBER(G107),ISNUMBER(G106)),IF(G106&lt;=0,"n/m",G107/G106-1),"n/a")</f>
        <v>0.02060911380810615</v>
      </c>
      <c r="H108" s="14">
        <f>IF(AND(ISNUMBER(H107),ISNUMBER(H106)),IF(H106&lt;=0,"n/m",H107/H106-1),"n/a")</f>
        <v>-0.024246099245885833</v>
      </c>
      <c r="I108" s="1"/>
      <c r="J108" s="1"/>
      <c r="K108" s="1"/>
    </row>
    <row r="109">
      <c r="A109" s="1"/>
      <c r="B109" s="1" t="s">
        <v>170</v>
      </c>
      <c r="C109" s="3" t="s">
        <v>26</v>
      </c>
      <c r="D109" s="3">
        <f>IF(AND(ISNUMBER(D107),ISNUMBER(C107)),D107-C107,"n/a")</f>
        <v>-188.0999999999999</v>
      </c>
      <c r="E109" s="3">
        <f>IF(AND(ISNUMBER(E107),ISNUMBER(D107)),E107-D107,"n/a")</f>
        <v>-191.0000000000001</v>
      </c>
      <c r="F109" s="3" t="s">
        <v>26</v>
      </c>
      <c r="G109" s="3">
        <f>IF(AND(ISNUMBER(G107),ISNUMBER(E107)),G107-E107,"n/a")</f>
        <v>318.9000000000001</v>
      </c>
      <c r="H109" s="25">
        <f>IF(AND(ISNUMBER(H107),ISNUMBER(G107)),H107-G107,"n/a")</f>
        <v>37.12741195761498</v>
      </c>
      <c r="I109" s="1"/>
      <c r="J109" s="1"/>
      <c r="K109" s="1"/>
    </row>
    <row r="110">
      <c r="A110" s="1"/>
      <c r="B110" s="7" t="s">
        <v>195</v>
      </c>
      <c r="C110" s="2">
        <f>IF(AND(ISNUMBER(C107),ISNUMBER(C65)),IF(C65=0,"n/a",C107/C65),"n/a")</f>
        <v>0.40579957356076757</v>
      </c>
      <c r="D110" s="2">
        <f>IF(AND(ISNUMBER(D107),ISNUMBER(D65)),IF(D65=0,"n/a",D107/D65),"n/a")</f>
        <v>0.3799074488729661</v>
      </c>
      <c r="E110" s="2">
        <f>IF(AND(ISNUMBER(E107),ISNUMBER(E65)),IF(E65=0,"n/a",E107/E65),"n/a")</f>
        <v>0.33169177288528384</v>
      </c>
      <c r="F110" s="2">
        <f>IF(AND(ISNUMBER(F107),ISNUMBER(F65)),IF(F65=0,"n/a",F107/F65),"n/a")</f>
        <v>0.3801472003078699</v>
      </c>
      <c r="G110" s="2">
        <f>IF(AND(ISNUMBER(G107),ISNUMBER(G65)),IF(G65=0,"n/a",G107/G65),"n/a")</f>
        <v>0.390365666739654</v>
      </c>
      <c r="H110" s="14">
        <f>IF(AND(ISNUMBER(H107),ISNUMBER(H65)),IF(H65=0,"n/a",H107/H65),"n/a")</f>
        <v>0.38773631063738684</v>
      </c>
      <c r="I110" s="1"/>
      <c r="J110" s="1"/>
      <c r="K110" s="1"/>
    </row>
    <row r="111">
      <c r="A111" s="1"/>
      <c r="B111" s="7" t="s">
        <v>196</v>
      </c>
      <c r="C111" s="2">
        <f>IF(AND(ISNUMBER(C106),ISNUMBER(C64)),IF(C64=0,"n/a",C106/C64),"n/a")</f>
        <v>0.4259347087186784</v>
      </c>
      <c r="D111" s="2">
        <f>IF(AND(ISNUMBER(D106),ISNUMBER(D64)),IF(D64=0,"n/a",D106/D64),"n/a")</f>
        <v>0.37881322574296394</v>
      </c>
      <c r="E111" s="2">
        <f>IF(AND(ISNUMBER(E106),ISNUMBER(E64)),IF(E64=0,"n/a",E106/E64),"n/a")</f>
        <v>0.36599389814597505</v>
      </c>
      <c r="F111" s="2">
        <f>IF(AND(ISNUMBER(F106),ISNUMBER(F64)),IF(F64=0,"n/a",F106/F64),"n/a")</f>
        <v>0.39748003466123333</v>
      </c>
      <c r="G111" s="2">
        <f>IF(AND(ISNUMBER(G106),ISNUMBER(G64)),IF(G64=0,"n/a",G106/G64),"n/a")</f>
        <v>0.3908704408144999</v>
      </c>
      <c r="H111" s="14">
        <f>IF(AND(ISNUMBER(H106),ISNUMBER(H64)),IF(H64=0,"n/a",H106/H64),"n/a")</f>
        <v>0.40579957356076757</v>
      </c>
      <c r="I111" s="1"/>
      <c r="J111" s="1"/>
      <c r="K111" s="1"/>
    </row>
    <row r="112">
      <c r="A112" s="1"/>
      <c r="B112" s="7" t="s">
        <v>175</v>
      </c>
      <c r="C112" s="17">
        <f>IF(AND(ISNUMBER(C110),ISNUMBER(C111)),(C110-C111)*10000,"n/a")</f>
        <v>-201.3513515791082</v>
      </c>
      <c r="D112" s="17">
        <f>IF(AND(ISNUMBER(D110),ISNUMBER(D111)),(D110-D111)*10000,"n/a")</f>
        <v>10.94223130002181</v>
      </c>
      <c r="E112" s="17">
        <f>IF(AND(ISNUMBER(E110),ISNUMBER(E111)),(E110-E111)*10000,"n/a")</f>
        <v>-343.02125260691207</v>
      </c>
      <c r="F112" s="17">
        <f>IF(AND(ISNUMBER(F110),ISNUMBER(F111)),(F110-F111)*10000,"n/a")</f>
        <v>-173.32834353363413</v>
      </c>
      <c r="G112" s="17">
        <f>IF(AND(ISNUMBER(G110),ISNUMBER(G111)),(G110-G111)*10000,"n/a")</f>
        <v>-5.047740748458929</v>
      </c>
      <c r="H112" s="16">
        <f>IF(AND(ISNUMBER(H110),ISNUMBER(H111)),(H110-H111)*10000,"n/a")</f>
        <v>-180.6326292338073</v>
      </c>
      <c r="I112" s="1"/>
      <c r="J112" s="1"/>
      <c r="K112" s="1"/>
    </row>
    <row r="113">
      <c r="A113" s="1"/>
      <c r="B113" s="7" t="s">
        <v>112</v>
      </c>
      <c r="C113" s="17" t="s">
        <v>26</v>
      </c>
      <c r="D113" s="17">
        <f>IF(AND(ISNUMBER(D110),ISNUMBER(C110)),(D110-C110)*10000,"n/a")</f>
        <v>-258.9212468780144</v>
      </c>
      <c r="E113" s="17">
        <f>IF(AND(ISNUMBER(E110),ISNUMBER(D110)),(E110-D110)*10000,"n/a")</f>
        <v>-482.15675987682283</v>
      </c>
      <c r="F113" s="17" t="s">
        <v>26</v>
      </c>
      <c r="G113" s="17">
        <f>IF(AND(ISNUMBER(G110),ISNUMBER(E110)),(G110-E110)*10000,"n/a")</f>
        <v>586.7389385437016</v>
      </c>
      <c r="H113" s="16">
        <f>IF(AND(ISNUMBER(H110),ISNUMBER(G110)),(H110-G110)*10000,"n/a")</f>
        <v>-26.293561022671664</v>
      </c>
      <c r="I113" s="1"/>
      <c r="J113" s="1"/>
      <c r="K113" s="1"/>
    </row>
    <row r="114">
      <c r="A114" s="1"/>
      <c r="B114" s="1" t="s">
        <v>197</v>
      </c>
      <c r="C114" s="3">
        <v>951.6</v>
      </c>
      <c r="D114" s="3">
        <v>763.5</v>
      </c>
      <c r="E114" s="3">
        <v>572.5</v>
      </c>
      <c r="F114" s="3">
        <v>3161</v>
      </c>
      <c r="G114" s="3">
        <v>891.4</v>
      </c>
      <c r="H114" s="25" t="s">
        <v>26</v>
      </c>
      <c r="I114" s="1"/>
      <c r="J114" s="1" t="s">
        <v>160</v>
      </c>
      <c r="K114" s="1"/>
    </row>
    <row r="115">
      <c r="A115" s="1"/>
      <c r="B115" s="1" t="s">
        <v>198</v>
      </c>
      <c r="C115" s="3">
        <f>ROUND(C107-C114,1)</f>
        <v>0</v>
      </c>
      <c r="D115" s="3">
        <f>ROUND(D107-D114,1)</f>
        <v>0</v>
      </c>
      <c r="E115" s="3">
        <f>ROUND(E107-E114,1)</f>
        <v>0</v>
      </c>
      <c r="F115" s="3">
        <f>ROUND(F107-F114,1)</f>
        <v>0</v>
      </c>
      <c r="G115" s="3">
        <f>ROUND(G107-G114,1)</f>
        <v>0</v>
      </c>
      <c r="H115" s="25" t="s">
        <v>26</v>
      </c>
      <c r="I115" s="1"/>
      <c r="J115" s="1"/>
      <c r="K115" s="1"/>
    </row>
    <row r="116">
      <c r="A116" s="1"/>
      <c r="B116" s="1" t="s">
        <v>199</v>
      </c>
      <c r="C116" s="3">
        <v>82.5</v>
      </c>
      <c r="D116" s="3">
        <v>93.4</v>
      </c>
      <c r="E116" s="3">
        <v>78.8</v>
      </c>
      <c r="F116" s="3">
        <v>341.1</v>
      </c>
      <c r="G116" s="3">
        <v>76.8</v>
      </c>
      <c r="H116" s="25">
        <f>C117</f>
        <v>82.6</v>
      </c>
      <c r="I116" s="1"/>
      <c r="J116" s="1" t="s">
        <v>160</v>
      </c>
      <c r="K116" s="1"/>
    </row>
    <row r="117">
      <c r="A117" s="1"/>
      <c r="B117" s="1" t="s">
        <v>200</v>
      </c>
      <c r="C117" s="3">
        <v>82.6</v>
      </c>
      <c r="D117" s="3">
        <v>78.7</v>
      </c>
      <c r="E117" s="3">
        <v>92.8</v>
      </c>
      <c r="F117" s="3">
        <v>330.9</v>
      </c>
      <c r="G117" s="3">
        <v>77.3</v>
      </c>
      <c r="H117" s="25">
        <v>80</v>
      </c>
      <c r="I117" s="1"/>
      <c r="J117" s="1" t="s">
        <v>160</v>
      </c>
      <c r="K117" s="1"/>
    </row>
    <row r="118">
      <c r="A118" s="1"/>
      <c r="B118" s="7" t="s">
        <v>79</v>
      </c>
      <c r="C118" s="2">
        <f>IF(AND(ISNUMBER(C117),ISNUMBER(C116)),IF(C116&lt;=0,"n/m",C117/C116-1),"n/a")</f>
        <v>0.00121212121212122</v>
      </c>
      <c r="D118" s="2">
        <f>IF(AND(ISNUMBER(D117),ISNUMBER(D116)),IF(D116&lt;=0,"n/m",D117/D116-1),"n/a")</f>
        <v>-0.15738758029978583</v>
      </c>
      <c r="E118" s="2">
        <f>IF(AND(ISNUMBER(E117),ISNUMBER(E116)),IF(E116&lt;=0,"n/m",E117/E116-1),"n/a")</f>
        <v>0.17766497461928932</v>
      </c>
      <c r="F118" s="2">
        <f>IF(AND(ISNUMBER(F117),ISNUMBER(F116)),IF(F116&lt;=0,"n/m",F117/F116-1),"n/a")</f>
        <v>-0.0299032541776606</v>
      </c>
      <c r="G118" s="2">
        <f>IF(AND(ISNUMBER(G117),ISNUMBER(G116)),IF(G116&lt;=0,"n/m",G117/G116-1),"n/a")</f>
        <v>0.006510416666666741</v>
      </c>
      <c r="H118" s="14">
        <f>IF(AND(ISNUMBER(H117),ISNUMBER(H116)),IF(H116&lt;=0,"n/m",H117/H116-1),"n/a")</f>
        <v>-0.03147699757869238</v>
      </c>
      <c r="I118" s="1"/>
      <c r="J118" s="1"/>
      <c r="K118" s="1"/>
    </row>
    <row r="119">
      <c r="A119" s="1"/>
      <c r="B119" s="1" t="s">
        <v>170</v>
      </c>
      <c r="C119" s="3" t="s">
        <v>26</v>
      </c>
      <c r="D119" s="3">
        <f>IF(AND(ISNUMBER(D117),ISNUMBER(C117)),D117-C117,"n/a")</f>
        <v>-3.8999999999999915</v>
      </c>
      <c r="E119" s="3">
        <f>IF(AND(ISNUMBER(E117),ISNUMBER(D117)),E117-D117,"n/a")</f>
        <v>14.099999999999994</v>
      </c>
      <c r="F119" s="3" t="s">
        <v>26</v>
      </c>
      <c r="G119" s="3">
        <f>IF(AND(ISNUMBER(G117),ISNUMBER(E117)),G117-E117,"n/a")</f>
        <v>-15.5</v>
      </c>
      <c r="H119" s="25">
        <f>IF(AND(ISNUMBER(H117),ISNUMBER(G117)),H117-G117,"n/a")</f>
        <v>2.700000000000003</v>
      </c>
      <c r="I119" s="1"/>
      <c r="J119" s="1"/>
      <c r="K119" s="1"/>
    </row>
    <row r="120">
      <c r="A120" s="1"/>
      <c r="B120" s="7" t="s">
        <v>201</v>
      </c>
      <c r="C120" s="2">
        <f>IF(AND(ISNUMBER(C117),ISNUMBER(C65)),IF(C65=0,"n/a",C117/C65),"n/a")</f>
        <v>0.03522388059701492</v>
      </c>
      <c r="D120" s="2">
        <f>IF(AND(ISNUMBER(D117),ISNUMBER(D65)),IF(D65=0,"n/a",D117/D65),"n/a")</f>
        <v>0.03916007364283226</v>
      </c>
      <c r="E120" s="2">
        <f>IF(AND(ISNUMBER(E117),ISNUMBER(E65)),IF(E65=0,"n/a",E117/E65),"n/a")</f>
        <v>0.05376593279258401</v>
      </c>
      <c r="F120" s="2">
        <f>IF(AND(ISNUMBER(F117),ISNUMBER(F65)),IF(F65=0,"n/a",F117/F65),"n/a")</f>
        <v>0.039794593034442945</v>
      </c>
      <c r="G120" s="2">
        <f>IF(AND(ISNUMBER(G117),ISNUMBER(G65)),IF(G65=0,"n/a",G117/G65),"n/a")</f>
        <v>0.03385154368294285</v>
      </c>
      <c r="H120" s="14">
        <f>IF(AND(ISNUMBER(H117),ISNUMBER(H65)),IF(H65=0,"n/a",H117/H65),"n/a")</f>
        <v>0.03340655800951936</v>
      </c>
      <c r="I120" s="1"/>
      <c r="J120" s="1"/>
      <c r="K120" s="1"/>
    </row>
    <row r="121">
      <c r="A121" s="1"/>
      <c r="B121" s="7" t="s">
        <v>202</v>
      </c>
      <c r="C121" s="2">
        <f>IF(AND(ISNUMBER(C116),ISNUMBER(C64)),IF(C64=0,"n/a",C116/C64),"n/a")</f>
        <v>0.03260611809343135</v>
      </c>
      <c r="D121" s="2">
        <f>IF(AND(ISNUMBER(D116),ISNUMBER(D64)),IF(D64=0,"n/a",D116/D64),"n/a")</f>
        <v>0.04595552056681756</v>
      </c>
      <c r="E121" s="2">
        <f>IF(AND(ISNUMBER(E116),ISNUMBER(E64)),IF(E64=0,"n/a",E116/E64),"n/a")</f>
        <v>0.0462332785731049</v>
      </c>
      <c r="F121" s="2">
        <f>IF(AND(ISNUMBER(F116),ISNUMBER(F64)),IF(F64=0,"n/a",F116/F64),"n/a")</f>
        <v>0.039942387409541216</v>
      </c>
      <c r="G121" s="2">
        <f>IF(AND(ISNUMBER(G116),ISNUMBER(G64)),IF(G64=0,"n/a",G116/G64),"n/a")</f>
        <v>0.034370105168941595</v>
      </c>
      <c r="H121" s="14">
        <f>IF(AND(ISNUMBER(H116),ISNUMBER(H64)),IF(H64=0,"n/a",H116/H64),"n/a")</f>
        <v>0.03522388059701492</v>
      </c>
      <c r="I121" s="1"/>
      <c r="J121" s="1"/>
      <c r="K121" s="1"/>
    </row>
    <row r="122">
      <c r="A122" s="1"/>
      <c r="B122" s="7" t="s">
        <v>175</v>
      </c>
      <c r="C122" s="17">
        <f>IF(AND(ISNUMBER(C120),ISNUMBER(C121)),(C120-C121)*10000,"n/a")</f>
        <v>26.17762503583573</v>
      </c>
      <c r="D122" s="17">
        <f>IF(AND(ISNUMBER(D120),ISNUMBER(D121)),(D120-D121)*10000,"n/a")</f>
        <v>-67.95446923985294</v>
      </c>
      <c r="E122" s="17">
        <f>IF(AND(ISNUMBER(E120),ISNUMBER(E121)),(E120-E121)*10000,"n/a")</f>
        <v>75.32654219479109</v>
      </c>
      <c r="F122" s="17">
        <f>IF(AND(ISNUMBER(F120),ISNUMBER(F121)),(F120-F121)*10000,"n/a")</f>
        <v>-1.4779437509827158</v>
      </c>
      <c r="G122" s="17">
        <f>IF(AND(ISNUMBER(G120),ISNUMBER(G121)),(G120-G121)*10000,"n/a")</f>
        <v>-5.185614859987419</v>
      </c>
      <c r="H122" s="16">
        <f>IF(AND(ISNUMBER(H120),ISNUMBER(H121)),(H120-H121)*10000,"n/a")</f>
        <v>-18.173225874955623</v>
      </c>
      <c r="I122" s="1"/>
      <c r="J122" s="1"/>
      <c r="K122" s="1"/>
    </row>
    <row r="123">
      <c r="A123" s="1"/>
      <c r="B123" s="7" t="s">
        <v>112</v>
      </c>
      <c r="C123" s="17" t="s">
        <v>26</v>
      </c>
      <c r="D123" s="17">
        <f>IF(AND(ISNUMBER(D120),ISNUMBER(C120)),(D120-C120)*10000,"n/a")</f>
        <v>39.361930458173404</v>
      </c>
      <c r="E123" s="17">
        <f>IF(AND(ISNUMBER(E120),ISNUMBER(D120)),(E120-D120)*10000,"n/a")</f>
        <v>146.05859149751745</v>
      </c>
      <c r="F123" s="17" t="s">
        <v>26</v>
      </c>
      <c r="G123" s="17">
        <f>IF(AND(ISNUMBER(G120),ISNUMBER(E120)),(G120-E120)*10000,"n/a")</f>
        <v>-199.14389109641155</v>
      </c>
      <c r="H123" s="16">
        <f>IF(AND(ISNUMBER(H120),ISNUMBER(G120)),(H120-G120)*10000,"n/a")</f>
        <v>-4.449856734234925</v>
      </c>
      <c r="I123" s="1"/>
      <c r="J123" s="1"/>
      <c r="K123" s="1"/>
    </row>
    <row r="124">
      <c r="A124" s="1"/>
      <c r="B124" s="1"/>
      <c r="C124" s="1"/>
      <c r="D124" s="1"/>
      <c r="E124" s="1"/>
      <c r="F124" s="1"/>
      <c r="G124" s="1"/>
      <c r="H124" s="23"/>
      <c r="I124" s="1"/>
      <c r="J124" s="1"/>
      <c r="K124" s="1"/>
    </row>
    <row r="125">
      <c r="A125" s="1"/>
      <c r="B125" s="1"/>
      <c r="C125" s="1"/>
      <c r="D125" s="1"/>
      <c r="E125" s="1"/>
      <c r="F125" s="1"/>
      <c r="G125" s="1"/>
      <c r="H125" s="23"/>
      <c r="I125" s="1"/>
      <c r="J125" s="1"/>
      <c r="K125" s="1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7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203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26" t="s">
        <v>69</v>
      </c>
      <c r="C5" s="10" t="s">
        <v>58</v>
      </c>
      <c r="D5" s="10" t="s">
        <v>70</v>
      </c>
      <c r="E5" s="10" t="s">
        <v>71</v>
      </c>
      <c r="F5" s="10" t="s">
        <v>72</v>
      </c>
      <c r="G5" s="10" t="s">
        <v>73</v>
      </c>
      <c r="H5" s="36" t="s">
        <v>57</v>
      </c>
      <c r="I5" s="1"/>
      <c r="J5" s="9" t="s">
        <v>3</v>
      </c>
      <c r="K5" s="1"/>
    </row>
    <row r="6">
      <c r="A6" s="1"/>
      <c r="B6" s="18" t="s">
        <v>74</v>
      </c>
      <c r="C6" s="8">
        <v>45900</v>
      </c>
      <c r="D6" s="8">
        <v>45991</v>
      </c>
      <c r="E6" s="8">
        <v>46081</v>
      </c>
      <c r="F6" s="8">
        <v>46081</v>
      </c>
      <c r="G6" s="8">
        <v>46173</v>
      </c>
      <c r="H6" s="24">
        <v>46265</v>
      </c>
      <c r="I6" s="1"/>
      <c r="J6" s="1"/>
      <c r="K6" s="1"/>
    </row>
    <row r="7">
      <c r="A7" s="1"/>
      <c r="B7" s="11" t="s">
        <v>75</v>
      </c>
      <c r="C7" s="5">
        <v>92</v>
      </c>
      <c r="D7" s="5">
        <v>91</v>
      </c>
      <c r="E7" s="5">
        <v>90</v>
      </c>
      <c r="F7" s="5">
        <v>365</v>
      </c>
      <c r="G7" s="5">
        <v>92</v>
      </c>
      <c r="H7" s="13">
        <v>92</v>
      </c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"/>
      <c r="C9" s="1"/>
      <c r="D9" s="1"/>
      <c r="E9" s="1"/>
      <c r="F9" s="1"/>
      <c r="G9" s="1"/>
      <c r="H9" s="23"/>
      <c r="I9" s="1"/>
      <c r="J9" s="1"/>
      <c r="K9" s="1"/>
    </row>
    <row r="10">
      <c r="A10" s="1"/>
      <c r="B10" s="27" t="s">
        <v>204</v>
      </c>
      <c r="C10" s="1"/>
      <c r="D10" s="1"/>
      <c r="E10" s="1"/>
      <c r="F10" s="1"/>
      <c r="G10" s="1"/>
      <c r="H10" s="23"/>
      <c r="I10" s="1"/>
      <c r="J10" s="1"/>
      <c r="K10" s="1"/>
    </row>
    <row r="11">
      <c r="A11" s="1"/>
      <c r="B11" s="1" t="s">
        <v>205</v>
      </c>
      <c r="C11" s="3">
        <v>5.5</v>
      </c>
      <c r="D11" s="3">
        <v>5.1</v>
      </c>
      <c r="E11" s="3">
        <v>5.9</v>
      </c>
      <c r="F11" s="3">
        <v>22.1</v>
      </c>
      <c r="G11" s="3">
        <v>3.9</v>
      </c>
      <c r="H11" s="25">
        <f>C18</f>
        <v>1.3</v>
      </c>
      <c r="I11" s="1"/>
      <c r="J11" s="1" t="s">
        <v>160</v>
      </c>
      <c r="K11" s="1"/>
    </row>
    <row r="12">
      <c r="A12" s="1"/>
      <c r="B12" s="1" t="s">
        <v>206</v>
      </c>
      <c r="C12" s="3">
        <f>C11-C13</f>
        <v>4.1</v>
      </c>
      <c r="D12" s="3">
        <f>D11-D13</f>
        <v>3.5999999999999996</v>
      </c>
      <c r="E12" s="3">
        <f>E11-E13</f>
        <v>4.4</v>
      </c>
      <c r="F12" s="3">
        <f>F11-F13</f>
        <v>13.200000000000001</v>
      </c>
      <c r="G12" s="3">
        <f>G11-G13</f>
        <v>2.5999999999999996</v>
      </c>
      <c r="H12" s="25">
        <f>H11-H13</f>
        <v>0</v>
      </c>
      <c r="I12" s="1"/>
      <c r="J12" s="1"/>
      <c r="K12" s="1"/>
    </row>
    <row r="13">
      <c r="A13" s="1"/>
      <c r="B13" s="1" t="s">
        <v>207</v>
      </c>
      <c r="C13" s="3">
        <v>1.4</v>
      </c>
      <c r="D13" s="3">
        <v>1.5</v>
      </c>
      <c r="E13" s="3">
        <v>1.5</v>
      </c>
      <c r="F13" s="3">
        <v>8.9</v>
      </c>
      <c r="G13" s="3">
        <v>1.3</v>
      </c>
      <c r="H13" s="25">
        <f>C16</f>
        <v>1.3</v>
      </c>
      <c r="I13" s="1"/>
      <c r="J13" s="1" t="s">
        <v>160</v>
      </c>
      <c r="K13" s="1"/>
    </row>
    <row r="14">
      <c r="A14" s="1"/>
      <c r="B14" s="7" t="s">
        <v>208</v>
      </c>
      <c r="C14" s="2">
        <f>C16/C13-1</f>
        <v>-0.07142857142857129</v>
      </c>
      <c r="D14" s="2">
        <f>D16/D13-1</f>
        <v>0</v>
      </c>
      <c r="E14" s="2">
        <f>E16/E13-1</f>
        <v>0.06666666666666665</v>
      </c>
      <c r="F14" s="2">
        <f>F16/F13-1</f>
        <v>-0.0674157303370786</v>
      </c>
      <c r="G14" s="2">
        <f>G16/G13-1</f>
        <v>0.07692307692307687</v>
      </c>
      <c r="H14" s="14">
        <v>0.03</v>
      </c>
      <c r="I14" s="1"/>
      <c r="J14" s="1" t="s">
        <v>209</v>
      </c>
      <c r="K14" s="1"/>
    </row>
    <row r="15">
      <c r="A15" s="1"/>
      <c r="B15" s="7" t="s">
        <v>112</v>
      </c>
      <c r="C15" s="17" t="s">
        <v>26</v>
      </c>
      <c r="D15" s="17">
        <f>IF(AND(ISNUMBER(D14),ISNUMBER(C14)),(D14-C14)*10000,"n/a")</f>
        <v>714.2857142857129</v>
      </c>
      <c r="E15" s="17">
        <f>IF(AND(ISNUMBER(E14),ISNUMBER(D14)),(E14-D14)*10000,"n/a")</f>
        <v>666.6666666666665</v>
      </c>
      <c r="F15" s="17" t="s">
        <v>26</v>
      </c>
      <c r="G15" s="17">
        <f>IF(AND(ISNUMBER(G14),ISNUMBER(E14)),(G14-E14)*10000,"n/a")</f>
        <v>102.5641025641022</v>
      </c>
      <c r="H15" s="16">
        <f>IF(AND(ISNUMBER(H14),ISNUMBER(G14)),(H14-G14)*10000,"n/a")</f>
        <v>-469.2307692307687</v>
      </c>
      <c r="I15" s="1"/>
      <c r="J15" s="1"/>
      <c r="K15" s="1"/>
    </row>
    <row r="16" ht="79.5">
      <c r="A16" s="1"/>
      <c r="B16" s="1" t="s">
        <v>210</v>
      </c>
      <c r="C16" s="3">
        <v>1.3</v>
      </c>
      <c r="D16" s="3">
        <v>1.5</v>
      </c>
      <c r="E16" s="3">
        <v>1.6</v>
      </c>
      <c r="F16" s="3">
        <v>8.3</v>
      </c>
      <c r="G16" s="3">
        <v>1.4</v>
      </c>
      <c r="H16" s="25">
        <f>H13*(1+H14)</f>
        <v>1.3390000000000002</v>
      </c>
      <c r="I16" s="1"/>
      <c r="J16" s="55" t="s">
        <v>211</v>
      </c>
      <c r="K16" s="1"/>
    </row>
    <row r="17">
      <c r="A17" s="1"/>
      <c r="B17" s="1" t="s">
        <v>134</v>
      </c>
      <c r="C17" s="3" t="s">
        <v>26</v>
      </c>
      <c r="D17" s="3">
        <f>IF(AND(ISNUMBER(D16),ISNUMBER(C16)),D16-C16,"n/a")</f>
        <v>0.19999999999999996</v>
      </c>
      <c r="E17" s="3">
        <f>IF(AND(ISNUMBER(E16),ISNUMBER(D16)),E16-D16,"n/a")</f>
        <v>0.10000000000000009</v>
      </c>
      <c r="F17" s="3" t="s">
        <v>26</v>
      </c>
      <c r="G17" s="3">
        <f>IF(AND(ISNUMBER(G16),ISNUMBER(E16)),G16-E16,"n/a")</f>
        <v>-0.20000000000000018</v>
      </c>
      <c r="H17" s="25">
        <f>IF(AND(ISNUMBER(H16),ISNUMBER(G16)),H16-G16,"n/a")</f>
        <v>-0.06099999999999972</v>
      </c>
      <c r="I17" s="1"/>
      <c r="J17" s="1"/>
      <c r="K17" s="1"/>
    </row>
    <row r="18">
      <c r="A18" s="1"/>
      <c r="B18" s="12" t="s">
        <v>212</v>
      </c>
      <c r="C18" s="22">
        <v>1.3</v>
      </c>
      <c r="D18" s="22">
        <v>1.5</v>
      </c>
      <c r="E18" s="22">
        <v>1.6</v>
      </c>
      <c r="F18" s="22">
        <v>8.3</v>
      </c>
      <c r="G18" s="22">
        <v>1.4</v>
      </c>
      <c r="H18" s="42">
        <f>H16</f>
        <v>1.3390000000000002</v>
      </c>
      <c r="I18" s="1"/>
      <c r="J18" s="1" t="s">
        <v>213</v>
      </c>
      <c r="K18" s="1"/>
    </row>
    <row r="19">
      <c r="A19" s="1"/>
      <c r="B19" s="7" t="s">
        <v>214</v>
      </c>
      <c r="C19" s="2">
        <f>IF(AND(ISNUMBER(C18),ISNUMBER(C11)),IF(C11&lt;=0,"n/m",C18/C11-1),"n/a")</f>
        <v>-0.7636363636363637</v>
      </c>
      <c r="D19" s="2">
        <f>IF(AND(ISNUMBER(D18),ISNUMBER(D11)),IF(D11&lt;=0,"n/m",D18/D11-1),"n/a")</f>
        <v>-0.7058823529411764</v>
      </c>
      <c r="E19" s="2">
        <f>IF(AND(ISNUMBER(E18),ISNUMBER(E11)),IF(E11&lt;=0,"n/m",E18/E11-1),"n/a")</f>
        <v>-0.728813559322034</v>
      </c>
      <c r="F19" s="2">
        <f>IF(AND(ISNUMBER(F18),ISNUMBER(F11)),IF(F11&lt;=0,"n/m",F18/F11-1),"n/a")</f>
        <v>-0.6244343891402715</v>
      </c>
      <c r="G19" s="2">
        <f>IF(AND(ISNUMBER(G18),ISNUMBER(G11)),IF(G11&lt;=0,"n/m",G18/G11-1),"n/a")</f>
        <v>-0.641025641025641</v>
      </c>
      <c r="H19" s="14">
        <f>IF(AND(ISNUMBER(H18),ISNUMBER(H11)),IF(H11&lt;=0,"n/m",H18/H11-1),"n/a")</f>
        <v>0.030000000000000027</v>
      </c>
      <c r="I19" s="1"/>
      <c r="J19" s="1"/>
      <c r="K19" s="1"/>
    </row>
    <row r="20">
      <c r="A20" s="1"/>
      <c r="B20" s="1" t="s">
        <v>134</v>
      </c>
      <c r="C20" s="3" t="s">
        <v>26</v>
      </c>
      <c r="D20" s="3">
        <f>IF(AND(ISNUMBER(D18),ISNUMBER(C18)),D18-C18,"n/a")</f>
        <v>0.19999999999999996</v>
      </c>
      <c r="E20" s="3">
        <f>IF(AND(ISNUMBER(E18),ISNUMBER(D18)),E18-D18,"n/a")</f>
        <v>0.10000000000000009</v>
      </c>
      <c r="F20" s="3" t="s">
        <v>26</v>
      </c>
      <c r="G20" s="3">
        <f>IF(AND(ISNUMBER(G18),ISNUMBER(E18)),G18-E18,"n/a")</f>
        <v>-0.20000000000000018</v>
      </c>
      <c r="H20" s="25">
        <f>IF(AND(ISNUMBER(H18),ISNUMBER(G18)),H18-G18,"n/a")</f>
        <v>-0.06099999999999972</v>
      </c>
      <c r="I20" s="1"/>
      <c r="J20" s="1"/>
      <c r="K20" s="1"/>
    </row>
    <row r="21">
      <c r="A21" s="1"/>
      <c r="B21" s="1" t="s">
        <v>215</v>
      </c>
      <c r="C21" s="3">
        <v>4.9</v>
      </c>
      <c r="D21" s="3">
        <v>4.3</v>
      </c>
      <c r="E21" s="3">
        <v>5.1</v>
      </c>
      <c r="F21" s="3">
        <v>19.2</v>
      </c>
      <c r="G21" s="3" t="s">
        <v>26</v>
      </c>
      <c r="H21" s="25" t="s">
        <v>26</v>
      </c>
      <c r="I21" s="1"/>
      <c r="J21" s="1" t="s">
        <v>216</v>
      </c>
      <c r="K21" s="1"/>
    </row>
    <row r="22">
      <c r="A22" s="1"/>
      <c r="B22" s="1" t="s">
        <v>217</v>
      </c>
      <c r="C22" s="3">
        <v>1</v>
      </c>
      <c r="D22" s="3">
        <v>1</v>
      </c>
      <c r="E22" s="3">
        <v>1</v>
      </c>
      <c r="F22" s="3">
        <v>6.8</v>
      </c>
      <c r="G22" s="3" t="s">
        <v>26</v>
      </c>
      <c r="H22" s="25" t="s">
        <v>26</v>
      </c>
      <c r="I22" s="1"/>
      <c r="J22" s="1" t="s">
        <v>218</v>
      </c>
      <c r="K22" s="1"/>
    </row>
    <row r="23">
      <c r="A23" s="1"/>
      <c r="B23" s="1" t="s">
        <v>219</v>
      </c>
      <c r="C23" s="3">
        <v>0.8</v>
      </c>
      <c r="D23" s="3">
        <v>1.1</v>
      </c>
      <c r="E23" s="3">
        <v>1.1</v>
      </c>
      <c r="F23" s="3">
        <v>6.3</v>
      </c>
      <c r="G23" s="3" t="s">
        <v>26</v>
      </c>
      <c r="H23" s="25" t="s">
        <v>26</v>
      </c>
      <c r="I23" s="1"/>
      <c r="J23" s="1" t="s">
        <v>220</v>
      </c>
      <c r="K23" s="1"/>
    </row>
    <row r="24">
      <c r="A24" s="1"/>
      <c r="B24" s="7" t="s">
        <v>221</v>
      </c>
      <c r="C24" s="2">
        <f>IF(AND(ISNUMBER(C23),ISNUMBER(C22)),C23/C22-1,"n/a")</f>
        <v>-0.19999999999999996</v>
      </c>
      <c r="D24" s="2">
        <f>IF(AND(ISNUMBER(D23),ISNUMBER(D22)),D23/D22-1,"n/a")</f>
        <v>0.10000000000000009</v>
      </c>
      <c r="E24" s="2">
        <f>IF(AND(ISNUMBER(E23),ISNUMBER(E22)),E23/E22-1,"n/a")</f>
        <v>0.10000000000000009</v>
      </c>
      <c r="F24" s="2">
        <f>IF(AND(ISNUMBER(F23),ISNUMBER(F22)),F23/F22-1,"n/a")</f>
        <v>-0.07352941176470584</v>
      </c>
      <c r="G24" s="2" t="str">
        <f>IF(AND(ISNUMBER(G23),ISNUMBER(G22)),G23/G22-1,"n/a")</f>
        <v>n/a</v>
      </c>
      <c r="H24" s="14" t="str">
        <f>IF(AND(ISNUMBER(H23),ISNUMBER(H22)),H23/H22-1,"n/a")</f>
        <v>n/a</v>
      </c>
      <c r="I24" s="1"/>
      <c r="J24" s="1"/>
      <c r="K24" s="1"/>
    </row>
    <row r="25">
      <c r="A25" s="1"/>
      <c r="B25" s="1" t="s">
        <v>134</v>
      </c>
      <c r="C25" s="3" t="s">
        <v>26</v>
      </c>
      <c r="D25" s="3">
        <f>IF(AND(ISNUMBER(D23),ISNUMBER(C23)),D23-C23,"n/a")</f>
        <v>0.30000000000000004</v>
      </c>
      <c r="E25" s="3">
        <f>IF(AND(ISNUMBER(E23),ISNUMBER(D23)),E23-D23,"n/a")</f>
        <v>0</v>
      </c>
      <c r="F25" s="3" t="s">
        <v>26</v>
      </c>
      <c r="G25" s="3" t="str">
        <f>IF(AND(ISNUMBER(G23),ISNUMBER(E23)),G23-E23,"n/a")</f>
        <v>n/a</v>
      </c>
      <c r="H25" s="25" t="str">
        <f>IF(AND(ISNUMBER(H23),ISNUMBER(G23)),H23-G23,"n/a")</f>
        <v>n/a</v>
      </c>
      <c r="I25" s="1"/>
      <c r="J25" s="1"/>
      <c r="K25" s="1"/>
    </row>
    <row r="26">
      <c r="A26" s="1"/>
      <c r="B26" s="7" t="s">
        <v>222</v>
      </c>
      <c r="C26" s="2">
        <f>IF(AND(ISNUMBER(C23),ISNUMBER(C18)),IF(C18=0,"n/a",C23/C18),"n/a")</f>
        <v>0.6153846153846154</v>
      </c>
      <c r="D26" s="2">
        <f>IF(AND(ISNUMBER(D23),ISNUMBER(D18)),IF(D18=0,"n/a",D23/D18),"n/a")</f>
        <v>0.7333333333333334</v>
      </c>
      <c r="E26" s="2">
        <f>IF(AND(ISNUMBER(E23),ISNUMBER(E18)),IF(E18=0,"n/a",E23/E18),"n/a")</f>
        <v>0.6875</v>
      </c>
      <c r="F26" s="2">
        <f>IF(AND(ISNUMBER(F23),ISNUMBER(F18)),IF(F18=0,"n/a",F23/F18),"n/a")</f>
        <v>0.7590361445783131</v>
      </c>
      <c r="G26" s="2" t="str">
        <f>IF(AND(ISNUMBER(G23),ISNUMBER(G18)),IF(G18=0,"n/a",G23/G18),"n/a")</f>
        <v>n/a</v>
      </c>
      <c r="H26" s="14" t="str">
        <f>IF(AND(ISNUMBER(H23),ISNUMBER(H18)),IF(H18=0,"n/a",H23/H18),"n/a")</f>
        <v>n/a</v>
      </c>
      <c r="I26" s="1"/>
      <c r="J26" s="1"/>
      <c r="K26" s="1"/>
    </row>
    <row r="27">
      <c r="A27" s="1"/>
      <c r="B27" s="7" t="s">
        <v>223</v>
      </c>
      <c r="C27" s="2">
        <f>IF(AND(ISNUMBER(C21),ISNUMBER(C11)),IF(C11=0,"n/a",C21/C11),"n/a")</f>
        <v>0.890909090909091</v>
      </c>
      <c r="D27" s="2">
        <f>IF(AND(ISNUMBER(D21),ISNUMBER(D11)),IF(D11=0,"n/a",D21/D11),"n/a")</f>
        <v>0.8431372549019608</v>
      </c>
      <c r="E27" s="2">
        <f>IF(AND(ISNUMBER(E21),ISNUMBER(E11)),IF(E11=0,"n/a",E21/E11),"n/a")</f>
        <v>0.8644067796610169</v>
      </c>
      <c r="F27" s="2">
        <f>IF(AND(ISNUMBER(F21),ISNUMBER(F11)),IF(F11=0,"n/a",F21/F11),"n/a")</f>
        <v>0.8687782805429863</v>
      </c>
      <c r="G27" s="2" t="str">
        <f>IF(AND(ISNUMBER(G21),ISNUMBER(G11)),IF(G11=0,"n/a",G21/G11),"n/a")</f>
        <v>n/a</v>
      </c>
      <c r="H27" s="14" t="str">
        <f>IF(AND(ISNUMBER(H21),ISNUMBER(H11)),IF(H11=0,"n/a",H21/H11),"n/a")</f>
        <v>n/a</v>
      </c>
      <c r="I27" s="1"/>
      <c r="J27" s="1"/>
      <c r="K27" s="1"/>
    </row>
    <row r="28">
      <c r="A28" s="1"/>
      <c r="B28" s="7" t="s">
        <v>175</v>
      </c>
      <c r="C28" s="17">
        <f>IF(AND(ISNUMBER(C26),ISNUMBER(C27)),(C26-C27)*10000,"n/a")</f>
        <v>-2755.2447552447557</v>
      </c>
      <c r="D28" s="17">
        <f>IF(AND(ISNUMBER(D26),ISNUMBER(D27)),(D26-D27)*10000,"n/a")</f>
        <v>-1098.039215686274</v>
      </c>
      <c r="E28" s="17">
        <f>IF(AND(ISNUMBER(E26),ISNUMBER(E27)),(E26-E27)*10000,"n/a")</f>
        <v>-1769.0677966101687</v>
      </c>
      <c r="F28" s="17">
        <f>IF(AND(ISNUMBER(F26),ISNUMBER(F27)),(F26-F27)*10000,"n/a")</f>
        <v>-1097.4213596467318</v>
      </c>
      <c r="G28" s="17" t="str">
        <f>IF(AND(ISNUMBER(G26),ISNUMBER(G27)),(G26-G27)*10000,"n/a")</f>
        <v>n/a</v>
      </c>
      <c r="H28" s="16" t="str">
        <f>IF(AND(ISNUMBER(H26),ISNUMBER(H27)),(H26-H27)*10000,"n/a")</f>
        <v>n/a</v>
      </c>
      <c r="I28" s="1"/>
      <c r="J28" s="1"/>
      <c r="K28" s="1"/>
    </row>
    <row r="29">
      <c r="A29" s="1"/>
      <c r="B29" s="7" t="s">
        <v>112</v>
      </c>
      <c r="C29" s="17" t="s">
        <v>26</v>
      </c>
      <c r="D29" s="17">
        <f>IF(AND(ISNUMBER(D26),ISNUMBER(C26)),(D26-C26)*10000,"n/a")</f>
        <v>1179.4871794871797</v>
      </c>
      <c r="E29" s="17">
        <f>IF(AND(ISNUMBER(E26),ISNUMBER(D26)),(E26-D26)*10000,"n/a")</f>
        <v>-458.33333333333394</v>
      </c>
      <c r="F29" s="17" t="s">
        <v>26</v>
      </c>
      <c r="G29" s="17" t="str">
        <f>IF(AND(ISNUMBER(G26),ISNUMBER(E26)),(G26-E26)*10000,"n/a")</f>
        <v>n/a</v>
      </c>
      <c r="H29" s="16" t="str">
        <f>IF(AND(ISNUMBER(H26),ISNUMBER(G26)),(H26-G26)*10000,"n/a")</f>
        <v>n/a</v>
      </c>
      <c r="I29" s="1"/>
      <c r="J29" s="1"/>
      <c r="K29" s="1"/>
    </row>
    <row r="30">
      <c r="A30" s="1"/>
      <c r="B30" s="7" t="s">
        <v>224</v>
      </c>
      <c r="C30" s="2">
        <v>0.02</v>
      </c>
      <c r="D30" s="2">
        <v>0</v>
      </c>
      <c r="E30" s="2">
        <v>0.083</v>
      </c>
      <c r="F30" s="2">
        <v>-0.043</v>
      </c>
      <c r="G30" s="2">
        <v>0.066</v>
      </c>
      <c r="H30" s="14">
        <v>0.04</v>
      </c>
      <c r="I30" s="1"/>
      <c r="J30" s="1" t="s">
        <v>160</v>
      </c>
      <c r="K30" s="1"/>
    </row>
    <row r="31">
      <c r="A31" s="1"/>
      <c r="B31" s="7" t="s">
        <v>112</v>
      </c>
      <c r="C31" s="17" t="s">
        <v>26</v>
      </c>
      <c r="D31" s="17">
        <f>IF(AND(ISNUMBER(D30),ISNUMBER(C30)),(D30-C30)*10000,"n/a")</f>
        <v>-200</v>
      </c>
      <c r="E31" s="17">
        <f>IF(AND(ISNUMBER(E30),ISNUMBER(D30)),(E30-D30)*10000,"n/a")</f>
        <v>830</v>
      </c>
      <c r="F31" s="17" t="s">
        <v>26</v>
      </c>
      <c r="G31" s="17">
        <f>IF(AND(ISNUMBER(G30),ISNUMBER(E30)),(G30-E30)*10000,"n/a")</f>
        <v>-170</v>
      </c>
      <c r="H31" s="16">
        <f>IF(AND(ISNUMBER(H30),ISNUMBER(G30)),(H30-G30)*10000,"n/a")</f>
        <v>-260</v>
      </c>
      <c r="I31" s="1"/>
      <c r="J31" s="1"/>
      <c r="K31" s="1"/>
    </row>
    <row r="32">
      <c r="A32" s="1"/>
      <c r="B32" s="7" t="s">
        <v>225</v>
      </c>
      <c r="C32" s="2" t="s">
        <v>26</v>
      </c>
      <c r="D32" s="2" t="s">
        <v>26</v>
      </c>
      <c r="E32" s="2" t="s">
        <v>26</v>
      </c>
      <c r="F32" s="2" t="s">
        <v>26</v>
      </c>
      <c r="G32" s="2">
        <v>0.04</v>
      </c>
      <c r="H32" s="14" t="s">
        <v>26</v>
      </c>
      <c r="I32" s="1"/>
      <c r="J32" s="1" t="s">
        <v>226</v>
      </c>
      <c r="K32" s="1"/>
    </row>
    <row r="33">
      <c r="A33" s="1"/>
      <c r="B33" s="7" t="s">
        <v>112</v>
      </c>
      <c r="C33" s="17" t="s">
        <v>26</v>
      </c>
      <c r="D33" s="17" t="str">
        <f>IF(AND(ISNUMBER(D32),ISNUMBER(C32)),(D32-C32)*10000,"n/a")</f>
        <v>n/a</v>
      </c>
      <c r="E33" s="17" t="str">
        <f>IF(AND(ISNUMBER(E32),ISNUMBER(D32)),(E32-D32)*10000,"n/a")</f>
        <v>n/a</v>
      </c>
      <c r="F33" s="17" t="s">
        <v>26</v>
      </c>
      <c r="G33" s="17" t="str">
        <f>IF(AND(ISNUMBER(G32),ISNUMBER(E32)),(G32-E32)*10000,"n/a")</f>
        <v>n/a</v>
      </c>
      <c r="H33" s="16" t="str">
        <f>IF(AND(ISNUMBER(H32),ISNUMBER(G32)),(H32-G32)*10000,"n/a")</f>
        <v>n/a</v>
      </c>
      <c r="I33" s="1"/>
      <c r="J33" s="1"/>
      <c r="K33" s="1"/>
    </row>
    <row r="34">
      <c r="A34" s="1"/>
      <c r="B34" s="7" t="s">
        <v>227</v>
      </c>
      <c r="C34" s="2" t="s">
        <v>26</v>
      </c>
      <c r="D34" s="2" t="s">
        <v>26</v>
      </c>
      <c r="E34" s="2" t="s">
        <v>26</v>
      </c>
      <c r="F34" s="2" t="s">
        <v>26</v>
      </c>
      <c r="G34" s="2">
        <v>0.62</v>
      </c>
      <c r="H34" s="14" t="s">
        <v>26</v>
      </c>
      <c r="I34" s="1"/>
      <c r="J34" s="1" t="s">
        <v>226</v>
      </c>
      <c r="K34" s="1"/>
    </row>
    <row r="35">
      <c r="A35" s="1"/>
      <c r="B35" s="7" t="s">
        <v>112</v>
      </c>
      <c r="C35" s="17" t="s">
        <v>26</v>
      </c>
      <c r="D35" s="17" t="str">
        <f>IF(AND(ISNUMBER(D34),ISNUMBER(C34)),(D34-C34)*10000,"n/a")</f>
        <v>n/a</v>
      </c>
      <c r="E35" s="17" t="str">
        <f>IF(AND(ISNUMBER(E34),ISNUMBER(D34)),(E34-D34)*10000,"n/a")</f>
        <v>n/a</v>
      </c>
      <c r="F35" s="17" t="s">
        <v>26</v>
      </c>
      <c r="G35" s="17" t="str">
        <f>IF(AND(ISNUMBER(G34),ISNUMBER(E34)),(G34-E34)*10000,"n/a")</f>
        <v>n/a</v>
      </c>
      <c r="H35" s="16" t="str">
        <f>IF(AND(ISNUMBER(H34),ISNUMBER(G34)),(H34-G34)*10000,"n/a")</f>
        <v>n/a</v>
      </c>
      <c r="I35" s="1"/>
      <c r="J35" s="1"/>
      <c r="K35" s="1"/>
    </row>
    <row r="36">
      <c r="A36" s="1"/>
      <c r="B36" s="1"/>
      <c r="C36" s="1"/>
      <c r="D36" s="1"/>
      <c r="E36" s="1"/>
      <c r="F36" s="1"/>
      <c r="G36" s="1"/>
      <c r="H36" s="23"/>
      <c r="I36" s="1"/>
      <c r="J36" s="1"/>
      <c r="K36" s="1"/>
    </row>
    <row r="37">
      <c r="A37" s="1"/>
      <c r="B37" s="27" t="s">
        <v>228</v>
      </c>
      <c r="C37" s="1"/>
      <c r="D37" s="1"/>
      <c r="E37" s="1"/>
      <c r="F37" s="1"/>
      <c r="G37" s="1"/>
      <c r="H37" s="23"/>
      <c r="I37" s="1"/>
      <c r="J37" s="1"/>
      <c r="K37" s="1"/>
    </row>
    <row r="38">
      <c r="A38" s="1"/>
      <c r="B38" s="1" t="s">
        <v>229</v>
      </c>
      <c r="C38" s="3">
        <v>336.2</v>
      </c>
      <c r="D38" s="3">
        <v>374.6</v>
      </c>
      <c r="E38" s="3">
        <v>410</v>
      </c>
      <c r="F38" s="3">
        <v>1450.1</v>
      </c>
      <c r="G38" s="3" t="s">
        <v>26</v>
      </c>
      <c r="H38" s="25">
        <f>C39</f>
        <v>112.5</v>
      </c>
      <c r="I38" s="1"/>
      <c r="J38" s="1" t="s">
        <v>218</v>
      </c>
      <c r="K38" s="1"/>
    </row>
    <row r="39">
      <c r="A39" s="1"/>
      <c r="B39" s="1" t="s">
        <v>230</v>
      </c>
      <c r="C39" s="3">
        <v>112.5</v>
      </c>
      <c r="D39" s="3">
        <v>174.5</v>
      </c>
      <c r="E39" s="3">
        <v>154.9</v>
      </c>
      <c r="F39" s="3">
        <v>700.4</v>
      </c>
      <c r="G39" s="3" t="s">
        <v>26</v>
      </c>
      <c r="H39" s="25">
        <f>H38*(1+H40)</f>
        <v>113.625</v>
      </c>
      <c r="I39" s="1"/>
      <c r="J39" s="1" t="s">
        <v>231</v>
      </c>
      <c r="K39" s="1"/>
    </row>
    <row r="40">
      <c r="A40" s="1"/>
      <c r="B40" s="7" t="s">
        <v>232</v>
      </c>
      <c r="C40" s="2">
        <f>IF(AND(ISNUMBER(C39),ISNUMBER(C38)),IF(C38&lt;=0,"n/m",C39/C38-1),"n/a")</f>
        <v>-0.665377751338489</v>
      </c>
      <c r="D40" s="2">
        <f>IF(AND(ISNUMBER(D39),ISNUMBER(D38)),IF(D38&lt;=0,"n/m",D39/D38-1),"n/a")</f>
        <v>-0.5341697810998398</v>
      </c>
      <c r="E40" s="2">
        <f>IF(AND(ISNUMBER(E39),ISNUMBER(E38)),IF(E38&lt;=0,"n/m",E39/E38-1),"n/a")</f>
        <v>-0.6221951219512195</v>
      </c>
      <c r="F40" s="2">
        <f>IF(AND(ISNUMBER(F39),ISNUMBER(F38)),IF(F38&lt;=0,"n/m",F39/F38-1),"n/a")</f>
        <v>-0.5169988276670574</v>
      </c>
      <c r="G40" s="2" t="str">
        <f>IF(AND(ISNUMBER(G39),ISNUMBER(G38)),IF(G38&lt;=0,"n/m",G39/G38-1),"n/a")</f>
        <v>n/a</v>
      </c>
      <c r="H40" s="14">
        <v>0.01</v>
      </c>
      <c r="I40" s="1"/>
      <c r="J40" s="1"/>
      <c r="K40" s="1"/>
    </row>
    <row r="41">
      <c r="A41" s="1"/>
      <c r="B41" s="1" t="s">
        <v>170</v>
      </c>
      <c r="C41" s="3" t="s">
        <v>26</v>
      </c>
      <c r="D41" s="3">
        <f>IF(AND(ISNUMBER(D39),ISNUMBER(C39)),D39-C39,"n/a")</f>
        <v>62</v>
      </c>
      <c r="E41" s="3">
        <f>IF(AND(ISNUMBER(E39),ISNUMBER(D39)),E39-D39,"n/a")</f>
        <v>-19.599999999999994</v>
      </c>
      <c r="F41" s="3" t="s">
        <v>26</v>
      </c>
      <c r="G41" s="3" t="str">
        <f>IF(AND(ISNUMBER(G39),ISNUMBER(E39)),G39-E39,"n/a")</f>
        <v>n/a</v>
      </c>
      <c r="H41" s="25" t="str">
        <f>IF(AND(ISNUMBER(H39),ISNUMBER(G39)),H39-G39,"n/a")</f>
        <v>n/a</v>
      </c>
      <c r="I41" s="1"/>
      <c r="J41" s="1"/>
      <c r="K41" s="1"/>
    </row>
    <row r="42">
      <c r="A42" s="1"/>
      <c r="B42" s="7" t="s">
        <v>96</v>
      </c>
      <c r="C42" s="2" t="s">
        <v>98</v>
      </c>
      <c r="D42" s="2" t="s">
        <v>98</v>
      </c>
      <c r="E42" s="2" t="s">
        <v>98</v>
      </c>
      <c r="F42" s="2" t="s">
        <v>98</v>
      </c>
      <c r="G42" s="2" t="s">
        <v>26</v>
      </c>
      <c r="H42" s="14">
        <v>0</v>
      </c>
      <c r="I42" s="1"/>
      <c r="J42" s="1" t="s">
        <v>233</v>
      </c>
      <c r="K42" s="1"/>
    </row>
    <row r="43">
      <c r="A43" s="1"/>
      <c r="B43" s="61" t="s">
        <v>88</v>
      </c>
      <c r="C43" s="59" t="s">
        <v>98</v>
      </c>
      <c r="D43" s="59" t="s">
        <v>98</v>
      </c>
      <c r="E43" s="59" t="s">
        <v>98</v>
      </c>
      <c r="F43" s="59" t="s">
        <v>98</v>
      </c>
      <c r="G43" s="59" t="s">
        <v>98</v>
      </c>
      <c r="H43" s="62" t="s">
        <v>98</v>
      </c>
      <c r="I43" s="1"/>
      <c r="J43" s="1"/>
      <c r="K43" s="1"/>
    </row>
    <row r="44">
      <c r="A44" s="1"/>
      <c r="B44" s="7" t="s">
        <v>100</v>
      </c>
      <c r="C44" s="2" t="str">
        <f>IF(AND(ISNUMBER(C40),ISNUMBER(C42),ISNUMBER(C43)),(1+C40)/((1+C42)*(1+C43))-1,"n/a")</f>
        <v>n/a</v>
      </c>
      <c r="D44" s="2" t="str">
        <f>IF(AND(ISNUMBER(D40),ISNUMBER(D42),ISNUMBER(D43)),(1+D40)/((1+D42)*(1+D43))-1,"n/a")</f>
        <v>n/a</v>
      </c>
      <c r="E44" s="2" t="str">
        <f>IF(AND(ISNUMBER(E40),ISNUMBER(E42),ISNUMBER(E43)),(1+E40)/((1+E42)*(1+E43))-1,"n/a")</f>
        <v>n/a</v>
      </c>
      <c r="F44" s="2" t="str">
        <f>IF(AND(ISNUMBER(F40),ISNUMBER(F42),ISNUMBER(F43)),(1+F40)/((1+F42)*(1+F43))-1,"n/a")</f>
        <v>n/a</v>
      </c>
      <c r="G44" s="2" t="str">
        <f>IF(AND(ISNUMBER(G40),ISNUMBER(G42),ISNUMBER(G43)),(1+G40)/((1+G42)*(1+G43))-1,"n/a")</f>
        <v>n/a</v>
      </c>
      <c r="H44" s="14" t="str">
        <f>IF(AND(ISNUMBER(H40),ISNUMBER(H42),ISNUMBER(H43)),(1+H40)/((1+H42)*(1+H43))-1,"n/a")</f>
        <v>n/a</v>
      </c>
      <c r="I44" s="1"/>
      <c r="J44" s="1"/>
      <c r="K44" s="1"/>
    </row>
    <row r="45">
      <c r="A45" s="1"/>
      <c r="B45" s="7" t="s">
        <v>89</v>
      </c>
      <c r="C45" s="2">
        <f>C40</f>
        <v>-0.665377751338489</v>
      </c>
      <c r="D45" s="2">
        <f>D40</f>
        <v>-0.5341697810998398</v>
      </c>
      <c r="E45" s="2">
        <f>E40</f>
        <v>-0.6221951219512195</v>
      </c>
      <c r="F45" s="2">
        <f>F40</f>
        <v>-0.5169988276670574</v>
      </c>
      <c r="G45" s="2" t="str">
        <f>G40</f>
        <v>n/a</v>
      </c>
      <c r="H45" s="14">
        <f>H40</f>
        <v>0.01</v>
      </c>
      <c r="I45" s="1"/>
      <c r="J45" s="1"/>
      <c r="K45" s="1"/>
    </row>
    <row r="46">
      <c r="A46" s="1"/>
      <c r="B46" s="1" t="s">
        <v>234</v>
      </c>
      <c r="C46" s="3">
        <v>52.5</v>
      </c>
      <c r="D46" s="3">
        <v>56.8</v>
      </c>
      <c r="E46" s="3">
        <v>49.8</v>
      </c>
      <c r="F46" s="3">
        <v>218.8</v>
      </c>
      <c r="G46" s="3" t="s">
        <v>26</v>
      </c>
      <c r="H46" s="25">
        <f>C47</f>
        <v>23.5</v>
      </c>
      <c r="I46" s="1"/>
      <c r="J46" s="1" t="s">
        <v>218</v>
      </c>
      <c r="K46" s="1"/>
    </row>
    <row r="47">
      <c r="A47" s="1"/>
      <c r="B47" s="1" t="s">
        <v>235</v>
      </c>
      <c r="C47" s="3">
        <v>23.5</v>
      </c>
      <c r="D47" s="3">
        <v>38.6</v>
      </c>
      <c r="E47" s="3">
        <v>39.3</v>
      </c>
      <c r="F47" s="3">
        <v>123.4</v>
      </c>
      <c r="G47" s="3" t="s">
        <v>26</v>
      </c>
      <c r="H47" s="25">
        <f>H46*(1+H48)</f>
        <v>26.320000000000004</v>
      </c>
      <c r="I47" s="1"/>
      <c r="J47" s="1" t="s">
        <v>231</v>
      </c>
      <c r="K47" s="1"/>
    </row>
    <row r="48">
      <c r="A48" s="1"/>
      <c r="B48" s="7" t="s">
        <v>232</v>
      </c>
      <c r="C48" s="2">
        <f>IF(AND(ISNUMBER(C47),ISNUMBER(C46)),IF(C46&lt;=0,"n/m",C47/C46-1),"n/a")</f>
        <v>-0.5523809523809524</v>
      </c>
      <c r="D48" s="2">
        <f>IF(AND(ISNUMBER(D47),ISNUMBER(D46)),IF(D46&lt;=0,"n/m",D47/D46-1),"n/a")</f>
        <v>-0.3204225352112675</v>
      </c>
      <c r="E48" s="2">
        <f>IF(AND(ISNUMBER(E47),ISNUMBER(E46)),IF(E46&lt;=0,"n/m",E47/E46-1),"n/a")</f>
        <v>-0.21084337349397586</v>
      </c>
      <c r="F48" s="2">
        <f>IF(AND(ISNUMBER(F47),ISNUMBER(F46)),IF(F46&lt;=0,"n/m",F47/F46-1),"n/a")</f>
        <v>-0.4360146252285192</v>
      </c>
      <c r="G48" s="2" t="str">
        <f>IF(AND(ISNUMBER(G47),ISNUMBER(G46)),IF(G46&lt;=0,"n/m",G47/G46-1),"n/a")</f>
        <v>n/a</v>
      </c>
      <c r="H48" s="14">
        <v>0.12</v>
      </c>
      <c r="I48" s="1"/>
      <c r="J48" s="1"/>
      <c r="K48" s="1"/>
    </row>
    <row r="49">
      <c r="A49" s="1"/>
      <c r="B49" s="1" t="s">
        <v>170</v>
      </c>
      <c r="C49" s="3" t="s">
        <v>26</v>
      </c>
      <c r="D49" s="3">
        <f>IF(AND(ISNUMBER(D47),ISNUMBER(C47)),D47-C47,"n/a")</f>
        <v>15.100000000000001</v>
      </c>
      <c r="E49" s="3">
        <f>IF(AND(ISNUMBER(E47),ISNUMBER(D47)),E47-D47,"n/a")</f>
        <v>0.6999999999999957</v>
      </c>
      <c r="F49" s="3" t="s">
        <v>26</v>
      </c>
      <c r="G49" s="3" t="str">
        <f>IF(AND(ISNUMBER(G47),ISNUMBER(E47)),G47-E47,"n/a")</f>
        <v>n/a</v>
      </c>
      <c r="H49" s="25" t="str">
        <f>IF(AND(ISNUMBER(H47),ISNUMBER(G47)),H47-G47,"n/a")</f>
        <v>n/a</v>
      </c>
      <c r="I49" s="1"/>
      <c r="J49" s="1"/>
      <c r="K49" s="1"/>
    </row>
    <row r="50">
      <c r="A50" s="1"/>
      <c r="B50" s="7" t="s">
        <v>96</v>
      </c>
      <c r="C50" s="2" t="s">
        <v>98</v>
      </c>
      <c r="D50" s="2" t="s">
        <v>98</v>
      </c>
      <c r="E50" s="2" t="s">
        <v>98</v>
      </c>
      <c r="F50" s="2" t="s">
        <v>98</v>
      </c>
      <c r="G50" s="2" t="s">
        <v>26</v>
      </c>
      <c r="H50" s="14">
        <v>0</v>
      </c>
      <c r="I50" s="1"/>
      <c r="J50" s="1" t="s">
        <v>233</v>
      </c>
      <c r="K50" s="1"/>
    </row>
    <row r="51">
      <c r="A51" s="1"/>
      <c r="B51" s="61" t="s">
        <v>88</v>
      </c>
      <c r="C51" s="59" t="s">
        <v>98</v>
      </c>
      <c r="D51" s="59" t="s">
        <v>98</v>
      </c>
      <c r="E51" s="59" t="s">
        <v>98</v>
      </c>
      <c r="F51" s="59" t="s">
        <v>98</v>
      </c>
      <c r="G51" s="59" t="s">
        <v>98</v>
      </c>
      <c r="H51" s="62" t="s">
        <v>98</v>
      </c>
      <c r="I51" s="1"/>
      <c r="J51" s="1"/>
      <c r="K51" s="1"/>
    </row>
    <row r="52">
      <c r="A52" s="1"/>
      <c r="B52" s="7" t="s">
        <v>100</v>
      </c>
      <c r="C52" s="2" t="str">
        <f>IF(AND(ISNUMBER(C48),ISNUMBER(C50),ISNUMBER(C51)),(1+C48)/((1+C50)*(1+C51))-1,"n/a")</f>
        <v>n/a</v>
      </c>
      <c r="D52" s="2" t="str">
        <f>IF(AND(ISNUMBER(D48),ISNUMBER(D50),ISNUMBER(D51)),(1+D48)/((1+D50)*(1+D51))-1,"n/a")</f>
        <v>n/a</v>
      </c>
      <c r="E52" s="2" t="str">
        <f>IF(AND(ISNUMBER(E48),ISNUMBER(E50),ISNUMBER(E51)),(1+E48)/((1+E50)*(1+E51))-1,"n/a")</f>
        <v>n/a</v>
      </c>
      <c r="F52" s="2" t="str">
        <f>IF(AND(ISNUMBER(F48),ISNUMBER(F50),ISNUMBER(F51)),(1+F48)/((1+F50)*(1+F51))-1,"n/a")</f>
        <v>n/a</v>
      </c>
      <c r="G52" s="2" t="str">
        <f>IF(AND(ISNUMBER(G48),ISNUMBER(G50),ISNUMBER(G51)),(1+G48)/((1+G50)*(1+G51))-1,"n/a")</f>
        <v>n/a</v>
      </c>
      <c r="H52" s="14" t="str">
        <f>IF(AND(ISNUMBER(H48),ISNUMBER(H50),ISNUMBER(H51)),(1+H48)/((1+H50)*(1+H51))-1,"n/a")</f>
        <v>n/a</v>
      </c>
      <c r="I52" s="1"/>
      <c r="J52" s="1"/>
      <c r="K52" s="1"/>
    </row>
    <row r="53">
      <c r="A53" s="1"/>
      <c r="B53" s="7" t="s">
        <v>89</v>
      </c>
      <c r="C53" s="2">
        <f>C48</f>
        <v>-0.5523809523809524</v>
      </c>
      <c r="D53" s="2">
        <f>D48</f>
        <v>-0.3204225352112675</v>
      </c>
      <c r="E53" s="2">
        <f>E48</f>
        <v>-0.21084337349397586</v>
      </c>
      <c r="F53" s="2">
        <f>F48</f>
        <v>-0.4360146252285192</v>
      </c>
      <c r="G53" s="2" t="str">
        <f>G48</f>
        <v>n/a</v>
      </c>
      <c r="H53" s="14">
        <f>H48</f>
        <v>0.12</v>
      </c>
      <c r="I53" s="1"/>
      <c r="J53" s="1"/>
      <c r="K53" s="1"/>
    </row>
    <row r="54">
      <c r="A54" s="1"/>
      <c r="B54" s="12" t="s">
        <v>236</v>
      </c>
      <c r="C54" s="22">
        <f>IF(AND(ISNUMBER(C39),ISNUMBER(C47)),C39+C47,"n/a")</f>
        <v>136</v>
      </c>
      <c r="D54" s="22">
        <f>IF(AND(ISNUMBER(D39),ISNUMBER(D47)),D39+D47,"n/a")</f>
        <v>213.1</v>
      </c>
      <c r="E54" s="22">
        <f>IF(AND(ISNUMBER(E39),ISNUMBER(E47)),E39+E47,"n/a")</f>
        <v>194.2</v>
      </c>
      <c r="F54" s="22">
        <f>IF(AND(ISNUMBER(F39),ISNUMBER(F47)),F39+F47,"n/a")</f>
        <v>823.8</v>
      </c>
      <c r="G54" s="22" t="str">
        <f>IF(AND(ISNUMBER(G39),ISNUMBER(G47)),G39+G47,"n/a")</f>
        <v>n/a</v>
      </c>
      <c r="H54" s="42">
        <f>IF(AND(ISNUMBER(H39),ISNUMBER(H47)),H39+H47,"n/a")</f>
        <v>139.945</v>
      </c>
      <c r="I54" s="1"/>
      <c r="J54" s="1"/>
      <c r="K54" s="1"/>
    </row>
    <row r="55">
      <c r="A55" s="1"/>
      <c r="B55" s="1" t="s">
        <v>237</v>
      </c>
      <c r="C55" s="3">
        <v>388.7</v>
      </c>
      <c r="D55" s="3">
        <v>431.4</v>
      </c>
      <c r="E55" s="3">
        <v>459.8</v>
      </c>
      <c r="F55" s="3">
        <v>1668.9</v>
      </c>
      <c r="G55" s="3">
        <v>280.5</v>
      </c>
      <c r="H55" s="25">
        <f>C56</f>
        <v>136</v>
      </c>
      <c r="I55" s="1"/>
      <c r="J55" s="1" t="s">
        <v>160</v>
      </c>
      <c r="K55" s="1"/>
    </row>
    <row r="56">
      <c r="A56" s="1"/>
      <c r="B56" s="12" t="s">
        <v>91</v>
      </c>
      <c r="C56" s="22">
        <v>136</v>
      </c>
      <c r="D56" s="22">
        <v>213.1</v>
      </c>
      <c r="E56" s="22">
        <v>194.2</v>
      </c>
      <c r="F56" s="22">
        <v>823.8</v>
      </c>
      <c r="G56" s="22">
        <v>149.2</v>
      </c>
      <c r="H56" s="42">
        <f>H54</f>
        <v>139.945</v>
      </c>
      <c r="I56" s="1"/>
      <c r="J56" s="1" t="s">
        <v>160</v>
      </c>
      <c r="K56" s="1"/>
    </row>
    <row r="57">
      <c r="A57" s="1"/>
      <c r="B57" s="7" t="s">
        <v>162</v>
      </c>
      <c r="C57" s="2">
        <f>IF(AND(ISNUMBER(C56),ISNUMBER(C55)),IF(C55&lt;=0,"n/m",C56/C55-1),"n/a")</f>
        <v>-0.6501157705171083</v>
      </c>
      <c r="D57" s="2">
        <f>IF(AND(ISNUMBER(D56),ISNUMBER(D55)),IF(D55&lt;=0,"n/m",D56/D55-1),"n/a")</f>
        <v>-0.5060268891979601</v>
      </c>
      <c r="E57" s="2">
        <f>IF(AND(ISNUMBER(E56),ISNUMBER(E55)),IF(E55&lt;=0,"n/m",E56/E55-1),"n/a")</f>
        <v>-0.5776424532405394</v>
      </c>
      <c r="F57" s="2">
        <f>IF(AND(ISNUMBER(F56),ISNUMBER(F55)),IF(F55&lt;=0,"n/m",F56/F55-1),"n/a")</f>
        <v>-0.5063814488585296</v>
      </c>
      <c r="G57" s="2">
        <f>IF(AND(ISNUMBER(G56),ISNUMBER(G55)),IF(G55&lt;=0,"n/m",G56/G55-1),"n/a")</f>
        <v>-0.46809269162210343</v>
      </c>
      <c r="H57" s="14">
        <f>IF(AND(ISNUMBER(H56),ISNUMBER(H55)),IF(H55&lt;=0,"n/m",H56/H55-1),"n/a")</f>
        <v>0.029007352941176512</v>
      </c>
      <c r="I57" s="1"/>
      <c r="J57" s="1"/>
      <c r="K57" s="1"/>
    </row>
    <row r="58">
      <c r="A58" s="1"/>
      <c r="B58" s="7" t="s">
        <v>80</v>
      </c>
      <c r="C58" s="2" t="s">
        <v>26</v>
      </c>
      <c r="D58" s="2">
        <f>IF(AND(ISNUMBER(D56),ISNUMBER(C56)),IF(C56&lt;=0,"n/m",D56/C56-1),"n/a")</f>
        <v>0.5669117647058823</v>
      </c>
      <c r="E58" s="2">
        <f>IF(AND(ISNUMBER(E56),ISNUMBER(D56)),IF(D56&lt;=0,"n/m",E56/D56-1),"n/a")</f>
        <v>-0.08869075551384331</v>
      </c>
      <c r="F58" s="2" t="s">
        <v>26</v>
      </c>
      <c r="G58" s="2">
        <f>IF(AND(ISNUMBER(G56),ISNUMBER(E56)),IF(E56&lt;=0,"n/m",G56/E56-1),"n/a")</f>
        <v>-0.23171987641606595</v>
      </c>
      <c r="H58" s="14">
        <f>IF(AND(ISNUMBER(H56),ISNUMBER(G56)),IF(G56&lt;=0,"n/m",H56/G56-1),"n/a")</f>
        <v>-0.062030831099195716</v>
      </c>
      <c r="I58" s="1"/>
      <c r="J58" s="1"/>
      <c r="K58" s="1"/>
    </row>
    <row r="59">
      <c r="A59" s="1"/>
      <c r="B59" s="1" t="s">
        <v>81</v>
      </c>
      <c r="C59" s="3" t="s">
        <v>26</v>
      </c>
      <c r="D59" s="3">
        <f>IF(AND(ISNUMBER(D56),ISNUMBER(C56)),D56-C56,"n/a")</f>
        <v>77.1</v>
      </c>
      <c r="E59" s="3">
        <f>IF(AND(ISNUMBER(E56),ISNUMBER(D56)),E56-D56,"n/a")</f>
        <v>-18.900000000000006</v>
      </c>
      <c r="F59" s="3" t="s">
        <v>26</v>
      </c>
      <c r="G59" s="3">
        <f>IF(AND(ISNUMBER(G56),ISNUMBER(E56)),G56-E56,"n/a")</f>
        <v>-45</v>
      </c>
      <c r="H59" s="25">
        <f>IF(AND(ISNUMBER(H56),ISNUMBER(G56)),H56-G56,"n/a")</f>
        <v>-9.254999999999995</v>
      </c>
      <c r="I59" s="1"/>
      <c r="J59" s="1"/>
      <c r="K59" s="1"/>
    </row>
    <row r="60">
      <c r="A60" s="1"/>
      <c r="B60" s="1" t="s">
        <v>238</v>
      </c>
      <c r="C60" s="3">
        <v>220.5</v>
      </c>
      <c r="D60" s="3">
        <v>202.6</v>
      </c>
      <c r="E60" s="3">
        <v>252.1</v>
      </c>
      <c r="F60" s="3">
        <v>711.2</v>
      </c>
      <c r="G60" s="3">
        <v>142</v>
      </c>
      <c r="H60" s="25">
        <v>0</v>
      </c>
      <c r="I60" s="1"/>
      <c r="J60" s="1" t="s">
        <v>239</v>
      </c>
      <c r="K60" s="1"/>
    </row>
    <row r="61">
      <c r="A61" s="1"/>
      <c r="B61" s="7" t="s">
        <v>96</v>
      </c>
      <c r="C61" s="2">
        <f>-C60/C55</f>
        <v>-0.5672755338307178</v>
      </c>
      <c r="D61" s="2">
        <f>-D60/D55</f>
        <v>-0.46963375057950857</v>
      </c>
      <c r="E61" s="2">
        <f>-E60/E55</f>
        <v>-0.5482818616789908</v>
      </c>
      <c r="F61" s="2">
        <f>-F60/F55</f>
        <v>-0.42614896039307326</v>
      </c>
      <c r="G61" s="2">
        <f>-G60/G55</f>
        <v>-0.5062388591800356</v>
      </c>
      <c r="H61" s="14">
        <f>-H60/H55</f>
        <v>0</v>
      </c>
      <c r="I61" s="1"/>
      <c r="J61" s="1"/>
      <c r="K61" s="1"/>
    </row>
    <row r="62">
      <c r="A62" s="1"/>
      <c r="B62" s="61" t="s">
        <v>97</v>
      </c>
      <c r="C62" s="59" t="s">
        <v>98</v>
      </c>
      <c r="D62" s="59" t="s">
        <v>98</v>
      </c>
      <c r="E62" s="59" t="s">
        <v>98</v>
      </c>
      <c r="F62" s="59" t="s">
        <v>98</v>
      </c>
      <c r="G62" s="59" t="s">
        <v>98</v>
      </c>
      <c r="H62" s="62" t="s">
        <v>98</v>
      </c>
      <c r="I62" s="1"/>
      <c r="J62" s="1" t="s">
        <v>240</v>
      </c>
      <c r="K62" s="1"/>
    </row>
    <row r="63">
      <c r="A63" s="1"/>
      <c r="B63" s="7" t="s">
        <v>92</v>
      </c>
      <c r="C63" s="2">
        <f>C56/(C55-C60)-1</f>
        <v>-0.19143876337693222</v>
      </c>
      <c r="D63" s="2">
        <f>D56/(D55-D60)-1</f>
        <v>-0.06861888111888104</v>
      </c>
      <c r="E63" s="2">
        <f>E56/(E55-E60)-1</f>
        <v>-0.06499759268175265</v>
      </c>
      <c r="F63" s="2">
        <f>F56/(F55-F60)-1</f>
        <v>-0.13981413803905196</v>
      </c>
      <c r="G63" s="2">
        <f>G56/(G55-G60)-1</f>
        <v>0.07725631768953067</v>
      </c>
      <c r="H63" s="14">
        <f>H56/(H55-H60)-1</f>
        <v>0.029007352941176512</v>
      </c>
      <c r="I63" s="1"/>
      <c r="J63" s="1" t="s">
        <v>241</v>
      </c>
      <c r="K63" s="1"/>
    </row>
    <row r="64">
      <c r="A64" s="1"/>
      <c r="B64" s="7" t="s">
        <v>100</v>
      </c>
      <c r="C64" s="2" t="str">
        <f>IF(AND(ISNUMBER(C57),ISNUMBER(C61),ISNUMBER(C62)),(1+C57)/((1+C61)*(1+C62))-1,"n/a")</f>
        <v>n/a</v>
      </c>
      <c r="D64" s="2" t="str">
        <f>IF(AND(ISNUMBER(D57),ISNUMBER(D61),ISNUMBER(D62)),(1+D57)/((1+D61)*(1+D62))-1,"n/a")</f>
        <v>n/a</v>
      </c>
      <c r="E64" s="2" t="str">
        <f>IF(AND(ISNUMBER(E57),ISNUMBER(E61),ISNUMBER(E62)),(1+E57)/((1+E61)*(1+E62))-1,"n/a")</f>
        <v>n/a</v>
      </c>
      <c r="F64" s="2" t="str">
        <f>IF(AND(ISNUMBER(F57),ISNUMBER(F61),ISNUMBER(F62)),(1+F57)/((1+F61)*(1+F62))-1,"n/a")</f>
        <v>n/a</v>
      </c>
      <c r="G64" s="2" t="str">
        <f>IF(AND(ISNUMBER(G57),ISNUMBER(G61),ISNUMBER(G62)),(1+G57)/((1+G61)*(1+G62))-1,"n/a")</f>
        <v>n/a</v>
      </c>
      <c r="H64" s="14" t="str">
        <f>IF(AND(ISNUMBER(H57),ISNUMBER(H61),ISNUMBER(H62)),(1+H57)/((1+H61)*(1+H62))-1,"n/a")</f>
        <v>n/a</v>
      </c>
      <c r="I64" s="1"/>
      <c r="J64" s="1"/>
      <c r="K64" s="1"/>
    </row>
    <row r="65">
      <c r="A65" s="1"/>
      <c r="B65" s="1" t="s">
        <v>242</v>
      </c>
      <c r="C65" s="3">
        <f>ROUND(C54-C56,1)</f>
        <v>0</v>
      </c>
      <c r="D65" s="3">
        <f>ROUND(D54-D56,1)</f>
        <v>0</v>
      </c>
      <c r="E65" s="3">
        <f>ROUND(E54-E56,1)</f>
        <v>0</v>
      </c>
      <c r="F65" s="3">
        <f>ROUND(F54-F56,1)</f>
        <v>0</v>
      </c>
      <c r="G65" s="3" t="s">
        <v>26</v>
      </c>
      <c r="H65" s="25">
        <f>ROUND(H54-H56,1)</f>
        <v>0</v>
      </c>
      <c r="I65" s="1"/>
      <c r="J65" s="1"/>
      <c r="K65" s="1"/>
    </row>
    <row r="66">
      <c r="A66" s="1"/>
      <c r="B66" s="1"/>
      <c r="C66" s="1"/>
      <c r="D66" s="1"/>
      <c r="E66" s="1"/>
      <c r="F66" s="1"/>
      <c r="G66" s="1"/>
      <c r="H66" s="23"/>
      <c r="I66" s="1"/>
      <c r="J66" s="1"/>
      <c r="K66" s="1"/>
    </row>
    <row r="67">
      <c r="A67" s="1"/>
      <c r="B67" s="27" t="s">
        <v>243</v>
      </c>
      <c r="C67" s="1"/>
      <c r="D67" s="1"/>
      <c r="E67" s="1"/>
      <c r="F67" s="1"/>
      <c r="G67" s="1"/>
      <c r="H67" s="23"/>
      <c r="I67" s="1"/>
      <c r="J67" s="1"/>
      <c r="K67" s="1"/>
    </row>
    <row r="68">
      <c r="A68" s="1"/>
      <c r="B68" s="1" t="s">
        <v>244</v>
      </c>
      <c r="C68" s="3">
        <f>C55-C60</f>
        <v>168.2</v>
      </c>
      <c r="D68" s="3">
        <f>D55-D60</f>
        <v>228.79999999999998</v>
      </c>
      <c r="E68" s="3">
        <f>E55-E60</f>
        <v>207.70000000000002</v>
      </c>
      <c r="F68" s="3">
        <f>F55-F60</f>
        <v>957.7</v>
      </c>
      <c r="G68" s="3">
        <f>G55-G60</f>
        <v>138.5</v>
      </c>
      <c r="H68" s="25">
        <f>H55-H60</f>
        <v>136</v>
      </c>
      <c r="I68" s="1"/>
      <c r="J68" s="1"/>
      <c r="K68" s="1"/>
    </row>
    <row r="69">
      <c r="A69" s="1"/>
      <c r="B69" s="1" t="s">
        <v>245</v>
      </c>
      <c r="C69" s="3">
        <v>120.5</v>
      </c>
      <c r="D69" s="3">
        <v>140.5</v>
      </c>
      <c r="E69" s="3">
        <v>141.7</v>
      </c>
      <c r="F69" s="3">
        <v>688.7</v>
      </c>
      <c r="G69" s="3" t="s">
        <v>26</v>
      </c>
      <c r="H69" s="25">
        <f>C70</f>
        <v>96</v>
      </c>
      <c r="I69" s="1"/>
      <c r="J69" s="1" t="s">
        <v>218</v>
      </c>
      <c r="K69" s="1"/>
    </row>
    <row r="70">
      <c r="A70" s="1"/>
      <c r="B70" s="1" t="s">
        <v>246</v>
      </c>
      <c r="C70" s="3">
        <v>96</v>
      </c>
      <c r="D70" s="3">
        <v>136.1</v>
      </c>
      <c r="E70" s="3">
        <v>141.4</v>
      </c>
      <c r="F70" s="3">
        <v>590.4</v>
      </c>
      <c r="G70" s="3" t="s">
        <v>26</v>
      </c>
      <c r="H70" s="25">
        <f>H56*H76</f>
        <v>98.78470588235294</v>
      </c>
      <c r="I70" s="1"/>
      <c r="J70" s="1" t="s">
        <v>247</v>
      </c>
      <c r="K70" s="1"/>
    </row>
    <row r="71">
      <c r="A71" s="1"/>
      <c r="B71" s="7" t="s">
        <v>79</v>
      </c>
      <c r="C71" s="2">
        <f>IF(AND(ISNUMBER(C70),ISNUMBER(C69)),IF(C69&lt;=0,"n/m",C70/C69-1),"n/a")</f>
        <v>-0.20331950207468885</v>
      </c>
      <c r="D71" s="2">
        <f>IF(AND(ISNUMBER(D70),ISNUMBER(D69)),IF(D69&lt;=0,"n/m",D70/D69-1),"n/a")</f>
        <v>-0.031316725978647764</v>
      </c>
      <c r="E71" s="2">
        <f>IF(AND(ISNUMBER(E70),ISNUMBER(E69)),IF(E69&lt;=0,"n/m",E70/E69-1),"n/a")</f>
        <v>-0.0021171489061395654</v>
      </c>
      <c r="F71" s="2">
        <f>IF(AND(ISNUMBER(F70),ISNUMBER(F69)),IF(F69&lt;=0,"n/m",F70/F69-1),"n/a")</f>
        <v>-0.14273268476840428</v>
      </c>
      <c r="G71" s="2" t="str">
        <f>IF(AND(ISNUMBER(G70),ISNUMBER(G69)),IF(G69&lt;=0,"n/m",G70/G69-1),"n/a")</f>
        <v>n/a</v>
      </c>
      <c r="H71" s="14">
        <f>IF(AND(ISNUMBER(H70),ISNUMBER(H69)),IF(H69&lt;=0,"n/m",H70/H69-1),"n/a")</f>
        <v>0.029007352941176512</v>
      </c>
      <c r="I71" s="1"/>
      <c r="J71" s="1"/>
      <c r="K71" s="1"/>
    </row>
    <row r="72">
      <c r="A72" s="1"/>
      <c r="B72" s="1" t="s">
        <v>170</v>
      </c>
      <c r="C72" s="3" t="s">
        <v>26</v>
      </c>
      <c r="D72" s="3">
        <f>IF(AND(ISNUMBER(D70),ISNUMBER(C70)),D70-C70,"n/a")</f>
        <v>40.099999999999994</v>
      </c>
      <c r="E72" s="3">
        <f>IF(AND(ISNUMBER(E70),ISNUMBER(D70)),E70-D70,"n/a")</f>
        <v>5.300000000000011</v>
      </c>
      <c r="F72" s="3" t="s">
        <v>26</v>
      </c>
      <c r="G72" s="3" t="str">
        <f>IF(AND(ISNUMBER(G70),ISNUMBER(E70)),G70-E70,"n/a")</f>
        <v>n/a</v>
      </c>
      <c r="H72" s="25" t="str">
        <f>IF(AND(ISNUMBER(H70),ISNUMBER(G70)),H70-G70,"n/a")</f>
        <v>n/a</v>
      </c>
      <c r="I72" s="1"/>
      <c r="J72" s="1"/>
      <c r="K72" s="1"/>
    </row>
    <row r="73">
      <c r="A73" s="1"/>
      <c r="B73" s="7" t="s">
        <v>96</v>
      </c>
      <c r="C73" s="2">
        <v>0</v>
      </c>
      <c r="D73" s="2">
        <v>0</v>
      </c>
      <c r="E73" s="2">
        <v>0</v>
      </c>
      <c r="F73" s="2">
        <v>0</v>
      </c>
      <c r="G73" s="2" t="s">
        <v>26</v>
      </c>
      <c r="H73" s="14">
        <v>0</v>
      </c>
      <c r="I73" s="1"/>
      <c r="J73" s="1" t="s">
        <v>248</v>
      </c>
      <c r="K73" s="1"/>
    </row>
    <row r="74">
      <c r="A74" s="1"/>
      <c r="B74" s="61" t="s">
        <v>88</v>
      </c>
      <c r="C74" s="59" t="s">
        <v>98</v>
      </c>
      <c r="D74" s="59" t="s">
        <v>98</v>
      </c>
      <c r="E74" s="59" t="s">
        <v>98</v>
      </c>
      <c r="F74" s="59" t="s">
        <v>98</v>
      </c>
      <c r="G74" s="59" t="s">
        <v>98</v>
      </c>
      <c r="H74" s="62" t="s">
        <v>98</v>
      </c>
      <c r="I74" s="1"/>
      <c r="J74" s="1"/>
      <c r="K74" s="1"/>
    </row>
    <row r="75">
      <c r="A75" s="1"/>
      <c r="B75" s="7" t="s">
        <v>100</v>
      </c>
      <c r="C75" s="2" t="str">
        <f>IF(AND(ISNUMBER(C71),ISNUMBER(C73),ISNUMBER(C74)),(1+C71)/((1+C73)*(1+C74))-1,"n/a")</f>
        <v>n/a</v>
      </c>
      <c r="D75" s="2" t="str">
        <f>IF(AND(ISNUMBER(D71),ISNUMBER(D73),ISNUMBER(D74)),(1+D71)/((1+D73)*(1+D74))-1,"n/a")</f>
        <v>n/a</v>
      </c>
      <c r="E75" s="2" t="str">
        <f>IF(AND(ISNUMBER(E71),ISNUMBER(E73),ISNUMBER(E74)),(1+E71)/((1+E73)*(1+E74))-1,"n/a")</f>
        <v>n/a</v>
      </c>
      <c r="F75" s="2" t="str">
        <f>IF(AND(ISNUMBER(F71),ISNUMBER(F73),ISNUMBER(F74)),(1+F71)/((1+F73)*(1+F74))-1,"n/a")</f>
        <v>n/a</v>
      </c>
      <c r="G75" s="2" t="str">
        <f>IF(AND(ISNUMBER(G71),ISNUMBER(G73),ISNUMBER(G74)),(1+G71)/((1+G73)*(1+G74))-1,"n/a")</f>
        <v>n/a</v>
      </c>
      <c r="H75" s="14" t="str">
        <f>IF(AND(ISNUMBER(H71),ISNUMBER(H73),ISNUMBER(H74)),(1+H71)/((1+H73)*(1+H74))-1,"n/a")</f>
        <v>n/a</v>
      </c>
      <c r="I75" s="1"/>
      <c r="J75" s="1"/>
      <c r="K75" s="1"/>
    </row>
    <row r="76">
      <c r="A76" s="1"/>
      <c r="B76" s="7" t="s">
        <v>249</v>
      </c>
      <c r="C76" s="2">
        <f>IF(AND(ISNUMBER(C70),ISNUMBER(C56)),IF(C56=0,"n/a",C70/C56),"n/a")</f>
        <v>0.7058823529411765</v>
      </c>
      <c r="D76" s="2">
        <f>IF(AND(ISNUMBER(D70),ISNUMBER(D56)),IF(D56=0,"n/a",D70/D56),"n/a")</f>
        <v>0.6386672923510089</v>
      </c>
      <c r="E76" s="2">
        <f>IF(AND(ISNUMBER(E70),ISNUMBER(E56)),IF(E56=0,"n/a",E70/E56),"n/a")</f>
        <v>0.7281153450051494</v>
      </c>
      <c r="F76" s="2">
        <f>IF(AND(ISNUMBER(F70),ISNUMBER(F56)),IF(F56=0,"n/a",F70/F56),"n/a")</f>
        <v>0.7166788055353241</v>
      </c>
      <c r="G76" s="2" t="str">
        <f>IF(AND(ISNUMBER(G70),ISNUMBER(G56)),IF(G56=0,"n/a",G70/G56),"n/a")</f>
        <v>n/a</v>
      </c>
      <c r="H76" s="14">
        <f>C76</f>
        <v>0.7058823529411765</v>
      </c>
      <c r="I76" s="1"/>
      <c r="J76" s="1" t="s">
        <v>250</v>
      </c>
      <c r="K76" s="1"/>
    </row>
    <row r="77">
      <c r="A77" s="1"/>
      <c r="B77" s="7" t="s">
        <v>251</v>
      </c>
      <c r="C77" s="2">
        <f>IF(AND(ISNUMBER(C69),ISNUMBER(C68)),IF(C68=0,"n/a",C69/C68),"n/a")</f>
        <v>0.71640903686088</v>
      </c>
      <c r="D77" s="2">
        <f>IF(AND(ISNUMBER(D69),ISNUMBER(D68)),IF(D68=0,"n/a",D69/D68),"n/a")</f>
        <v>0.6140734265734267</v>
      </c>
      <c r="E77" s="2">
        <f>IF(AND(ISNUMBER(E69),ISNUMBER(E68)),IF(E68=0,"n/a",E69/E68),"n/a")</f>
        <v>0.6822339913336541</v>
      </c>
      <c r="F77" s="2">
        <f>IF(AND(ISNUMBER(F69),ISNUMBER(F68)),IF(F68=0,"n/a",F69/F68),"n/a")</f>
        <v>0.7191187219379764</v>
      </c>
      <c r="G77" s="2" t="str">
        <f>IF(AND(ISNUMBER(G69),ISNUMBER(G68)),IF(G68=0,"n/a",G69/G68),"n/a")</f>
        <v>n/a</v>
      </c>
      <c r="H77" s="14">
        <f>IF(AND(ISNUMBER(H69),ISNUMBER(H68)),IF(H68=0,"n/a",H69/H68),"n/a")</f>
        <v>0.7058823529411765</v>
      </c>
      <c r="I77" s="1"/>
      <c r="J77" s="1"/>
      <c r="K77" s="1"/>
    </row>
    <row r="78">
      <c r="A78" s="1"/>
      <c r="B78" s="7" t="s">
        <v>175</v>
      </c>
      <c r="C78" s="17">
        <f>IF(AND(ISNUMBER(C76),ISNUMBER(C77)),(C76-C77)*10000,"n/a")</f>
        <v>-105.26683919703461</v>
      </c>
      <c r="D78" s="17">
        <f>IF(AND(ISNUMBER(D76),ISNUMBER(D77)),(D76-D77)*10000,"n/a")</f>
        <v>245.9386577758227</v>
      </c>
      <c r="E78" s="17">
        <f>IF(AND(ISNUMBER(E76),ISNUMBER(E77)),(E76-E77)*10000,"n/a")</f>
        <v>458.81353671495265</v>
      </c>
      <c r="F78" s="17">
        <f>IF(AND(ISNUMBER(F76),ISNUMBER(F77)),(F76-F77)*10000,"n/a")</f>
        <v>-24.399164026522868</v>
      </c>
      <c r="G78" s="17" t="str">
        <f>IF(AND(ISNUMBER(G76),ISNUMBER(G77)),(G76-G77)*10000,"n/a")</f>
        <v>n/a</v>
      </c>
      <c r="H78" s="16">
        <f>IF(AND(ISNUMBER(H76),ISNUMBER(H77)),(H76-H77)*10000,"n/a")</f>
        <v>0</v>
      </c>
      <c r="I78" s="1"/>
      <c r="J78" s="1"/>
      <c r="K78" s="1"/>
    </row>
    <row r="79">
      <c r="A79" s="1"/>
      <c r="B79" s="7" t="s">
        <v>112</v>
      </c>
      <c r="C79" s="17" t="s">
        <v>26</v>
      </c>
      <c r="D79" s="17">
        <f>IF(AND(ISNUMBER(D76),ISNUMBER(C76)),(D76-C76)*10000,"n/a")</f>
        <v>-672.1506059016757</v>
      </c>
      <c r="E79" s="17">
        <f>IF(AND(ISNUMBER(E76),ISNUMBER(D76)),(E76-D76)*10000,"n/a")</f>
        <v>894.4805265414046</v>
      </c>
      <c r="F79" s="17" t="s">
        <v>26</v>
      </c>
      <c r="G79" s="17" t="str">
        <f>IF(AND(ISNUMBER(G76),ISNUMBER(E76)),(G76-E76)*10000,"n/a")</f>
        <v>n/a</v>
      </c>
      <c r="H79" s="16" t="str">
        <f>IF(AND(ISNUMBER(H76),ISNUMBER(G76)),(H76-G76)*10000,"n/a")</f>
        <v>n/a</v>
      </c>
      <c r="I79" s="1"/>
      <c r="J79" s="1"/>
      <c r="K79" s="1"/>
    </row>
    <row r="80">
      <c r="A80" s="1"/>
      <c r="B80" s="1" t="s">
        <v>252</v>
      </c>
      <c r="C80" s="3">
        <v>29.8</v>
      </c>
      <c r="D80" s="3">
        <v>37.7</v>
      </c>
      <c r="E80" s="3">
        <v>36.7</v>
      </c>
      <c r="F80" s="3">
        <v>143</v>
      </c>
      <c r="G80" s="3" t="s">
        <v>26</v>
      </c>
      <c r="H80" s="25">
        <f>C81</f>
        <v>25.4</v>
      </c>
      <c r="I80" s="1"/>
      <c r="J80" s="1" t="s">
        <v>218</v>
      </c>
      <c r="K80" s="1"/>
    </row>
    <row r="81">
      <c r="A81" s="1"/>
      <c r="B81" s="1" t="s">
        <v>253</v>
      </c>
      <c r="C81" s="3">
        <v>25.4</v>
      </c>
      <c r="D81" s="3">
        <v>32.2</v>
      </c>
      <c r="E81" s="3">
        <v>30.3</v>
      </c>
      <c r="F81" s="3">
        <v>122.8</v>
      </c>
      <c r="G81" s="3" t="s">
        <v>26</v>
      </c>
      <c r="H81" s="25">
        <f>H56*H87</f>
        <v>26.13678676470588</v>
      </c>
      <c r="I81" s="1"/>
      <c r="J81" s="1" t="s">
        <v>247</v>
      </c>
      <c r="K81" s="1"/>
    </row>
    <row r="82">
      <c r="A82" s="1"/>
      <c r="B82" s="7" t="s">
        <v>79</v>
      </c>
      <c r="C82" s="2">
        <f>IF(AND(ISNUMBER(C81),ISNUMBER(C80)),IF(C80&lt;=0,"n/m",C81/C80-1),"n/a")</f>
        <v>-0.14765100671140952</v>
      </c>
      <c r="D82" s="2">
        <f>IF(AND(ISNUMBER(D81),ISNUMBER(D80)),IF(D80&lt;=0,"n/m",D81/D80-1),"n/a")</f>
        <v>-0.1458885941644562</v>
      </c>
      <c r="E82" s="2">
        <f>IF(AND(ISNUMBER(E81),ISNUMBER(E80)),IF(E80&lt;=0,"n/m",E81/E80-1),"n/a")</f>
        <v>-0.17438692098092645</v>
      </c>
      <c r="F82" s="2">
        <f>IF(AND(ISNUMBER(F81),ISNUMBER(F80)),IF(F80&lt;=0,"n/m",F81/F80-1),"n/a")</f>
        <v>-0.14125874125874127</v>
      </c>
      <c r="G82" s="2" t="str">
        <f>IF(AND(ISNUMBER(G81),ISNUMBER(G80)),IF(G80&lt;=0,"n/m",G81/G80-1),"n/a")</f>
        <v>n/a</v>
      </c>
      <c r="H82" s="14">
        <f>IF(AND(ISNUMBER(H81),ISNUMBER(H80)),IF(H80&lt;=0,"n/m",H81/H80-1),"n/a")</f>
        <v>0.029007352941176512</v>
      </c>
      <c r="I82" s="1"/>
      <c r="J82" s="1"/>
      <c r="K82" s="1"/>
    </row>
    <row r="83">
      <c r="A83" s="1"/>
      <c r="B83" s="1" t="s">
        <v>170</v>
      </c>
      <c r="C83" s="3" t="s">
        <v>26</v>
      </c>
      <c r="D83" s="3">
        <f>IF(AND(ISNUMBER(D81),ISNUMBER(C81)),D81-C81,"n/a")</f>
        <v>6.800000000000004</v>
      </c>
      <c r="E83" s="3">
        <f>IF(AND(ISNUMBER(E81),ISNUMBER(D81)),E81-D81,"n/a")</f>
        <v>-1.9000000000000021</v>
      </c>
      <c r="F83" s="3" t="s">
        <v>26</v>
      </c>
      <c r="G83" s="3" t="str">
        <f>IF(AND(ISNUMBER(G81),ISNUMBER(E81)),G81-E81,"n/a")</f>
        <v>n/a</v>
      </c>
      <c r="H83" s="25" t="str">
        <f>IF(AND(ISNUMBER(H81),ISNUMBER(G81)),H81-G81,"n/a")</f>
        <v>n/a</v>
      </c>
      <c r="I83" s="1"/>
      <c r="J83" s="1"/>
      <c r="K83" s="1"/>
    </row>
    <row r="84">
      <c r="A84" s="1"/>
      <c r="B84" s="7" t="s">
        <v>96</v>
      </c>
      <c r="C84" s="2">
        <v>0</v>
      </c>
      <c r="D84" s="2">
        <v>0</v>
      </c>
      <c r="E84" s="2">
        <v>0</v>
      </c>
      <c r="F84" s="2">
        <v>0</v>
      </c>
      <c r="G84" s="2" t="s">
        <v>26</v>
      </c>
      <c r="H84" s="14">
        <v>0</v>
      </c>
      <c r="I84" s="1"/>
      <c r="J84" s="1" t="s">
        <v>248</v>
      </c>
      <c r="K84" s="1"/>
    </row>
    <row r="85">
      <c r="A85" s="1"/>
      <c r="B85" s="61" t="s">
        <v>88</v>
      </c>
      <c r="C85" s="59" t="s">
        <v>98</v>
      </c>
      <c r="D85" s="59" t="s">
        <v>98</v>
      </c>
      <c r="E85" s="59" t="s">
        <v>98</v>
      </c>
      <c r="F85" s="59" t="s">
        <v>98</v>
      </c>
      <c r="G85" s="59" t="s">
        <v>98</v>
      </c>
      <c r="H85" s="62" t="s">
        <v>98</v>
      </c>
      <c r="I85" s="1"/>
      <c r="J85" s="1"/>
      <c r="K85" s="1"/>
    </row>
    <row r="86">
      <c r="A86" s="1"/>
      <c r="B86" s="7" t="s">
        <v>100</v>
      </c>
      <c r="C86" s="2" t="str">
        <f>IF(AND(ISNUMBER(C82),ISNUMBER(C84),ISNUMBER(C85)),(1+C82)/((1+C84)*(1+C85))-1,"n/a")</f>
        <v>n/a</v>
      </c>
      <c r="D86" s="2" t="str">
        <f>IF(AND(ISNUMBER(D82),ISNUMBER(D84),ISNUMBER(D85)),(1+D82)/((1+D84)*(1+D85))-1,"n/a")</f>
        <v>n/a</v>
      </c>
      <c r="E86" s="2" t="str">
        <f>IF(AND(ISNUMBER(E82),ISNUMBER(E84),ISNUMBER(E85)),(1+E82)/((1+E84)*(1+E85))-1,"n/a")</f>
        <v>n/a</v>
      </c>
      <c r="F86" s="2" t="str">
        <f>IF(AND(ISNUMBER(F82),ISNUMBER(F84),ISNUMBER(F85)),(1+F82)/((1+F84)*(1+F85))-1,"n/a")</f>
        <v>n/a</v>
      </c>
      <c r="G86" s="2" t="str">
        <f>IF(AND(ISNUMBER(G82),ISNUMBER(G84),ISNUMBER(G85)),(1+G82)/((1+G84)*(1+G85))-1,"n/a")</f>
        <v>n/a</v>
      </c>
      <c r="H86" s="14" t="str">
        <f>IF(AND(ISNUMBER(H82),ISNUMBER(H84),ISNUMBER(H85)),(1+H82)/((1+H84)*(1+H85))-1,"n/a")</f>
        <v>n/a</v>
      </c>
      <c r="I86" s="1"/>
      <c r="J86" s="1"/>
      <c r="K86" s="1"/>
    </row>
    <row r="87">
      <c r="A87" s="1"/>
      <c r="B87" s="7" t="s">
        <v>249</v>
      </c>
      <c r="C87" s="2">
        <f>IF(AND(ISNUMBER(C81),ISNUMBER(C56)),IF(C56=0,"n/a",C81/C56),"n/a")</f>
        <v>0.18676470588235294</v>
      </c>
      <c r="D87" s="2">
        <f>IF(AND(ISNUMBER(D81),ISNUMBER(D56)),IF(D56=0,"n/a",D81/D56),"n/a")</f>
        <v>0.15110276865321448</v>
      </c>
      <c r="E87" s="2">
        <f>IF(AND(ISNUMBER(E81),ISNUMBER(E56)),IF(E56=0,"n/a",E81/E56),"n/a")</f>
        <v>0.15602471678681773</v>
      </c>
      <c r="F87" s="2">
        <f>IF(AND(ISNUMBER(F81),ISNUMBER(F56)),IF(F56=0,"n/a",F81/F56),"n/a")</f>
        <v>0.14906530711337704</v>
      </c>
      <c r="G87" s="2" t="str">
        <f>IF(AND(ISNUMBER(G81),ISNUMBER(G56)),IF(G56=0,"n/a",G81/G56),"n/a")</f>
        <v>n/a</v>
      </c>
      <c r="H87" s="14">
        <f>C87</f>
        <v>0.18676470588235294</v>
      </c>
      <c r="I87" s="1"/>
      <c r="J87" s="1" t="s">
        <v>250</v>
      </c>
      <c r="K87" s="1"/>
    </row>
    <row r="88">
      <c r="A88" s="1"/>
      <c r="B88" s="7" t="s">
        <v>251</v>
      </c>
      <c r="C88" s="2">
        <f>IF(AND(ISNUMBER(C80),ISNUMBER(C68)),IF(C68=0,"n/a",C80/C68),"n/a")</f>
        <v>0.17717003567181927</v>
      </c>
      <c r="D88" s="2">
        <f>IF(AND(ISNUMBER(D80),ISNUMBER(D68)),IF(D68=0,"n/a",D80/D68),"n/a")</f>
        <v>0.1647727272727273</v>
      </c>
      <c r="E88" s="2">
        <f>IF(AND(ISNUMBER(E80),ISNUMBER(E68)),IF(E68=0,"n/a",E80/E68),"n/a")</f>
        <v>0.17669715936446798</v>
      </c>
      <c r="F88" s="2">
        <f>IF(AND(ISNUMBER(F80),ISNUMBER(F68)),IF(F68=0,"n/a",F80/F68),"n/a")</f>
        <v>0.14931606975044376</v>
      </c>
      <c r="G88" s="2" t="str">
        <f>IF(AND(ISNUMBER(G80),ISNUMBER(G68)),IF(G68=0,"n/a",G80/G68),"n/a")</f>
        <v>n/a</v>
      </c>
      <c r="H88" s="14">
        <f>IF(AND(ISNUMBER(H80),ISNUMBER(H68)),IF(H68=0,"n/a",H80/H68),"n/a")</f>
        <v>0.18676470588235294</v>
      </c>
      <c r="I88" s="1"/>
      <c r="J88" s="1"/>
      <c r="K88" s="1"/>
    </row>
    <row r="89">
      <c r="A89" s="1"/>
      <c r="B89" s="7" t="s">
        <v>175</v>
      </c>
      <c r="C89" s="17">
        <f>IF(AND(ISNUMBER(C87),ISNUMBER(C88)),(C87-C88)*10000,"n/a")</f>
        <v>95.94670210533674</v>
      </c>
      <c r="D89" s="17">
        <f>IF(AND(ISNUMBER(D87),ISNUMBER(D88)),(D87-D88)*10000,"n/a")</f>
        <v>-136.69958619512812</v>
      </c>
      <c r="E89" s="17">
        <f>IF(AND(ISNUMBER(E87),ISNUMBER(E88)),(E87-E88)*10000,"n/a")</f>
        <v>-206.72442577650247</v>
      </c>
      <c r="F89" s="17">
        <f>IF(AND(ISNUMBER(F87),ISNUMBER(F88)),(F87-F88)*10000,"n/a")</f>
        <v>-2.507626370667204</v>
      </c>
      <c r="G89" s="17" t="str">
        <f>IF(AND(ISNUMBER(G87),ISNUMBER(G88)),(G87-G88)*10000,"n/a")</f>
        <v>n/a</v>
      </c>
      <c r="H89" s="16">
        <f>IF(AND(ISNUMBER(H87),ISNUMBER(H88)),(H87-H88)*10000,"n/a")</f>
        <v>0</v>
      </c>
      <c r="I89" s="1"/>
      <c r="J89" s="1"/>
      <c r="K89" s="1"/>
    </row>
    <row r="90">
      <c r="A90" s="1"/>
      <c r="B90" s="7" t="s">
        <v>112</v>
      </c>
      <c r="C90" s="17" t="s">
        <v>26</v>
      </c>
      <c r="D90" s="17">
        <f>IF(AND(ISNUMBER(D87),ISNUMBER(C87)),(D87-C87)*10000,"n/a")</f>
        <v>-356.61937229138465</v>
      </c>
      <c r="E90" s="17">
        <f>IF(AND(ISNUMBER(E87),ISNUMBER(D87)),(E87-D87)*10000,"n/a")</f>
        <v>49.21948133603249</v>
      </c>
      <c r="F90" s="17" t="s">
        <v>26</v>
      </c>
      <c r="G90" s="17" t="str">
        <f>IF(AND(ISNUMBER(G87),ISNUMBER(E87)),(G87-E87)*10000,"n/a")</f>
        <v>n/a</v>
      </c>
      <c r="H90" s="16" t="str">
        <f>IF(AND(ISNUMBER(H87),ISNUMBER(G87)),(H87-G87)*10000,"n/a")</f>
        <v>n/a</v>
      </c>
      <c r="I90" s="1"/>
      <c r="J90" s="1"/>
      <c r="K90" s="1"/>
    </row>
    <row r="91">
      <c r="A91" s="1"/>
      <c r="B91" s="1" t="s">
        <v>254</v>
      </c>
      <c r="C91" s="3">
        <v>13.1</v>
      </c>
      <c r="D91" s="3">
        <v>37.3</v>
      </c>
      <c r="E91" s="3">
        <v>22.8</v>
      </c>
      <c r="F91" s="3">
        <v>89.1</v>
      </c>
      <c r="G91" s="3" t="s">
        <v>26</v>
      </c>
      <c r="H91" s="25">
        <f>C92</f>
        <v>11</v>
      </c>
      <c r="I91" s="1"/>
      <c r="J91" s="1" t="s">
        <v>218</v>
      </c>
      <c r="K91" s="1"/>
    </row>
    <row r="92">
      <c r="A92" s="1"/>
      <c r="B92" s="1" t="s">
        <v>255</v>
      </c>
      <c r="C92" s="3">
        <v>11</v>
      </c>
      <c r="D92" s="3">
        <v>34.4</v>
      </c>
      <c r="E92" s="3">
        <v>18.4</v>
      </c>
      <c r="F92" s="3">
        <v>79.1</v>
      </c>
      <c r="G92" s="3" t="s">
        <v>26</v>
      </c>
      <c r="H92" s="25">
        <f>H56*H98</f>
        <v>11.31908088235294</v>
      </c>
      <c r="I92" s="1"/>
      <c r="J92" s="1" t="s">
        <v>247</v>
      </c>
      <c r="K92" s="1"/>
    </row>
    <row r="93">
      <c r="A93" s="1"/>
      <c r="B93" s="7" t="s">
        <v>79</v>
      </c>
      <c r="C93" s="2">
        <f>IF(AND(ISNUMBER(C92),ISNUMBER(C91)),IF(C91&lt;=0,"n/m",C92/C91-1),"n/a")</f>
        <v>-0.16030534351145032</v>
      </c>
      <c r="D93" s="2">
        <f>IF(AND(ISNUMBER(D92),ISNUMBER(D91)),IF(D91&lt;=0,"n/m",D92/D91-1),"n/a")</f>
        <v>-0.07774798927613935</v>
      </c>
      <c r="E93" s="2">
        <f>IF(AND(ISNUMBER(E92),ISNUMBER(E91)),IF(E91&lt;=0,"n/m",E92/E91-1),"n/a")</f>
        <v>-0.19298245614035092</v>
      </c>
      <c r="F93" s="2">
        <f>IF(AND(ISNUMBER(F92),ISNUMBER(F91)),IF(F91&lt;=0,"n/m",F92/F91-1),"n/a")</f>
        <v>-0.11223344556677894</v>
      </c>
      <c r="G93" s="2" t="str">
        <f>IF(AND(ISNUMBER(G92),ISNUMBER(G91)),IF(G91&lt;=0,"n/m",G92/G91-1),"n/a")</f>
        <v>n/a</v>
      </c>
      <c r="H93" s="14">
        <f>IF(AND(ISNUMBER(H92),ISNUMBER(H91)),IF(H91&lt;=0,"n/m",H92/H91-1),"n/a")</f>
        <v>0.029007352941176512</v>
      </c>
      <c r="I93" s="1"/>
      <c r="J93" s="1"/>
      <c r="K93" s="1"/>
    </row>
    <row r="94">
      <c r="A94" s="1"/>
      <c r="B94" s="1" t="s">
        <v>170</v>
      </c>
      <c r="C94" s="3" t="s">
        <v>26</v>
      </c>
      <c r="D94" s="3">
        <f>IF(AND(ISNUMBER(D92),ISNUMBER(C92)),D92-C92,"n/a")</f>
        <v>23.4</v>
      </c>
      <c r="E94" s="3">
        <f>IF(AND(ISNUMBER(E92),ISNUMBER(D92)),E92-D92,"n/a")</f>
        <v>-16</v>
      </c>
      <c r="F94" s="3" t="s">
        <v>26</v>
      </c>
      <c r="G94" s="3" t="str">
        <f>IF(AND(ISNUMBER(G92),ISNUMBER(E92)),G92-E92,"n/a")</f>
        <v>n/a</v>
      </c>
      <c r="H94" s="25" t="str">
        <f>IF(AND(ISNUMBER(H92),ISNUMBER(G92)),H92-G92,"n/a")</f>
        <v>n/a</v>
      </c>
      <c r="I94" s="1"/>
      <c r="J94" s="1"/>
      <c r="K94" s="1"/>
    </row>
    <row r="95">
      <c r="A95" s="1"/>
      <c r="B95" s="7" t="s">
        <v>96</v>
      </c>
      <c r="C95" s="2">
        <v>0</v>
      </c>
      <c r="D95" s="2">
        <v>0</v>
      </c>
      <c r="E95" s="2">
        <v>0</v>
      </c>
      <c r="F95" s="2">
        <v>0</v>
      </c>
      <c r="G95" s="2" t="s">
        <v>26</v>
      </c>
      <c r="H95" s="14">
        <v>0</v>
      </c>
      <c r="I95" s="1"/>
      <c r="J95" s="1" t="s">
        <v>248</v>
      </c>
      <c r="K95" s="1"/>
    </row>
    <row r="96">
      <c r="A96" s="1"/>
      <c r="B96" s="61" t="s">
        <v>88</v>
      </c>
      <c r="C96" s="59" t="s">
        <v>98</v>
      </c>
      <c r="D96" s="59" t="s">
        <v>98</v>
      </c>
      <c r="E96" s="59" t="s">
        <v>98</v>
      </c>
      <c r="F96" s="59" t="s">
        <v>98</v>
      </c>
      <c r="G96" s="59" t="s">
        <v>98</v>
      </c>
      <c r="H96" s="62" t="s">
        <v>98</v>
      </c>
      <c r="I96" s="1"/>
      <c r="J96" s="1"/>
      <c r="K96" s="1"/>
    </row>
    <row r="97">
      <c r="A97" s="1"/>
      <c r="B97" s="7" t="s">
        <v>100</v>
      </c>
      <c r="C97" s="2" t="str">
        <f>IF(AND(ISNUMBER(C93),ISNUMBER(C95),ISNUMBER(C96)),(1+C93)/((1+C95)*(1+C96))-1,"n/a")</f>
        <v>n/a</v>
      </c>
      <c r="D97" s="2" t="str">
        <f>IF(AND(ISNUMBER(D93),ISNUMBER(D95),ISNUMBER(D96)),(1+D93)/((1+D95)*(1+D96))-1,"n/a")</f>
        <v>n/a</v>
      </c>
      <c r="E97" s="2" t="str">
        <f>IF(AND(ISNUMBER(E93),ISNUMBER(E95),ISNUMBER(E96)),(1+E93)/((1+E95)*(1+E96))-1,"n/a")</f>
        <v>n/a</v>
      </c>
      <c r="F97" s="2" t="str">
        <f>IF(AND(ISNUMBER(F93),ISNUMBER(F95),ISNUMBER(F96)),(1+F93)/((1+F95)*(1+F96))-1,"n/a")</f>
        <v>n/a</v>
      </c>
      <c r="G97" s="2" t="str">
        <f>IF(AND(ISNUMBER(G93),ISNUMBER(G95),ISNUMBER(G96)),(1+G93)/((1+G95)*(1+G96))-1,"n/a")</f>
        <v>n/a</v>
      </c>
      <c r="H97" s="14" t="str">
        <f>IF(AND(ISNUMBER(H93),ISNUMBER(H95),ISNUMBER(H96)),(1+H93)/((1+H95)*(1+H96))-1,"n/a")</f>
        <v>n/a</v>
      </c>
      <c r="I97" s="1"/>
      <c r="J97" s="1"/>
      <c r="K97" s="1"/>
    </row>
    <row r="98">
      <c r="A98" s="1"/>
      <c r="B98" s="7" t="s">
        <v>249</v>
      </c>
      <c r="C98" s="2">
        <f>IF(AND(ISNUMBER(C92),ISNUMBER(C56)),IF(C56=0,"n/a",C92/C56),"n/a")</f>
        <v>0.08088235294117647</v>
      </c>
      <c r="D98" s="2">
        <f>IF(AND(ISNUMBER(D92),ISNUMBER(D56)),IF(D56=0,"n/a",D92/D56),"n/a")</f>
        <v>0.16142656030032848</v>
      </c>
      <c r="E98" s="2">
        <f>IF(AND(ISNUMBER(E92),ISNUMBER(E56)),IF(E56=0,"n/a",E92/E56),"n/a")</f>
        <v>0.09474768280123584</v>
      </c>
      <c r="F98" s="2">
        <f>IF(AND(ISNUMBER(F92),ISNUMBER(F56)),IF(F56=0,"n/a",F92/F56),"n/a")</f>
        <v>0.09601845108035931</v>
      </c>
      <c r="G98" s="2" t="str">
        <f>IF(AND(ISNUMBER(G92),ISNUMBER(G56)),IF(G56=0,"n/a",G92/G56),"n/a")</f>
        <v>n/a</v>
      </c>
      <c r="H98" s="14">
        <f>C98</f>
        <v>0.08088235294117647</v>
      </c>
      <c r="I98" s="1"/>
      <c r="J98" s="1" t="s">
        <v>250</v>
      </c>
      <c r="K98" s="1"/>
    </row>
    <row r="99">
      <c r="A99" s="1"/>
      <c r="B99" s="7" t="s">
        <v>251</v>
      </c>
      <c r="C99" s="2">
        <f>IF(AND(ISNUMBER(C91),ISNUMBER(C68)),IF(C68=0,"n/a",C91/C68),"n/a")</f>
        <v>0.07788347205707491</v>
      </c>
      <c r="D99" s="2">
        <f>IF(AND(ISNUMBER(D91),ISNUMBER(D68)),IF(D68=0,"n/a",D91/D68),"n/a")</f>
        <v>0.16302447552447552</v>
      </c>
      <c r="E99" s="2">
        <f>IF(AND(ISNUMBER(E91),ISNUMBER(E68)),IF(E68=0,"n/a",E91/E68),"n/a")</f>
        <v>0.1097737120847376</v>
      </c>
      <c r="F99" s="2">
        <f>IF(AND(ISNUMBER(F91),ISNUMBER(F68)),IF(F68=0,"n/a",F91/F68),"n/a")</f>
        <v>0.09303539730604572</v>
      </c>
      <c r="G99" s="2" t="str">
        <f>IF(AND(ISNUMBER(G91),ISNUMBER(G68)),IF(G68=0,"n/a",G91/G68),"n/a")</f>
        <v>n/a</v>
      </c>
      <c r="H99" s="14">
        <f>IF(AND(ISNUMBER(H91),ISNUMBER(H68)),IF(H68=0,"n/a",H91/H68),"n/a")</f>
        <v>0.08088235294117647</v>
      </c>
      <c r="I99" s="1"/>
      <c r="J99" s="1"/>
      <c r="K99" s="1"/>
    </row>
    <row r="100">
      <c r="A100" s="1"/>
      <c r="B100" s="7" t="s">
        <v>175</v>
      </c>
      <c r="C100" s="17">
        <f>IF(AND(ISNUMBER(C98),ISNUMBER(C99)),(C98-C99)*10000,"n/a")</f>
        <v>29.98880884101565</v>
      </c>
      <c r="D100" s="17">
        <f>IF(AND(ISNUMBER(D98),ISNUMBER(D99)),(D98-D99)*10000,"n/a")</f>
        <v>-15.979152241470395</v>
      </c>
      <c r="E100" s="17">
        <f>IF(AND(ISNUMBER(E98),ISNUMBER(E99)),(E98-E99)*10000,"n/a")</f>
        <v>-150.2602928350176</v>
      </c>
      <c r="F100" s="17">
        <f>IF(AND(ISNUMBER(F98),ISNUMBER(F99)),(F98-F99)*10000,"n/a")</f>
        <v>29.83053774313585</v>
      </c>
      <c r="G100" s="17" t="str">
        <f>IF(AND(ISNUMBER(G98),ISNUMBER(G99)),(G98-G99)*10000,"n/a")</f>
        <v>n/a</v>
      </c>
      <c r="H100" s="16">
        <f>IF(AND(ISNUMBER(H98),ISNUMBER(H99)),(H98-H99)*10000,"n/a")</f>
        <v>0</v>
      </c>
      <c r="I100" s="1"/>
      <c r="J100" s="1"/>
      <c r="K100" s="1"/>
    </row>
    <row r="101">
      <c r="A101" s="1"/>
      <c r="B101" s="7" t="s">
        <v>112</v>
      </c>
      <c r="C101" s="17" t="s">
        <v>26</v>
      </c>
      <c r="D101" s="17">
        <f>IF(AND(ISNUMBER(D98),ISNUMBER(C98)),(D98-C98)*10000,"n/a")</f>
        <v>805.44207359152</v>
      </c>
      <c r="E101" s="17">
        <f>IF(AND(ISNUMBER(E98),ISNUMBER(D98)),(E98-D98)*10000,"n/a")</f>
        <v>-666.7887749909264</v>
      </c>
      <c r="F101" s="17" t="s">
        <v>26</v>
      </c>
      <c r="G101" s="17" t="str">
        <f>IF(AND(ISNUMBER(G98),ISNUMBER(E98)),(G98-E98)*10000,"n/a")</f>
        <v>n/a</v>
      </c>
      <c r="H101" s="16" t="str">
        <f>IF(AND(ISNUMBER(H98),ISNUMBER(G98)),(H98-G98)*10000,"n/a")</f>
        <v>n/a</v>
      </c>
      <c r="I101" s="1"/>
      <c r="J101" s="1"/>
      <c r="K101" s="1"/>
    </row>
    <row r="102">
      <c r="A102" s="1"/>
      <c r="B102" s="1" t="s">
        <v>256</v>
      </c>
      <c r="C102" s="3">
        <v>4.8</v>
      </c>
      <c r="D102" s="3">
        <v>13.3</v>
      </c>
      <c r="E102" s="3">
        <v>6.5</v>
      </c>
      <c r="F102" s="3">
        <v>36.9</v>
      </c>
      <c r="G102" s="3" t="s">
        <v>26</v>
      </c>
      <c r="H102" s="25">
        <f>C103</f>
        <v>3.6</v>
      </c>
      <c r="I102" s="1"/>
      <c r="J102" s="1" t="s">
        <v>218</v>
      </c>
      <c r="K102" s="1"/>
    </row>
    <row r="103">
      <c r="A103" s="1"/>
      <c r="B103" s="1" t="s">
        <v>257</v>
      </c>
      <c r="C103" s="3">
        <v>3.6</v>
      </c>
      <c r="D103" s="3">
        <v>10.4</v>
      </c>
      <c r="E103" s="3">
        <v>4.1</v>
      </c>
      <c r="F103" s="3">
        <v>31.5</v>
      </c>
      <c r="G103" s="3" t="s">
        <v>26</v>
      </c>
      <c r="H103" s="25">
        <f>H56*H109</f>
        <v>3.7044264705882353</v>
      </c>
      <c r="I103" s="1"/>
      <c r="J103" s="1" t="s">
        <v>247</v>
      </c>
      <c r="K103" s="1"/>
    </row>
    <row r="104">
      <c r="A104" s="1"/>
      <c r="B104" s="7" t="s">
        <v>79</v>
      </c>
      <c r="C104" s="2">
        <f>IF(AND(ISNUMBER(C103),ISNUMBER(C102)),IF(C102&lt;=0,"n/m",C103/C102-1),"n/a")</f>
        <v>-0.25</v>
      </c>
      <c r="D104" s="2">
        <f>IF(AND(ISNUMBER(D103),ISNUMBER(D102)),IF(D102&lt;=0,"n/m",D103/D102-1),"n/a")</f>
        <v>-0.21804511278195493</v>
      </c>
      <c r="E104" s="2">
        <f>IF(AND(ISNUMBER(E103),ISNUMBER(E102)),IF(E102&lt;=0,"n/m",E103/E102-1),"n/a")</f>
        <v>-0.36923076923076925</v>
      </c>
      <c r="F104" s="2">
        <f>IF(AND(ISNUMBER(F103),ISNUMBER(F102)),IF(F102&lt;=0,"n/m",F103/F102-1),"n/a")</f>
        <v>-0.14634146341463417</v>
      </c>
      <c r="G104" s="2" t="str">
        <f>IF(AND(ISNUMBER(G103),ISNUMBER(G102)),IF(G102&lt;=0,"n/m",G103/G102-1),"n/a")</f>
        <v>n/a</v>
      </c>
      <c r="H104" s="14">
        <f>IF(AND(ISNUMBER(H103),ISNUMBER(H102)),IF(H102&lt;=0,"n/m",H103/H102-1),"n/a")</f>
        <v>0.029007352941176512</v>
      </c>
      <c r="I104" s="1"/>
      <c r="J104" s="1"/>
      <c r="K104" s="1"/>
    </row>
    <row r="105">
      <c r="A105" s="1"/>
      <c r="B105" s="1" t="s">
        <v>170</v>
      </c>
      <c r="C105" s="3" t="s">
        <v>26</v>
      </c>
      <c r="D105" s="3">
        <f>IF(AND(ISNUMBER(D103),ISNUMBER(C103)),D103-C103,"n/a")</f>
        <v>6.800000000000001</v>
      </c>
      <c r="E105" s="3">
        <f>IF(AND(ISNUMBER(E103),ISNUMBER(D103)),E103-D103,"n/a")</f>
        <v>-6.300000000000001</v>
      </c>
      <c r="F105" s="3" t="s">
        <v>26</v>
      </c>
      <c r="G105" s="3" t="str">
        <f>IF(AND(ISNUMBER(G103),ISNUMBER(E103)),G103-E103,"n/a")</f>
        <v>n/a</v>
      </c>
      <c r="H105" s="25" t="str">
        <f>IF(AND(ISNUMBER(H103),ISNUMBER(G103)),H103-G103,"n/a")</f>
        <v>n/a</v>
      </c>
      <c r="I105" s="1"/>
      <c r="J105" s="1"/>
      <c r="K105" s="1"/>
    </row>
    <row r="106">
      <c r="A106" s="1"/>
      <c r="B106" s="7" t="s">
        <v>96</v>
      </c>
      <c r="C106" s="2">
        <v>0</v>
      </c>
      <c r="D106" s="2">
        <v>0</v>
      </c>
      <c r="E106" s="2">
        <v>0</v>
      </c>
      <c r="F106" s="2">
        <v>0</v>
      </c>
      <c r="G106" s="2" t="s">
        <v>26</v>
      </c>
      <c r="H106" s="14">
        <v>0</v>
      </c>
      <c r="I106" s="1"/>
      <c r="J106" s="1" t="s">
        <v>248</v>
      </c>
      <c r="K106" s="1"/>
    </row>
    <row r="107">
      <c r="A107" s="1"/>
      <c r="B107" s="61" t="s">
        <v>88</v>
      </c>
      <c r="C107" s="59" t="s">
        <v>98</v>
      </c>
      <c r="D107" s="59" t="s">
        <v>98</v>
      </c>
      <c r="E107" s="59" t="s">
        <v>98</v>
      </c>
      <c r="F107" s="59" t="s">
        <v>98</v>
      </c>
      <c r="G107" s="59" t="s">
        <v>98</v>
      </c>
      <c r="H107" s="62" t="s">
        <v>98</v>
      </c>
      <c r="I107" s="1"/>
      <c r="J107" s="1"/>
      <c r="K107" s="1"/>
    </row>
    <row r="108">
      <c r="A108" s="1"/>
      <c r="B108" s="7" t="s">
        <v>100</v>
      </c>
      <c r="C108" s="2" t="str">
        <f>IF(AND(ISNUMBER(C104),ISNUMBER(C106),ISNUMBER(C107)),(1+C104)/((1+C106)*(1+C107))-1,"n/a")</f>
        <v>n/a</v>
      </c>
      <c r="D108" s="2" t="str">
        <f>IF(AND(ISNUMBER(D104),ISNUMBER(D106),ISNUMBER(D107)),(1+D104)/((1+D106)*(1+D107))-1,"n/a")</f>
        <v>n/a</v>
      </c>
      <c r="E108" s="2" t="str">
        <f>IF(AND(ISNUMBER(E104),ISNUMBER(E106),ISNUMBER(E107)),(1+E104)/((1+E106)*(1+E107))-1,"n/a")</f>
        <v>n/a</v>
      </c>
      <c r="F108" s="2" t="str">
        <f>IF(AND(ISNUMBER(F104),ISNUMBER(F106),ISNUMBER(F107)),(1+F104)/((1+F106)*(1+F107))-1,"n/a")</f>
        <v>n/a</v>
      </c>
      <c r="G108" s="2" t="str">
        <f>IF(AND(ISNUMBER(G104),ISNUMBER(G106),ISNUMBER(G107)),(1+G104)/((1+G106)*(1+G107))-1,"n/a")</f>
        <v>n/a</v>
      </c>
      <c r="H108" s="14" t="str">
        <f>IF(AND(ISNUMBER(H104),ISNUMBER(H106),ISNUMBER(H107)),(1+H104)/((1+H106)*(1+H107))-1,"n/a")</f>
        <v>n/a</v>
      </c>
      <c r="I108" s="1"/>
      <c r="J108" s="1"/>
      <c r="K108" s="1"/>
    </row>
    <row r="109">
      <c r="A109" s="1"/>
      <c r="B109" s="7" t="s">
        <v>249</v>
      </c>
      <c r="C109" s="2">
        <f>IF(AND(ISNUMBER(C103),ISNUMBER(C56)),IF(C56=0,"n/a",C103/C56),"n/a")</f>
        <v>0.026470588235294117</v>
      </c>
      <c r="D109" s="2">
        <f>IF(AND(ISNUMBER(D103),ISNUMBER(D56)),IF(D56=0,"n/a",D103/D56),"n/a")</f>
        <v>0.04880337869544815</v>
      </c>
      <c r="E109" s="2">
        <f>IF(AND(ISNUMBER(E103),ISNUMBER(E56)),IF(E56=0,"n/a",E103/E56),"n/a")</f>
        <v>0.021112255406797117</v>
      </c>
      <c r="F109" s="2">
        <f>IF(AND(ISNUMBER(F103),ISNUMBER(F56)),IF(F56=0,"n/a",F103/F56),"n/a")</f>
        <v>0.03823743627093955</v>
      </c>
      <c r="G109" s="2" t="str">
        <f>IF(AND(ISNUMBER(G103),ISNUMBER(G56)),IF(G56=0,"n/a",G103/G56),"n/a")</f>
        <v>n/a</v>
      </c>
      <c r="H109" s="14">
        <f>C109</f>
        <v>0.026470588235294117</v>
      </c>
      <c r="I109" s="1"/>
      <c r="J109" s="1" t="s">
        <v>250</v>
      </c>
      <c r="K109" s="1"/>
    </row>
    <row r="110">
      <c r="A110" s="1"/>
      <c r="B110" s="7" t="s">
        <v>251</v>
      </c>
      <c r="C110" s="2">
        <f>IF(AND(ISNUMBER(C102),ISNUMBER(C68)),IF(C68=0,"n/a",C102/C68),"n/a")</f>
        <v>0.028537455410225922</v>
      </c>
      <c r="D110" s="2">
        <f>IF(AND(ISNUMBER(D102),ISNUMBER(D68)),IF(D68=0,"n/a",D102/D68),"n/a")</f>
        <v>0.05812937062937064</v>
      </c>
      <c r="E110" s="2">
        <f>IF(AND(ISNUMBER(E102),ISNUMBER(E68)),IF(E68=0,"n/a",E102/E68),"n/a")</f>
        <v>0.031295137217140105</v>
      </c>
      <c r="F110" s="2">
        <f>IF(AND(ISNUMBER(F102),ISNUMBER(F68)),IF(F68=0,"n/a",F102/F68),"n/a")</f>
        <v>0.03852981100553409</v>
      </c>
      <c r="G110" s="2" t="str">
        <f>IF(AND(ISNUMBER(G102),ISNUMBER(G68)),IF(G68=0,"n/a",G102/G68),"n/a")</f>
        <v>n/a</v>
      </c>
      <c r="H110" s="14">
        <f>IF(AND(ISNUMBER(H102),ISNUMBER(H68)),IF(H68=0,"n/a",H102/H68),"n/a")</f>
        <v>0.026470588235294117</v>
      </c>
      <c r="I110" s="1"/>
      <c r="J110" s="1"/>
      <c r="K110" s="1"/>
    </row>
    <row r="111">
      <c r="A111" s="1"/>
      <c r="B111" s="7" t="s">
        <v>175</v>
      </c>
      <c r="C111" s="17">
        <f>IF(AND(ISNUMBER(C109),ISNUMBER(C110)),(C109-C110)*10000,"n/a")</f>
        <v>-20.66867174931805</v>
      </c>
      <c r="D111" s="17">
        <f>IF(AND(ISNUMBER(D109),ISNUMBER(D110)),(D109-D110)*10000,"n/a")</f>
        <v>-93.25991933922487</v>
      </c>
      <c r="E111" s="17">
        <f>IF(AND(ISNUMBER(E109),ISNUMBER(E110)),(E109-E110)*10000,"n/a")</f>
        <v>-101.82881810342988</v>
      </c>
      <c r="F111" s="17">
        <f>IF(AND(ISNUMBER(F109),ISNUMBER(F110)),(F109-F110)*10000,"n/a")</f>
        <v>-2.9237473459454293</v>
      </c>
      <c r="G111" s="17" t="str">
        <f>IF(AND(ISNUMBER(G109),ISNUMBER(G110)),(G109-G110)*10000,"n/a")</f>
        <v>n/a</v>
      </c>
      <c r="H111" s="16">
        <f>IF(AND(ISNUMBER(H109),ISNUMBER(H110)),(H109-H110)*10000,"n/a")</f>
        <v>0</v>
      </c>
      <c r="I111" s="1"/>
      <c r="J111" s="1"/>
      <c r="K111" s="1"/>
    </row>
    <row r="112">
      <c r="A112" s="1"/>
      <c r="B112" s="7" t="s">
        <v>112</v>
      </c>
      <c r="C112" s="17" t="s">
        <v>26</v>
      </c>
      <c r="D112" s="17">
        <f>IF(AND(ISNUMBER(D109),ISNUMBER(C109)),(D109-C109)*10000,"n/a")</f>
        <v>223.32790460154035</v>
      </c>
      <c r="E112" s="17">
        <f>IF(AND(ISNUMBER(E109),ISNUMBER(D109)),(E109-D109)*10000,"n/a")</f>
        <v>-276.91123288651033</v>
      </c>
      <c r="F112" s="17" t="s">
        <v>26</v>
      </c>
      <c r="G112" s="17" t="str">
        <f>IF(AND(ISNUMBER(G109),ISNUMBER(E109)),(G109-E109)*10000,"n/a")</f>
        <v>n/a</v>
      </c>
      <c r="H112" s="16" t="str">
        <f>IF(AND(ISNUMBER(H109),ISNUMBER(G109)),(H109-G109)*10000,"n/a")</f>
        <v>n/a</v>
      </c>
      <c r="I112" s="1"/>
      <c r="J112" s="1"/>
      <c r="K112" s="1"/>
    </row>
    <row r="113">
      <c r="A113" s="1"/>
      <c r="B113" s="1" t="s">
        <v>258</v>
      </c>
      <c r="C113" s="3">
        <v>0</v>
      </c>
      <c r="D113" s="3">
        <v>0</v>
      </c>
      <c r="E113" s="3">
        <v>0</v>
      </c>
      <c r="F113" s="3">
        <v>0</v>
      </c>
      <c r="G113" s="3" t="s">
        <v>26</v>
      </c>
      <c r="H113" s="25">
        <v>0</v>
      </c>
      <c r="I113" s="1"/>
      <c r="J113" s="1" t="s">
        <v>259</v>
      </c>
      <c r="K113" s="1"/>
    </row>
    <row r="114">
      <c r="A114" s="1"/>
      <c r="B114" s="12" t="s">
        <v>260</v>
      </c>
      <c r="C114" s="22">
        <f>C70+C81+C92+C103+C113</f>
        <v>136</v>
      </c>
      <c r="D114" s="22">
        <f>D70+D81+D92+D103+D113</f>
        <v>213.10000000000002</v>
      </c>
      <c r="E114" s="22">
        <f>E70+E81+E92+E103+E113</f>
        <v>194.20000000000002</v>
      </c>
      <c r="F114" s="22">
        <f>F70+F81+F92+F103+F113</f>
        <v>823.8</v>
      </c>
      <c r="G114" s="22" t="s">
        <v>26</v>
      </c>
      <c r="H114" s="42">
        <f>H70+H81+H92+H103+H113</f>
        <v>139.945</v>
      </c>
      <c r="I114" s="1"/>
      <c r="J114" s="1"/>
      <c r="K114" s="1"/>
    </row>
    <row r="115">
      <c r="A115" s="1"/>
      <c r="B115" s="1" t="s">
        <v>261</v>
      </c>
      <c r="C115" s="3">
        <f>ROUND(C114-C56,1)</f>
        <v>0</v>
      </c>
      <c r="D115" s="3">
        <f>ROUND(D114-D56,1)</f>
        <v>0</v>
      </c>
      <c r="E115" s="3">
        <f>ROUND(E114-E56,1)</f>
        <v>0</v>
      </c>
      <c r="F115" s="3">
        <f>ROUND(F114-F56,1)</f>
        <v>0</v>
      </c>
      <c r="G115" s="3" t="s">
        <v>26</v>
      </c>
      <c r="H115" s="25">
        <f>ROUND(H114-H56,1)</f>
        <v>0</v>
      </c>
      <c r="I115" s="1"/>
      <c r="J115" s="1"/>
      <c r="K115" s="1"/>
    </row>
    <row r="116">
      <c r="A116" s="1"/>
      <c r="B116" s="1"/>
      <c r="C116" s="1"/>
      <c r="D116" s="1"/>
      <c r="E116" s="1"/>
      <c r="F116" s="1"/>
      <c r="G116" s="1"/>
      <c r="H116" s="23"/>
      <c r="I116" s="1"/>
      <c r="J116" s="1"/>
      <c r="K116" s="1"/>
    </row>
    <row r="117">
      <c r="A117" s="1"/>
      <c r="B117" s="27" t="s">
        <v>166</v>
      </c>
      <c r="C117" s="1"/>
      <c r="D117" s="1"/>
      <c r="E117" s="1"/>
      <c r="F117" s="1"/>
      <c r="G117" s="1"/>
      <c r="H117" s="23"/>
      <c r="I117" s="1"/>
      <c r="J117" s="1"/>
      <c r="K117" s="1"/>
    </row>
    <row r="118">
      <c r="A118" s="1"/>
      <c r="B118" s="1" t="s">
        <v>167</v>
      </c>
      <c r="C118" s="3">
        <f>C123-C56</f>
        <v>-81.2</v>
      </c>
      <c r="D118" s="3">
        <f>D123-D56</f>
        <v>-107</v>
      </c>
      <c r="E118" s="3">
        <f>E123-E56</f>
        <v>-119.29999999999998</v>
      </c>
      <c r="F118" s="3">
        <f>F123-F56</f>
        <v>-491.9</v>
      </c>
      <c r="G118" s="3">
        <f>G123-G56</f>
        <v>-85.1</v>
      </c>
      <c r="H118" s="25">
        <f>-H56*(1-H126)</f>
        <v>-81.16810000000001</v>
      </c>
      <c r="I118" s="1"/>
      <c r="J118" s="1"/>
      <c r="K118" s="1"/>
    </row>
    <row r="119">
      <c r="A119" s="1"/>
      <c r="B119" s="1" t="s">
        <v>169</v>
      </c>
      <c r="C119" s="3">
        <f>C122-C55</f>
        <v>-224.7</v>
      </c>
      <c r="D119" s="3">
        <f>D122-D55</f>
        <v>-226.09999999999997</v>
      </c>
      <c r="E119" s="3">
        <f>E122-E55</f>
        <v>-255.5</v>
      </c>
      <c r="F119" s="3">
        <f>F122-F55</f>
        <v>-926.6000000000001</v>
      </c>
      <c r="G119" s="3">
        <f>G122-G55</f>
        <v>-184.4</v>
      </c>
      <c r="H119" s="25">
        <f>H122-H55</f>
        <v>-81.2</v>
      </c>
      <c r="I119" s="1"/>
      <c r="J119" s="1"/>
      <c r="K119" s="1"/>
    </row>
    <row r="120">
      <c r="A120" s="1"/>
      <c r="B120" s="7" t="s">
        <v>79</v>
      </c>
      <c r="C120" s="2">
        <f>IF(AND(ISNUMBER(C118),ISNUMBER(C119)),C118/C119-1,"n/a")</f>
        <v>-0.6386292834890965</v>
      </c>
      <c r="D120" s="2">
        <f>IF(AND(ISNUMBER(D118),ISNUMBER(D119)),D118/D119-1,"n/a")</f>
        <v>-0.5267580716497124</v>
      </c>
      <c r="E120" s="2">
        <f>IF(AND(ISNUMBER(E118),ISNUMBER(E119)),E118/E119-1,"n/a")</f>
        <v>-0.5330724070450099</v>
      </c>
      <c r="F120" s="2">
        <f>IF(AND(ISNUMBER(F118),ISNUMBER(F119)),F118/F119-1,"n/a")</f>
        <v>-0.46913447010576315</v>
      </c>
      <c r="G120" s="2">
        <f>IF(AND(ISNUMBER(G118),ISNUMBER(G119)),G118/G119-1,"n/a")</f>
        <v>-0.5385032537960954</v>
      </c>
      <c r="H120" s="14">
        <f>IF(AND(ISNUMBER(H118),ISNUMBER(H119)),H118/H119-1,"n/a")</f>
        <v>-0.00039285714285708373</v>
      </c>
      <c r="I120" s="1"/>
      <c r="J120" s="1"/>
      <c r="K120" s="1"/>
    </row>
    <row r="121">
      <c r="A121" s="1"/>
      <c r="B121" s="1" t="s">
        <v>170</v>
      </c>
      <c r="C121" s="3" t="s">
        <v>26</v>
      </c>
      <c r="D121" s="3">
        <f>IF(AND(ISNUMBER(D118),ISNUMBER(C118)),D118-C118,"n/a")</f>
        <v>-25.799999999999997</v>
      </c>
      <c r="E121" s="3">
        <f>IF(AND(ISNUMBER(E118),ISNUMBER(D118)),E118-D118,"n/a")</f>
        <v>-12.299999999999983</v>
      </c>
      <c r="F121" s="3" t="s">
        <v>26</v>
      </c>
      <c r="G121" s="3">
        <f>IF(AND(ISNUMBER(G118),ISNUMBER(E118)),G118-E118,"n/a")</f>
        <v>34.19999999999999</v>
      </c>
      <c r="H121" s="25">
        <f>IF(AND(ISNUMBER(H118),ISNUMBER(G118)),H118-G118,"n/a")</f>
        <v>3.9318999999999846</v>
      </c>
      <c r="I121" s="1"/>
      <c r="J121" s="1"/>
      <c r="K121" s="1"/>
    </row>
    <row r="122">
      <c r="A122" s="1"/>
      <c r="B122" s="1" t="s">
        <v>171</v>
      </c>
      <c r="C122" s="3">
        <v>164</v>
      </c>
      <c r="D122" s="3">
        <v>205.3</v>
      </c>
      <c r="E122" s="3">
        <v>204.3</v>
      </c>
      <c r="F122" s="3">
        <v>742.3</v>
      </c>
      <c r="G122" s="3">
        <v>96.1</v>
      </c>
      <c r="H122" s="25">
        <f>C123</f>
        <v>54.8</v>
      </c>
      <c r="I122" s="1"/>
      <c r="J122" s="1" t="s">
        <v>160</v>
      </c>
      <c r="K122" s="1"/>
    </row>
    <row r="123">
      <c r="A123" s="1"/>
      <c r="B123" s="12" t="s">
        <v>172</v>
      </c>
      <c r="C123" s="22">
        <v>54.8</v>
      </c>
      <c r="D123" s="22">
        <v>106.1</v>
      </c>
      <c r="E123" s="22">
        <v>74.9</v>
      </c>
      <c r="F123" s="22">
        <v>331.9</v>
      </c>
      <c r="G123" s="22">
        <v>64.1</v>
      </c>
      <c r="H123" s="42">
        <f>H56+H118</f>
        <v>58.77689999999998</v>
      </c>
      <c r="I123" s="1"/>
      <c r="J123" s="1" t="s">
        <v>160</v>
      </c>
      <c r="K123" s="1"/>
    </row>
    <row r="124">
      <c r="A124" s="1"/>
      <c r="B124" s="7" t="s">
        <v>79</v>
      </c>
      <c r="C124" s="2">
        <f>IF(AND(ISNUMBER(C123),ISNUMBER(C122)),IF(C122&lt;=0,"n/m",C123/C122-1),"n/a")</f>
        <v>-0.6658536585365854</v>
      </c>
      <c r="D124" s="2">
        <f>IF(AND(ISNUMBER(D123),ISNUMBER(D122)),IF(D122&lt;=0,"n/m",D123/D122-1),"n/a")</f>
        <v>-0.4831953239162202</v>
      </c>
      <c r="E124" s="2">
        <f>IF(AND(ISNUMBER(E123),ISNUMBER(E122)),IF(E122&lt;=0,"n/m",E123/E122-1),"n/a")</f>
        <v>-0.6333822809593734</v>
      </c>
      <c r="F124" s="2">
        <f>IF(AND(ISNUMBER(F123),ISNUMBER(F122)),IF(F122&lt;=0,"n/m",F123/F122-1),"n/a")</f>
        <v>-0.5528761956082446</v>
      </c>
      <c r="G124" s="2">
        <f>IF(AND(ISNUMBER(G123),ISNUMBER(G122)),IF(G122&lt;=0,"n/m",G123/G122-1),"n/a")</f>
        <v>-0.3329864724245578</v>
      </c>
      <c r="H124" s="14">
        <f>IF(AND(ISNUMBER(H123),ISNUMBER(H122)),IF(H122&lt;=0,"n/m",H123/H122-1),"n/a")</f>
        <v>0.0725711678832115</v>
      </c>
      <c r="I124" s="1"/>
      <c r="J124" s="1"/>
      <c r="K124" s="1"/>
    </row>
    <row r="125">
      <c r="A125" s="1"/>
      <c r="B125" s="1" t="s">
        <v>170</v>
      </c>
      <c r="C125" s="3" t="s">
        <v>26</v>
      </c>
      <c r="D125" s="3">
        <f>IF(AND(ISNUMBER(D123),ISNUMBER(C123)),D123-C123,"n/a")</f>
        <v>51.3</v>
      </c>
      <c r="E125" s="3">
        <f>IF(AND(ISNUMBER(E123),ISNUMBER(D123)),E123-D123,"n/a")</f>
        <v>-31.19999999999999</v>
      </c>
      <c r="F125" s="3" t="s">
        <v>26</v>
      </c>
      <c r="G125" s="3">
        <f>IF(AND(ISNUMBER(G123),ISNUMBER(E123)),G123-E123,"n/a")</f>
        <v>-10.800000000000011</v>
      </c>
      <c r="H125" s="25">
        <f>IF(AND(ISNUMBER(H123),ISNUMBER(G123)),H123-G123,"n/a")</f>
        <v>-5.323100000000011</v>
      </c>
      <c r="I125" s="1"/>
      <c r="J125" s="1"/>
      <c r="K125" s="1"/>
    </row>
    <row r="126">
      <c r="A126" s="1"/>
      <c r="B126" s="7" t="s">
        <v>173</v>
      </c>
      <c r="C126" s="2">
        <f>C123/C56</f>
        <v>0.4029411764705882</v>
      </c>
      <c r="D126" s="2">
        <f>D123/D56</f>
        <v>0.49788831534490846</v>
      </c>
      <c r="E126" s="2">
        <f>E123/E56</f>
        <v>0.3856848609680742</v>
      </c>
      <c r="F126" s="2">
        <f>F123/F56</f>
        <v>0.402889050740471</v>
      </c>
      <c r="G126" s="2">
        <f>G123/G56</f>
        <v>0.4296246648793566</v>
      </c>
      <c r="H126" s="14">
        <v>0.42</v>
      </c>
      <c r="I126" s="1"/>
      <c r="J126" s="1"/>
      <c r="K126" s="1"/>
    </row>
    <row r="127">
      <c r="A127" s="1"/>
      <c r="B127" s="7" t="s">
        <v>174</v>
      </c>
      <c r="C127" s="2">
        <f>IF(AND(ISNUMBER(C122),ISNUMBER(C55)),IF(C55=0,"n/a",C122/C55),"n/a")</f>
        <v>0.42191921790583997</v>
      </c>
      <c r="D127" s="2">
        <f>IF(AND(ISNUMBER(D122),ISNUMBER(D55)),IF(D55=0,"n/a",D122/D55),"n/a")</f>
        <v>0.47589244320815954</v>
      </c>
      <c r="E127" s="2">
        <f>IF(AND(ISNUMBER(E122),ISNUMBER(E55)),IF(E55=0,"n/a",E122/E55),"n/a")</f>
        <v>0.4443236189647673</v>
      </c>
      <c r="F127" s="2">
        <f>IF(AND(ISNUMBER(F122),ISNUMBER(F55)),IF(F55=0,"n/a",F122/F55),"n/a")</f>
        <v>0.4447839894541314</v>
      </c>
      <c r="G127" s="2">
        <f>IF(AND(ISNUMBER(G122),ISNUMBER(G55)),IF(G55=0,"n/a",G122/G55),"n/a")</f>
        <v>0.342602495543672</v>
      </c>
      <c r="H127" s="14">
        <f>IF(AND(ISNUMBER(H122),ISNUMBER(H55)),IF(H55=0,"n/a",H122/H55),"n/a")</f>
        <v>0.4029411764705882</v>
      </c>
      <c r="I127" s="1"/>
      <c r="J127" s="1"/>
      <c r="K127" s="1"/>
    </row>
    <row r="128">
      <c r="A128" s="1"/>
      <c r="B128" s="7" t="s">
        <v>175</v>
      </c>
      <c r="C128" s="17">
        <f>IF(AND(ISNUMBER(C126),ISNUMBER(C127)),(C126-C127)*10000,"n/a")</f>
        <v>-189.7804143525178</v>
      </c>
      <c r="D128" s="17">
        <f>IF(AND(ISNUMBER(D126),ISNUMBER(D127)),(D126-D127)*10000,"n/a")</f>
        <v>219.95872136748918</v>
      </c>
      <c r="E128" s="17">
        <f>IF(AND(ISNUMBER(E126),ISNUMBER(E127)),(E126-E127)*10000,"n/a")</f>
        <v>-586.3875799669311</v>
      </c>
      <c r="F128" s="17">
        <f>IF(AND(ISNUMBER(F126),ISNUMBER(F127)),(F126-F127)*10000,"n/a")</f>
        <v>-418.949387136604</v>
      </c>
      <c r="G128" s="17">
        <f>IF(AND(ISNUMBER(G126),ISNUMBER(G127)),(G126-G127)*10000,"n/a")</f>
        <v>870.2216933568458</v>
      </c>
      <c r="H128" s="16">
        <f>IF(AND(ISNUMBER(H126),ISNUMBER(H127)),(H126-H127)*10000,"n/a")</f>
        <v>170.58823529411794</v>
      </c>
      <c r="I128" s="1"/>
      <c r="J128" s="1"/>
      <c r="K128" s="1"/>
    </row>
    <row r="129">
      <c r="A129" s="1"/>
      <c r="B129" s="7" t="s">
        <v>112</v>
      </c>
      <c r="C129" s="17" t="s">
        <v>26</v>
      </c>
      <c r="D129" s="17">
        <f>IF(AND(ISNUMBER(D126),ISNUMBER(C126)),(D126-C126)*10000,"n/a")</f>
        <v>949.4713887432027</v>
      </c>
      <c r="E129" s="17">
        <f>IF(AND(ISNUMBER(E126),ISNUMBER(D126)),(E126-D126)*10000,"n/a")</f>
        <v>-1122.0345437683427</v>
      </c>
      <c r="F129" s="17" t="s">
        <v>26</v>
      </c>
      <c r="G129" s="17">
        <f>IF(AND(ISNUMBER(G126),ISNUMBER(E126)),(G126-E126)*10000,"n/a")</f>
        <v>439.3980391128238</v>
      </c>
      <c r="H129" s="16">
        <f>IF(AND(ISNUMBER(H126),ISNUMBER(G126)),(H126-G126)*10000,"n/a")</f>
        <v>-96.24664879356592</v>
      </c>
      <c r="I129" s="1"/>
      <c r="J129" s="1"/>
      <c r="K129" s="1"/>
    </row>
    <row r="130">
      <c r="A130" s="1"/>
      <c r="B130" s="1" t="s">
        <v>176</v>
      </c>
      <c r="C130" s="3"/>
      <c r="D130" s="3">
        <v>-74.8</v>
      </c>
      <c r="E130" s="3"/>
      <c r="F130" s="3"/>
      <c r="G130" s="3"/>
      <c r="H130" s="25"/>
      <c r="I130" s="1"/>
      <c r="J130" s="1" t="s">
        <v>177</v>
      </c>
      <c r="K130" s="1"/>
    </row>
    <row r="131">
      <c r="A131" s="1"/>
      <c r="B131" s="1" t="s">
        <v>182</v>
      </c>
      <c r="C131" s="3">
        <v>-20</v>
      </c>
      <c r="D131" s="3">
        <v>-19.9</v>
      </c>
      <c r="E131" s="3">
        <f>F131-D130</f>
        <v>-17.700000000000003</v>
      </c>
      <c r="F131" s="3">
        <v>-92.5</v>
      </c>
      <c r="G131" s="3">
        <v>-16.4</v>
      </c>
      <c r="H131" s="25">
        <v>-18</v>
      </c>
      <c r="I131" s="1"/>
      <c r="J131" s="1" t="s">
        <v>262</v>
      </c>
      <c r="K131" s="1"/>
    </row>
    <row r="132">
      <c r="A132" s="1"/>
      <c r="B132" s="1" t="s">
        <v>178</v>
      </c>
      <c r="C132" s="3"/>
      <c r="D132" s="3"/>
      <c r="E132" s="3">
        <v>-124.9</v>
      </c>
      <c r="F132" s="3"/>
      <c r="G132" s="3"/>
      <c r="H132" s="25"/>
      <c r="I132" s="1"/>
      <c r="J132" s="1" t="s">
        <v>179</v>
      </c>
      <c r="K132" s="1"/>
    </row>
    <row r="133">
      <c r="A133" s="1"/>
      <c r="B133" s="1" t="s">
        <v>180</v>
      </c>
      <c r="C133" s="3">
        <v>-36</v>
      </c>
      <c r="D133" s="3">
        <v>-48</v>
      </c>
      <c r="E133" s="3">
        <f>F133-E132</f>
        <v>-37.29999999999998</v>
      </c>
      <c r="F133" s="3">
        <v>-162.2</v>
      </c>
      <c r="G133" s="3">
        <v>-34.9</v>
      </c>
      <c r="H133" s="25">
        <f>C131</f>
        <v>-20</v>
      </c>
      <c r="I133" s="1"/>
      <c r="J133" s="1" t="s">
        <v>181</v>
      </c>
      <c r="K133" s="1"/>
    </row>
    <row r="134">
      <c r="A134" s="1"/>
      <c r="B134" s="7" t="s">
        <v>79</v>
      </c>
      <c r="C134" s="2">
        <f>IF(AND(ISNUMBER(C131),ISNUMBER(C133)),C131/C133-1,"n/a")</f>
        <v>-0.4444444444444444</v>
      </c>
      <c r="D134" s="2">
        <f>IF(AND(ISNUMBER(D131),ISNUMBER(D133)),D131/D133-1,"n/a")</f>
        <v>-0.5854166666666667</v>
      </c>
      <c r="E134" s="2">
        <f>IF(AND(ISNUMBER(E131),ISNUMBER(E133)),E131/E133-1,"n/a")</f>
        <v>-0.525469168900804</v>
      </c>
      <c r="F134" s="2">
        <f>IF(AND(ISNUMBER(F131),ISNUMBER(F133)),F131/F133-1,"n/a")</f>
        <v>-0.42971639950678175</v>
      </c>
      <c r="G134" s="2">
        <f>IF(AND(ISNUMBER(G131),ISNUMBER(G133)),G131/G133-1,"n/a")</f>
        <v>-0.5300859598853869</v>
      </c>
      <c r="H134" s="14">
        <f>IF(AND(ISNUMBER(H131),ISNUMBER(H133)),H131/H133-1,"n/a")</f>
        <v>-0.09999999999999998</v>
      </c>
      <c r="I134" s="1"/>
      <c r="J134" s="1"/>
      <c r="K134" s="1"/>
    </row>
    <row r="135">
      <c r="A135" s="1"/>
      <c r="B135" s="1" t="s">
        <v>170</v>
      </c>
      <c r="C135" s="3" t="s">
        <v>26</v>
      </c>
      <c r="D135" s="3">
        <f>IF(AND(ISNUMBER(D131),ISNUMBER(C131)),D131-C131,"n/a")</f>
        <v>0.10000000000000142</v>
      </c>
      <c r="E135" s="3">
        <f>IF(AND(ISNUMBER(E131),ISNUMBER(D131)),E131-D131,"n/a")</f>
        <v>2.1999999999999957</v>
      </c>
      <c r="F135" s="3" t="s">
        <v>26</v>
      </c>
      <c r="G135" s="3">
        <f>IF(AND(ISNUMBER(G131),ISNUMBER(E131)),G131-E131,"n/a")</f>
        <v>1.3000000000000043</v>
      </c>
      <c r="H135" s="25">
        <f>IF(AND(ISNUMBER(H131),ISNUMBER(G131)),H131-G131,"n/a")</f>
        <v>-1.6000000000000014</v>
      </c>
      <c r="I135" s="1"/>
      <c r="J135" s="1"/>
      <c r="K135" s="1"/>
    </row>
    <row r="136">
      <c r="A136" s="1"/>
      <c r="B136" s="7" t="s">
        <v>184</v>
      </c>
      <c r="C136" s="2">
        <f>IF(AND(ISNUMBER(C131),ISNUMBER(C56)),IF(C56=0,"n/a",-C131/C56),"n/a")</f>
        <v>0.14705882352941177</v>
      </c>
      <c r="D136" s="2">
        <f>IF(AND(ISNUMBER(D131),ISNUMBER(D56)),IF(D56=0,"n/a",-D131/D56),"n/a")</f>
        <v>0.09338338808071328</v>
      </c>
      <c r="E136" s="2">
        <f>IF(AND(ISNUMBER(E131),ISNUMBER(E56)),IF(E56=0,"n/a",-E131/E56),"n/a")</f>
        <v>0.09114315139031928</v>
      </c>
      <c r="F136" s="2">
        <f>IF(AND(ISNUMBER(F131),ISNUMBER(F56)),IF(F56=0,"n/a",-F131/F56),"n/a")</f>
        <v>0.11228453508133042</v>
      </c>
      <c r="G136" s="2">
        <f>IF(AND(ISNUMBER(G131),ISNUMBER(G56)),IF(G56=0,"n/a",-G131/G56),"n/a")</f>
        <v>0.10991957104557641</v>
      </c>
      <c r="H136" s="14">
        <f>IF(AND(ISNUMBER(H131),ISNUMBER(H56)),IF(H56=0,"n/a",-H131/H56),"n/a")</f>
        <v>0.1286219586266033</v>
      </c>
      <c r="I136" s="1"/>
      <c r="J136" s="1"/>
      <c r="K136" s="1"/>
    </row>
    <row r="137">
      <c r="A137" s="1"/>
      <c r="B137" s="7" t="s">
        <v>185</v>
      </c>
      <c r="C137" s="2">
        <f>IF(AND(ISNUMBER(C133),ISNUMBER(C55)),IF(C55=0,"n/a",-C133/C55),"n/a")</f>
        <v>0.0926164136866478</v>
      </c>
      <c r="D137" s="2">
        <f>IF(AND(ISNUMBER(D133),ISNUMBER(D55)),IF(D55=0,"n/a",-D133/D55),"n/a")</f>
        <v>0.11126564673157163</v>
      </c>
      <c r="E137" s="2">
        <f>IF(AND(ISNUMBER(E133),ISNUMBER(E55)),IF(E55=0,"n/a",-E133/E55),"n/a")</f>
        <v>0.08112222705524137</v>
      </c>
      <c r="F137" s="2">
        <f>IF(AND(ISNUMBER(F133),ISNUMBER(F55)),IF(F55=0,"n/a",-F133/F55),"n/a")</f>
        <v>0.0971897657139433</v>
      </c>
      <c r="G137" s="2">
        <f>IF(AND(ISNUMBER(G133),ISNUMBER(G55)),IF(G55=0,"n/a",-G133/G55),"n/a")</f>
        <v>0.12442067736185383</v>
      </c>
      <c r="H137" s="14">
        <f>IF(AND(ISNUMBER(H133),ISNUMBER(H55)),IF(H55=0,"n/a",-H133/H55),"n/a")</f>
        <v>0.14705882352941177</v>
      </c>
      <c r="I137" s="1"/>
      <c r="J137" s="1"/>
      <c r="K137" s="1"/>
    </row>
    <row r="138">
      <c r="A138" s="1"/>
      <c r="B138" s="7" t="s">
        <v>175</v>
      </c>
      <c r="C138" s="17">
        <f>IF(AND(ISNUMBER(C136),ISNUMBER(C137)),(C136-C137)*10000,"n/a")</f>
        <v>544.4240984276397</v>
      </c>
      <c r="D138" s="17">
        <f>IF(AND(ISNUMBER(D136),ISNUMBER(D137)),(D136-D137)*10000,"n/a")</f>
        <v>-178.82258650858353</v>
      </c>
      <c r="E138" s="17">
        <f>IF(AND(ISNUMBER(E136),ISNUMBER(E137)),(E136-E137)*10000,"n/a")</f>
        <v>100.2092433507791</v>
      </c>
      <c r="F138" s="17">
        <f>IF(AND(ISNUMBER(F136),ISNUMBER(F137)),(F136-F137)*10000,"n/a")</f>
        <v>150.94769367387116</v>
      </c>
      <c r="G138" s="17">
        <f>IF(AND(ISNUMBER(G136),ISNUMBER(G137)),(G136-G137)*10000,"n/a")</f>
        <v>-145.0110631627742</v>
      </c>
      <c r="H138" s="16">
        <f>IF(AND(ISNUMBER(H136),ISNUMBER(H137)),(H136-H137)*10000,"n/a")</f>
        <v>-184.36864902808463</v>
      </c>
      <c r="I138" s="1"/>
      <c r="J138" s="1"/>
      <c r="K138" s="1"/>
    </row>
    <row r="139">
      <c r="A139" s="1"/>
      <c r="B139" s="7" t="s">
        <v>112</v>
      </c>
      <c r="C139" s="17" t="s">
        <v>26</v>
      </c>
      <c r="D139" s="17">
        <f>IF(AND(ISNUMBER(D136),ISNUMBER(C136)),(D136-C136)*10000,"n/a")</f>
        <v>-536.7543544869849</v>
      </c>
      <c r="E139" s="17">
        <f>IF(AND(ISNUMBER(E136),ISNUMBER(D136)),(E136-D136)*10000,"n/a")</f>
        <v>-22.402366903939985</v>
      </c>
      <c r="F139" s="17" t="s">
        <v>26</v>
      </c>
      <c r="G139" s="17">
        <f>IF(AND(ISNUMBER(G136),ISNUMBER(E136)),(G136-E136)*10000,"n/a")</f>
        <v>187.7641965525713</v>
      </c>
      <c r="H139" s="16">
        <f>IF(AND(ISNUMBER(H136),ISNUMBER(G136)),(H136-G136)*10000,"n/a")</f>
        <v>187.02387581026895</v>
      </c>
      <c r="I139" s="1"/>
      <c r="J139" s="1"/>
      <c r="K139" s="1"/>
    </row>
    <row r="140">
      <c r="A140" s="1"/>
      <c r="B140" s="1" t="s">
        <v>186</v>
      </c>
      <c r="C140" s="3"/>
      <c r="D140" s="3">
        <v>-174.3</v>
      </c>
      <c r="E140" s="3"/>
      <c r="F140" s="3"/>
      <c r="G140" s="3"/>
      <c r="H140" s="25"/>
      <c r="I140" s="1"/>
      <c r="J140" s="1" t="s">
        <v>177</v>
      </c>
      <c r="K140" s="1"/>
    </row>
    <row r="141">
      <c r="A141" s="1"/>
      <c r="B141" s="1" t="s">
        <v>189</v>
      </c>
      <c r="C141" s="3">
        <v>-54.6</v>
      </c>
      <c r="D141" s="3">
        <v>-52.5</v>
      </c>
      <c r="E141" s="3">
        <f>F141-D140</f>
        <v>-54.599999999999994</v>
      </c>
      <c r="F141" s="3">
        <v>-228.9</v>
      </c>
      <c r="G141" s="3">
        <v>-48.8</v>
      </c>
      <c r="H141" s="25">
        <v>-47</v>
      </c>
      <c r="I141" s="1"/>
      <c r="J141" s="1" t="s">
        <v>262</v>
      </c>
      <c r="K141" s="1"/>
    </row>
    <row r="142">
      <c r="A142" s="1"/>
      <c r="B142" s="1" t="s">
        <v>187</v>
      </c>
      <c r="C142" s="3"/>
      <c r="D142" s="3"/>
      <c r="E142" s="3">
        <v>-187.7</v>
      </c>
      <c r="F142" s="3"/>
      <c r="G142" s="3"/>
      <c r="H142" s="25"/>
      <c r="I142" s="1"/>
      <c r="J142" s="1" t="s">
        <v>179</v>
      </c>
      <c r="K142" s="1"/>
    </row>
    <row r="143">
      <c r="A143" s="1"/>
      <c r="B143" s="1" t="s">
        <v>188</v>
      </c>
      <c r="C143" s="3">
        <v>-57.5</v>
      </c>
      <c r="D143" s="3">
        <v>-62.1</v>
      </c>
      <c r="E143" s="3">
        <f>F143-E142</f>
        <v>-67.30000000000001</v>
      </c>
      <c r="F143" s="3">
        <v>-255</v>
      </c>
      <c r="G143" s="3">
        <v>-67.2</v>
      </c>
      <c r="H143" s="25">
        <f>C141</f>
        <v>-54.6</v>
      </c>
      <c r="I143" s="1"/>
      <c r="J143" s="1" t="s">
        <v>181</v>
      </c>
      <c r="K143" s="1"/>
    </row>
    <row r="144">
      <c r="A144" s="1"/>
      <c r="B144" s="7" t="s">
        <v>79</v>
      </c>
      <c r="C144" s="2">
        <f>IF(AND(ISNUMBER(C141),ISNUMBER(C143)),C141/C143-1,"n/a")</f>
        <v>-0.050434782608695605</v>
      </c>
      <c r="D144" s="2">
        <f>IF(AND(ISNUMBER(D141),ISNUMBER(D143)),D141/D143-1,"n/a")</f>
        <v>-0.15458937198067635</v>
      </c>
      <c r="E144" s="2">
        <f>IF(AND(ISNUMBER(E141),ISNUMBER(E143)),E141/E143-1,"n/a")</f>
        <v>-0.18870728083209531</v>
      </c>
      <c r="F144" s="2">
        <f>IF(AND(ISNUMBER(F141),ISNUMBER(F143)),F141/F143-1,"n/a")</f>
        <v>-0.10235294117647054</v>
      </c>
      <c r="G144" s="2">
        <f>IF(AND(ISNUMBER(G141),ISNUMBER(G143)),G141/G143-1,"n/a")</f>
        <v>-0.27380952380952384</v>
      </c>
      <c r="H144" s="14">
        <f>IF(AND(ISNUMBER(H141),ISNUMBER(H143)),H141/H143-1,"n/a")</f>
        <v>-0.13919413919413925</v>
      </c>
      <c r="I144" s="1"/>
      <c r="J144" s="1"/>
      <c r="K144" s="1"/>
    </row>
    <row r="145">
      <c r="A145" s="1"/>
      <c r="B145" s="1" t="s">
        <v>170</v>
      </c>
      <c r="C145" s="3" t="s">
        <v>26</v>
      </c>
      <c r="D145" s="3">
        <f>IF(AND(ISNUMBER(D141),ISNUMBER(C141)),D141-C141,"n/a")</f>
        <v>2.1000000000000014</v>
      </c>
      <c r="E145" s="3">
        <f>IF(AND(ISNUMBER(E141),ISNUMBER(D141)),E141-D141,"n/a")</f>
        <v>-2.0999999999999943</v>
      </c>
      <c r="F145" s="3" t="s">
        <v>26</v>
      </c>
      <c r="G145" s="3">
        <f>IF(AND(ISNUMBER(G141),ISNUMBER(E141)),G141-E141,"n/a")</f>
        <v>5.799999999999997</v>
      </c>
      <c r="H145" s="25">
        <f>IF(AND(ISNUMBER(H141),ISNUMBER(G141)),H141-G141,"n/a")</f>
        <v>1.7999999999999972</v>
      </c>
      <c r="I145" s="1"/>
      <c r="J145" s="1"/>
      <c r="K145" s="1"/>
    </row>
    <row r="146">
      <c r="A146" s="1"/>
      <c r="B146" s="7" t="s">
        <v>191</v>
      </c>
      <c r="C146" s="2">
        <f>IF(AND(ISNUMBER(C141),ISNUMBER(C56)),IF(C56=0,"n/a",-C141/C56),"n/a")</f>
        <v>0.40147058823529413</v>
      </c>
      <c r="D146" s="2">
        <f>IF(AND(ISNUMBER(D141),ISNUMBER(D56)),IF(D56=0,"n/a",-D141/D56),"n/a")</f>
        <v>0.24636320976067574</v>
      </c>
      <c r="E146" s="2">
        <f>IF(AND(ISNUMBER(E141),ISNUMBER(E56)),IF(E56=0,"n/a",-E141/E56),"n/a")</f>
        <v>0.2811534500514933</v>
      </c>
      <c r="F146" s="2">
        <f>IF(AND(ISNUMBER(F141),ISNUMBER(F56)),IF(F56=0,"n/a",-F141/F56),"n/a")</f>
        <v>0.2778587035688274</v>
      </c>
      <c r="G146" s="2">
        <f>IF(AND(ISNUMBER(G141),ISNUMBER(G56)),IF(G56=0,"n/a",-G141/G56),"n/a")</f>
        <v>0.32707774798927614</v>
      </c>
      <c r="H146" s="14">
        <f>IF(AND(ISNUMBER(H141),ISNUMBER(H56)),IF(H56=0,"n/a",-H141/H56),"n/a")</f>
        <v>0.33584622530279756</v>
      </c>
      <c r="I146" s="1"/>
      <c r="J146" s="1"/>
      <c r="K146" s="1"/>
    </row>
    <row r="147">
      <c r="A147" s="1"/>
      <c r="B147" s="7" t="s">
        <v>192</v>
      </c>
      <c r="C147" s="2">
        <f>IF(AND(ISNUMBER(C143),ISNUMBER(C55)),IF(C55=0,"n/a",-C143/C55),"n/a")</f>
        <v>0.14792899408284024</v>
      </c>
      <c r="D147" s="2">
        <f>IF(AND(ISNUMBER(D143),ISNUMBER(D55)),IF(D55=0,"n/a",-D143/D55),"n/a")</f>
        <v>0.1439499304589708</v>
      </c>
      <c r="E147" s="2">
        <f>IF(AND(ISNUMBER(E143),ISNUMBER(E55)),IF(E55=0,"n/a",-E143/E55),"n/a")</f>
        <v>0.14636798608090476</v>
      </c>
      <c r="F147" s="2">
        <f>IF(AND(ISNUMBER(F143),ISNUMBER(F55)),IF(F55=0,"n/a",-F143/F55),"n/a")</f>
        <v>0.15279525435915872</v>
      </c>
      <c r="G147" s="2">
        <f>IF(AND(ISNUMBER(G143),ISNUMBER(G55)),IF(G55=0,"n/a",-G143/G55),"n/a")</f>
        <v>0.239572192513369</v>
      </c>
      <c r="H147" s="14">
        <f>IF(AND(ISNUMBER(H143),ISNUMBER(H55)),IF(H55=0,"n/a",-H143/H55),"n/a")</f>
        <v>0.40147058823529413</v>
      </c>
      <c r="I147" s="1"/>
      <c r="J147" s="1"/>
      <c r="K147" s="1"/>
    </row>
    <row r="148">
      <c r="A148" s="1"/>
      <c r="B148" s="7" t="s">
        <v>175</v>
      </c>
      <c r="C148" s="17">
        <f>IF(AND(ISNUMBER(C146),ISNUMBER(C147)),(C146-C147)*10000,"n/a")</f>
        <v>2535.415941524539</v>
      </c>
      <c r="D148" s="17">
        <f>IF(AND(ISNUMBER(D146),ISNUMBER(D147)),(D146-D147)*10000,"n/a")</f>
        <v>1024.1327930170494</v>
      </c>
      <c r="E148" s="17">
        <f>IF(AND(ISNUMBER(E146),ISNUMBER(E147)),(E146-E147)*10000,"n/a")</f>
        <v>1347.8546397058851</v>
      </c>
      <c r="F148" s="17">
        <f>IF(AND(ISNUMBER(F146),ISNUMBER(F147)),(F146-F147)*10000,"n/a")</f>
        <v>1250.634492096687</v>
      </c>
      <c r="G148" s="17">
        <f>IF(AND(ISNUMBER(G146),ISNUMBER(G147)),(G146-G147)*10000,"n/a")</f>
        <v>875.0555547590714</v>
      </c>
      <c r="H148" s="16">
        <f>IF(AND(ISNUMBER(H146),ISNUMBER(H147)),(H146-H147)*10000,"n/a")</f>
        <v>-656.2436293249657</v>
      </c>
      <c r="I148" s="1"/>
      <c r="J148" s="1"/>
      <c r="K148" s="1"/>
    </row>
    <row r="149">
      <c r="A149" s="1"/>
      <c r="B149" s="7" t="s">
        <v>112</v>
      </c>
      <c r="C149" s="17" t="s">
        <v>26</v>
      </c>
      <c r="D149" s="17">
        <f>IF(AND(ISNUMBER(D146),ISNUMBER(C146)),(D146-C146)*10000,"n/a")</f>
        <v>-1551.073784746184</v>
      </c>
      <c r="E149" s="17">
        <f>IF(AND(ISNUMBER(E146),ISNUMBER(D146)),(E146-D146)*10000,"n/a")</f>
        <v>347.90240290817536</v>
      </c>
      <c r="F149" s="17" t="s">
        <v>26</v>
      </c>
      <c r="G149" s="17">
        <f>IF(AND(ISNUMBER(G146),ISNUMBER(E146)),(G146-E146)*10000,"n/a")</f>
        <v>459.24297937782853</v>
      </c>
      <c r="H149" s="16">
        <f>IF(AND(ISNUMBER(H146),ISNUMBER(G146)),(H146-G146)*10000,"n/a")</f>
        <v>87.68477313521427</v>
      </c>
      <c r="I149" s="1"/>
      <c r="J149" s="1"/>
      <c r="K149" s="1"/>
    </row>
    <row r="150">
      <c r="A150" s="1"/>
      <c r="B150" s="1" t="s">
        <v>193</v>
      </c>
      <c r="C150" s="3">
        <v>70.5</v>
      </c>
      <c r="D150" s="3">
        <v>95.2</v>
      </c>
      <c r="E150" s="3">
        <v>99.7</v>
      </c>
      <c r="F150" s="3">
        <v>325.1</v>
      </c>
      <c r="G150" s="3">
        <v>-6</v>
      </c>
      <c r="H150" s="25">
        <f>C151</f>
        <v>-19.800000000000004</v>
      </c>
      <c r="I150" s="1"/>
      <c r="J150" s="1" t="s">
        <v>160</v>
      </c>
      <c r="K150" s="1"/>
    </row>
    <row r="151">
      <c r="A151" s="1"/>
      <c r="B151" s="12" t="s">
        <v>263</v>
      </c>
      <c r="C151" s="22">
        <f>C123+C131+C141</f>
        <v>-19.800000000000004</v>
      </c>
      <c r="D151" s="22">
        <f>D123+D131+D141</f>
        <v>33.69999999999999</v>
      </c>
      <c r="E151" s="22">
        <f>E123+E131+E141</f>
        <v>2.6000000000000085</v>
      </c>
      <c r="F151" s="22">
        <f>F123+F131+F141</f>
        <v>10.499999999999972</v>
      </c>
      <c r="G151" s="22">
        <f>G123+G131+G141</f>
        <v>-1.1000000000000014</v>
      </c>
      <c r="H151" s="42">
        <f>H123+H131+H141</f>
        <v>-6.2231000000000165</v>
      </c>
      <c r="I151" s="1"/>
      <c r="J151" s="1"/>
      <c r="K151" s="1"/>
    </row>
    <row r="152">
      <c r="A152" s="1"/>
      <c r="B152" s="7" t="s">
        <v>79</v>
      </c>
      <c r="C152" s="2">
        <f>IF(AND(ISNUMBER(C151),ISNUMBER(C150)),IF(C150&lt;=0,"n/m",C151/C150-1),"n/a")</f>
        <v>-1.2808510638297874</v>
      </c>
      <c r="D152" s="2">
        <f>IF(AND(ISNUMBER(D151),ISNUMBER(D150)),IF(D150&lt;=0,"n/m",D151/D150-1),"n/a")</f>
        <v>-0.6460084033613447</v>
      </c>
      <c r="E152" s="2">
        <f>IF(AND(ISNUMBER(E151),ISNUMBER(E150)),IF(E150&lt;=0,"n/m",E151/E150-1),"n/a")</f>
        <v>-0.9739217652958876</v>
      </c>
      <c r="F152" s="2">
        <f>IF(AND(ISNUMBER(F151),ISNUMBER(F150)),IF(F150&lt;=0,"n/m",F151/F150-1),"n/a")</f>
        <v>-0.9677022454629346</v>
      </c>
      <c r="G152" s="2" t="str">
        <f>IF(AND(ISNUMBER(G151),ISNUMBER(G150)),IF(G150&lt;=0,"n/m",G151/G150-1),"n/a")</f>
        <v>n/m</v>
      </c>
      <c r="H152" s="14" t="str">
        <f>IF(AND(ISNUMBER(H151),ISNUMBER(H150)),IF(H150&lt;=0,"n/m",H151/H150-1),"n/a")</f>
        <v>n/m</v>
      </c>
      <c r="I152" s="1"/>
      <c r="J152" s="1"/>
      <c r="K152" s="1"/>
    </row>
    <row r="153">
      <c r="A153" s="1"/>
      <c r="B153" s="1" t="s">
        <v>170</v>
      </c>
      <c r="C153" s="3" t="s">
        <v>26</v>
      </c>
      <c r="D153" s="3">
        <f>IF(AND(ISNUMBER(D151),ISNUMBER(C151)),D151-C151,"n/a")</f>
        <v>53.49999999999999</v>
      </c>
      <c r="E153" s="3">
        <f>IF(AND(ISNUMBER(E151),ISNUMBER(D151)),E151-D151,"n/a")</f>
        <v>-31.09999999999998</v>
      </c>
      <c r="F153" s="3" t="s">
        <v>26</v>
      </c>
      <c r="G153" s="3">
        <f>IF(AND(ISNUMBER(G151),ISNUMBER(E151)),G151-E151,"n/a")</f>
        <v>-3.70000000000001</v>
      </c>
      <c r="H153" s="25">
        <f>IF(AND(ISNUMBER(H151),ISNUMBER(G151)),H151-G151,"n/a")</f>
        <v>-5.123100000000015</v>
      </c>
      <c r="I153" s="1"/>
      <c r="J153" s="1"/>
      <c r="K153" s="1"/>
    </row>
    <row r="154">
      <c r="A154" s="1"/>
      <c r="B154" s="7" t="s">
        <v>195</v>
      </c>
      <c r="C154" s="2">
        <f>IF(AND(ISNUMBER(C151),ISNUMBER(C56)),IF(C56=0,"n/a",C151/C56),"n/a")</f>
        <v>-0.14558823529411768</v>
      </c>
      <c r="D154" s="2">
        <f>IF(AND(ISNUMBER(D151),ISNUMBER(D56)),IF(D56=0,"n/a",D151/D56),"n/a")</f>
        <v>0.15814171750351944</v>
      </c>
      <c r="E154" s="2">
        <f>IF(AND(ISNUMBER(E151),ISNUMBER(E56)),IF(E56=0,"n/a",E151/E56),"n/a")</f>
        <v>0.013388259526261631</v>
      </c>
      <c r="F154" s="2">
        <f>IF(AND(ISNUMBER(F151),ISNUMBER(F56)),IF(F56=0,"n/a",F151/F56),"n/a")</f>
        <v>0.01274581209031315</v>
      </c>
      <c r="G154" s="2">
        <f>IF(AND(ISNUMBER(G151),ISNUMBER(G56)),IF(G56=0,"n/a",G151/G56),"n/a")</f>
        <v>-0.007372654155495989</v>
      </c>
      <c r="H154" s="14">
        <f>IF(AND(ISNUMBER(H151),ISNUMBER(H56)),IF(H56=0,"n/a",H151/H56),"n/a")</f>
        <v>-0.04446818392940095</v>
      </c>
      <c r="I154" s="1"/>
      <c r="J154" s="1"/>
      <c r="K154" s="1"/>
    </row>
    <row r="155">
      <c r="A155" s="1"/>
      <c r="B155" s="7" t="s">
        <v>196</v>
      </c>
      <c r="C155" s="2">
        <f>IF(AND(ISNUMBER(C150),ISNUMBER(C55)),IF(C55=0,"n/a",C150/C55),"n/a")</f>
        <v>0.18137381013635195</v>
      </c>
      <c r="D155" s="2">
        <f>IF(AND(ISNUMBER(D150),ISNUMBER(D55)),IF(D55=0,"n/a",D150/D55),"n/a")</f>
        <v>0.22067686601761707</v>
      </c>
      <c r="E155" s="2">
        <f>IF(AND(ISNUMBER(E150),ISNUMBER(E55)),IF(E55=0,"n/a",E150/E55),"n/a")</f>
        <v>0.21683340582862115</v>
      </c>
      <c r="F155" s="2">
        <f>IF(AND(ISNUMBER(F150),ISNUMBER(F55)),IF(F55=0,"n/a",F150/F55),"n/a")</f>
        <v>0.19479896938102942</v>
      </c>
      <c r="G155" s="2">
        <f>IF(AND(ISNUMBER(G150),ISNUMBER(G55)),IF(G55=0,"n/a",G150/G55),"n/a")</f>
        <v>-0.0213903743315508</v>
      </c>
      <c r="H155" s="14">
        <f>IF(AND(ISNUMBER(H150),ISNUMBER(H55)),IF(H55=0,"n/a",H150/H55),"n/a")</f>
        <v>-0.14558823529411768</v>
      </c>
      <c r="I155" s="1"/>
      <c r="J155" s="1"/>
      <c r="K155" s="1"/>
    </row>
    <row r="156">
      <c r="A156" s="1"/>
      <c r="B156" s="7" t="s">
        <v>175</v>
      </c>
      <c r="C156" s="17">
        <f>IF(AND(ISNUMBER(C154),ISNUMBER(C155)),(C154-C155)*10000,"n/a")</f>
        <v>-3269.6204543046965</v>
      </c>
      <c r="D156" s="17">
        <f>IF(AND(ISNUMBER(D154),ISNUMBER(D155)),(D154-D155)*10000,"n/a")</f>
        <v>-625.3514851409764</v>
      </c>
      <c r="E156" s="17">
        <f>IF(AND(ISNUMBER(E154),ISNUMBER(E155)),(E154-E155)*10000,"n/a")</f>
        <v>-2034.4514630235951</v>
      </c>
      <c r="F156" s="17">
        <f>IF(AND(ISNUMBER(F154),ISNUMBER(F155)),(F154-F155)*10000,"n/a")</f>
        <v>-1820.5315729071629</v>
      </c>
      <c r="G156" s="17">
        <f>IF(AND(ISNUMBER(G154),ISNUMBER(G155)),(G154-G155)*10000,"n/a")</f>
        <v>140.17720176054812</v>
      </c>
      <c r="H156" s="16">
        <f>IF(AND(ISNUMBER(H154),ISNUMBER(H155)),(H154-H155)*10000,"n/a")</f>
        <v>1011.2005136471673</v>
      </c>
      <c r="I156" s="1"/>
      <c r="J156" s="1"/>
      <c r="K156" s="1"/>
    </row>
    <row r="157">
      <c r="A157" s="1"/>
      <c r="B157" s="7" t="s">
        <v>112</v>
      </c>
      <c r="C157" s="17" t="s">
        <v>26</v>
      </c>
      <c r="D157" s="17">
        <f>IF(AND(ISNUMBER(D154),ISNUMBER(C154)),(D154-C154)*10000,"n/a")</f>
        <v>3037.2995279763713</v>
      </c>
      <c r="E157" s="17">
        <f>IF(AND(ISNUMBER(E154),ISNUMBER(D154)),(E154-D154)*10000,"n/a")</f>
        <v>-1447.5345797725781</v>
      </c>
      <c r="F157" s="17" t="s">
        <v>26</v>
      </c>
      <c r="G157" s="17">
        <f>IF(AND(ISNUMBER(G154),ISNUMBER(E154)),(G154-E154)*10000,"n/a")</f>
        <v>-207.60913681757623</v>
      </c>
      <c r="H157" s="16">
        <f>IF(AND(ISNUMBER(H154),ISNUMBER(G154)),(H154-G154)*10000,"n/a")</f>
        <v>-370.9552977390496</v>
      </c>
      <c r="I157" s="1"/>
      <c r="J157" s="1"/>
      <c r="K157" s="1"/>
    </row>
    <row r="158">
      <c r="A158" s="1"/>
      <c r="B158" s="1" t="s">
        <v>197</v>
      </c>
      <c r="C158" s="3">
        <v>-19.8</v>
      </c>
      <c r="D158" s="3">
        <v>33.7</v>
      </c>
      <c r="E158" s="3">
        <v>2.6</v>
      </c>
      <c r="F158" s="3">
        <v>10.5</v>
      </c>
      <c r="G158" s="3">
        <v>-1.1</v>
      </c>
      <c r="H158" s="25" t="s">
        <v>26</v>
      </c>
      <c r="I158" s="1"/>
      <c r="J158" s="1" t="s">
        <v>160</v>
      </c>
      <c r="K158" s="1"/>
    </row>
    <row r="159">
      <c r="A159" s="1"/>
      <c r="B159" s="1" t="s">
        <v>198</v>
      </c>
      <c r="C159" s="3">
        <f>ROUND(C151-C158,1)</f>
        <v>0</v>
      </c>
      <c r="D159" s="3">
        <f>ROUND(D151-D158,1)</f>
        <v>0</v>
      </c>
      <c r="E159" s="3">
        <f>ROUND(E151-E158,1)</f>
        <v>0</v>
      </c>
      <c r="F159" s="3">
        <f>ROUND(F151-F158,1)</f>
        <v>0</v>
      </c>
      <c r="G159" s="3">
        <f>ROUND(G151-G158,1)</f>
        <v>0</v>
      </c>
      <c r="H159" s="25" t="s">
        <v>26</v>
      </c>
      <c r="I159" s="1"/>
      <c r="J159" s="1"/>
      <c r="K159" s="1"/>
    </row>
    <row r="160">
      <c r="A160" s="1"/>
      <c r="B160" s="1" t="s">
        <v>264</v>
      </c>
      <c r="C160" s="3">
        <v>7.5</v>
      </c>
      <c r="D160" s="3">
        <v>24.2</v>
      </c>
      <c r="E160" s="3">
        <v>-6.9</v>
      </c>
      <c r="F160" s="3">
        <v>22.4</v>
      </c>
      <c r="G160" s="3">
        <v>0.9</v>
      </c>
      <c r="H160" s="25">
        <v>6</v>
      </c>
      <c r="I160" s="1"/>
      <c r="J160" s="1" t="s">
        <v>160</v>
      </c>
      <c r="K160" s="1"/>
    </row>
    <row r="161">
      <c r="A161" s="1"/>
      <c r="B161" s="1" t="s">
        <v>265</v>
      </c>
      <c r="C161" s="3">
        <v>5.4</v>
      </c>
      <c r="D161" s="3">
        <v>25.6</v>
      </c>
      <c r="E161" s="3">
        <v>-0.9</v>
      </c>
      <c r="F161" s="3">
        <v>30.5</v>
      </c>
      <c r="G161" s="3">
        <v>-2.4</v>
      </c>
      <c r="H161" s="25">
        <f>C160</f>
        <v>7.5</v>
      </c>
      <c r="I161" s="1"/>
      <c r="J161" s="1" t="s">
        <v>160</v>
      </c>
      <c r="K161" s="1"/>
    </row>
    <row r="162">
      <c r="A162" s="1"/>
      <c r="B162" s="7" t="s">
        <v>79</v>
      </c>
      <c r="C162" s="2">
        <f>IF(AND(ISNUMBER(C160),ISNUMBER(C161)),IF(C161&lt;=0,"n/m",C160/C161-1),"n/a")</f>
        <v>0.38888888888888884</v>
      </c>
      <c r="D162" s="2">
        <f>IF(AND(ISNUMBER(D160),ISNUMBER(D161)),IF(D161&lt;=0,"n/m",D160/D161-1),"n/a")</f>
        <v>-0.05468750000000011</v>
      </c>
      <c r="E162" s="2" t="str">
        <f>IF(AND(ISNUMBER(E160),ISNUMBER(E161)),IF(E161&lt;=0,"n/m",E160/E161-1),"n/a")</f>
        <v>n/m</v>
      </c>
      <c r="F162" s="2">
        <f>IF(AND(ISNUMBER(F160),ISNUMBER(F161)),IF(F161&lt;=0,"n/m",F160/F161-1),"n/a")</f>
        <v>-0.2655737704918033</v>
      </c>
      <c r="G162" s="2" t="str">
        <f>IF(AND(ISNUMBER(G160),ISNUMBER(G161)),IF(G161&lt;=0,"n/m",G160/G161-1),"n/a")</f>
        <v>n/m</v>
      </c>
      <c r="H162" s="14">
        <f>IF(AND(ISNUMBER(H160),ISNUMBER(H161)),IF(H161&lt;=0,"n/m",H160/H161-1),"n/a")</f>
        <v>-0.19999999999999996</v>
      </c>
      <c r="I162" s="1"/>
      <c r="J162" s="1"/>
      <c r="K162" s="1"/>
    </row>
    <row r="163">
      <c r="A163" s="1"/>
      <c r="B163" s="1" t="s">
        <v>170</v>
      </c>
      <c r="C163" s="3" t="s">
        <v>26</v>
      </c>
      <c r="D163" s="3">
        <f>IF(AND(ISNUMBER(D160),ISNUMBER(C160)),D160-C160,"n/a")</f>
        <v>16.7</v>
      </c>
      <c r="E163" s="3">
        <f>IF(AND(ISNUMBER(E160),ISNUMBER(D160)),E160-D160,"n/a")</f>
        <v>-31.1</v>
      </c>
      <c r="F163" s="3" t="s">
        <v>26</v>
      </c>
      <c r="G163" s="3">
        <f>IF(AND(ISNUMBER(G160),ISNUMBER(E160)),G160-E160,"n/a")</f>
        <v>7.800000000000001</v>
      </c>
      <c r="H163" s="25">
        <f>IF(AND(ISNUMBER(H160),ISNUMBER(G160)),H160-G160,"n/a")</f>
        <v>5.1</v>
      </c>
      <c r="I163" s="1"/>
      <c r="J163" s="1"/>
      <c r="K163" s="1"/>
    </row>
    <row r="164">
      <c r="A164" s="1"/>
      <c r="B164" s="1" t="s">
        <v>200</v>
      </c>
      <c r="C164" s="3">
        <v>14.3</v>
      </c>
      <c r="D164" s="3">
        <v>14.6</v>
      </c>
      <c r="E164" s="3">
        <v>16</v>
      </c>
      <c r="F164" s="3">
        <v>67.1</v>
      </c>
      <c r="G164" s="3">
        <v>15.5</v>
      </c>
      <c r="H164" s="25">
        <v>15</v>
      </c>
      <c r="I164" s="1"/>
      <c r="J164" s="1" t="s">
        <v>160</v>
      </c>
      <c r="K164" s="1"/>
    </row>
    <row r="165">
      <c r="A165" s="1"/>
      <c r="B165" s="1" t="s">
        <v>199</v>
      </c>
      <c r="C165" s="3">
        <v>21.5</v>
      </c>
      <c r="D165" s="3">
        <v>20.5</v>
      </c>
      <c r="E165" s="3">
        <v>20.9</v>
      </c>
      <c r="F165" s="3">
        <v>84.2</v>
      </c>
      <c r="G165" s="3">
        <v>22.2</v>
      </c>
      <c r="H165" s="25">
        <f>C164</f>
        <v>14.3</v>
      </c>
      <c r="I165" s="1"/>
      <c r="J165" s="1" t="s">
        <v>160</v>
      </c>
      <c r="K165" s="1"/>
    </row>
    <row r="166">
      <c r="A166" s="1"/>
      <c r="B166" s="7" t="s">
        <v>79</v>
      </c>
      <c r="C166" s="2">
        <f>IF(AND(ISNUMBER(C164),ISNUMBER(C165)),IF(C165&lt;=0,"n/m",C164/C165-1),"n/a")</f>
        <v>-0.33488372093023255</v>
      </c>
      <c r="D166" s="2">
        <f>IF(AND(ISNUMBER(D164),ISNUMBER(D165)),IF(D165&lt;=0,"n/m",D164/D165-1),"n/a")</f>
        <v>-0.2878048780487805</v>
      </c>
      <c r="E166" s="2">
        <f>IF(AND(ISNUMBER(E164),ISNUMBER(E165)),IF(E165&lt;=0,"n/m",E164/E165-1),"n/a")</f>
        <v>-0.23444976076555024</v>
      </c>
      <c r="F166" s="2">
        <f>IF(AND(ISNUMBER(F164),ISNUMBER(F165)),IF(F165&lt;=0,"n/m",F164/F165-1),"n/a")</f>
        <v>-0.20308788598574834</v>
      </c>
      <c r="G166" s="2">
        <f>IF(AND(ISNUMBER(G164),ISNUMBER(G165)),IF(G165&lt;=0,"n/m",G164/G165-1),"n/a")</f>
        <v>-0.30180180180180183</v>
      </c>
      <c r="H166" s="14">
        <f>IF(AND(ISNUMBER(H164),ISNUMBER(H165)),IF(H165&lt;=0,"n/m",H164/H165-1),"n/a")</f>
        <v>0.04895104895104896</v>
      </c>
      <c r="I166" s="1"/>
      <c r="J166" s="1"/>
      <c r="K166" s="1"/>
    </row>
    <row r="167">
      <c r="A167" s="1"/>
      <c r="B167" s="1" t="s">
        <v>170</v>
      </c>
      <c r="C167" s="3" t="s">
        <v>26</v>
      </c>
      <c r="D167" s="3">
        <f>IF(AND(ISNUMBER(D164),ISNUMBER(C164)),D164-C164,"n/a")</f>
        <v>0.29999999999999893</v>
      </c>
      <c r="E167" s="3">
        <f>IF(AND(ISNUMBER(E164),ISNUMBER(D164)),E164-D164,"n/a")</f>
        <v>1.4000000000000004</v>
      </c>
      <c r="F167" s="3" t="s">
        <v>26</v>
      </c>
      <c r="G167" s="3">
        <f>IF(AND(ISNUMBER(G164),ISNUMBER(E164)),G164-E164,"n/a")</f>
        <v>-0.5</v>
      </c>
      <c r="H167" s="25">
        <f>IF(AND(ISNUMBER(H164),ISNUMBER(G164)),H164-G164,"n/a")</f>
        <v>-0.5</v>
      </c>
      <c r="I167" s="1"/>
      <c r="J167" s="1"/>
      <c r="K167" s="1"/>
    </row>
    <row r="168">
      <c r="A168" s="1"/>
      <c r="B168" s="7" t="s">
        <v>201</v>
      </c>
      <c r="C168" s="2">
        <f>IF(AND(ISNUMBER(C164),ISNUMBER(C56)),IF(C56=0,"n/a",C164/C56),"n/a")</f>
        <v>0.10514705882352941</v>
      </c>
      <c r="D168" s="2">
        <f>IF(AND(ISNUMBER(D164),ISNUMBER(D56)),IF(D56=0,"n/a",D164/D56),"n/a")</f>
        <v>0.0685124354763022</v>
      </c>
      <c r="E168" s="2">
        <f>IF(AND(ISNUMBER(E164),ISNUMBER(E56)),IF(E56=0,"n/a",E164/E56),"n/a")</f>
        <v>0.082389289392379</v>
      </c>
      <c r="F168" s="2">
        <f>IF(AND(ISNUMBER(F164),ISNUMBER(F56)),IF(F56=0,"n/a",F164/F56),"n/a")</f>
        <v>0.08145180869142996</v>
      </c>
      <c r="G168" s="2">
        <f>IF(AND(ISNUMBER(G164),ISNUMBER(G56)),IF(G56=0,"n/a",G164/G56),"n/a")</f>
        <v>0.10388739946380698</v>
      </c>
      <c r="H168" s="14">
        <f>IF(AND(ISNUMBER(H164),ISNUMBER(H56)),IF(H56=0,"n/a",H164/H56),"n/a")</f>
        <v>0.10718496552216943</v>
      </c>
      <c r="I168" s="1"/>
      <c r="J168" s="1"/>
      <c r="K168" s="1"/>
    </row>
    <row r="169">
      <c r="A169" s="1"/>
      <c r="B169" s="7" t="s">
        <v>202</v>
      </c>
      <c r="C169" s="2">
        <f>IF(AND(ISNUMBER(C165),ISNUMBER(C55)),IF(C55=0,"n/a",C165/C55),"n/a")</f>
        <v>0.05531258039619244</v>
      </c>
      <c r="D169" s="2">
        <f>IF(AND(ISNUMBER(D165),ISNUMBER(D55)),IF(D55=0,"n/a",D165/D55),"n/a")</f>
        <v>0.04751970329160872</v>
      </c>
      <c r="E169" s="2">
        <f>IF(AND(ISNUMBER(E165),ISNUMBER(E55)),IF(E55=0,"n/a",E165/E55),"n/a")</f>
        <v>0.04545454545454545</v>
      </c>
      <c r="F169" s="2">
        <f>IF(AND(ISNUMBER(F165),ISNUMBER(F55)),IF(F55=0,"n/a",F165/F55),"n/a")</f>
        <v>0.05045239379231829</v>
      </c>
      <c r="G169" s="2">
        <f>IF(AND(ISNUMBER(G165),ISNUMBER(G55)),IF(G55=0,"n/a",G165/G55),"n/a")</f>
        <v>0.07914438502673797</v>
      </c>
      <c r="H169" s="14">
        <f>IF(AND(ISNUMBER(H165),ISNUMBER(H55)),IF(H55=0,"n/a",H165/H55),"n/a")</f>
        <v>0.10514705882352941</v>
      </c>
      <c r="I169" s="1"/>
      <c r="J169" s="1"/>
      <c r="K169" s="1"/>
    </row>
    <row r="170">
      <c r="A170" s="1"/>
      <c r="B170" s="7" t="s">
        <v>175</v>
      </c>
      <c r="C170" s="17">
        <f>IF(AND(ISNUMBER(C168),ISNUMBER(C169)),(C168-C169)*10000,"n/a")</f>
        <v>498.3447842733697</v>
      </c>
      <c r="D170" s="17">
        <f>IF(AND(ISNUMBER(D168),ISNUMBER(D169)),(D168-D169)*10000,"n/a")</f>
        <v>209.92732184693483</v>
      </c>
      <c r="E170" s="17">
        <f>IF(AND(ISNUMBER(E168),ISNUMBER(E169)),(E168-E169)*10000,"n/a")</f>
        <v>369.3474393783355</v>
      </c>
      <c r="F170" s="17">
        <f>IF(AND(ISNUMBER(F168),ISNUMBER(F169)),(F168-F169)*10000,"n/a")</f>
        <v>309.9941489911166</v>
      </c>
      <c r="G170" s="17">
        <f>IF(AND(ISNUMBER(G168),ISNUMBER(G169)),(G168-G169)*10000,"n/a")</f>
        <v>247.43014437069013</v>
      </c>
      <c r="H170" s="16">
        <f>IF(AND(ISNUMBER(H168),ISNUMBER(H169)),(H168-H169)*10000,"n/a")</f>
        <v>20.37906698640013</v>
      </c>
      <c r="I170" s="1"/>
      <c r="J170" s="1"/>
      <c r="K170" s="1"/>
    </row>
    <row r="171">
      <c r="A171" s="1"/>
      <c r="B171" s="7" t="s">
        <v>112</v>
      </c>
      <c r="C171" s="17" t="s">
        <v>26</v>
      </c>
      <c r="D171" s="17">
        <f>IF(AND(ISNUMBER(D168),ISNUMBER(C168)),(D168-C168)*10000,"n/a")</f>
        <v>-366.3462334722721</v>
      </c>
      <c r="E171" s="17">
        <f>IF(AND(ISNUMBER(E168),ISNUMBER(D168)),(E168-D168)*10000,"n/a")</f>
        <v>138.76853916076792</v>
      </c>
      <c r="F171" s="17" t="s">
        <v>26</v>
      </c>
      <c r="G171" s="17">
        <f>IF(AND(ISNUMBER(G168),ISNUMBER(E168)),(G168-E168)*10000,"n/a")</f>
        <v>214.9811007142799</v>
      </c>
      <c r="H171" s="16">
        <f>IF(AND(ISNUMBER(H168),ISNUMBER(G168)),(H168-G168)*10000,"n/a")</f>
        <v>32.97566058362442</v>
      </c>
      <c r="I171" s="1"/>
      <c r="J171" s="1"/>
      <c r="K171" s="1"/>
    </row>
    <row r="172">
      <c r="A172" s="1"/>
      <c r="B172" s="1"/>
      <c r="C172" s="1"/>
      <c r="D172" s="1"/>
      <c r="E172" s="1"/>
      <c r="F172" s="1"/>
      <c r="G172" s="1"/>
      <c r="H172" s="23"/>
      <c r="I172" s="1"/>
      <c r="J172" s="1"/>
      <c r="K172" s="1"/>
    </row>
    <row r="173">
      <c r="A173" s="1"/>
      <c r="B173" s="1"/>
      <c r="C173" s="1"/>
      <c r="D173" s="1"/>
      <c r="E173" s="1"/>
      <c r="F173" s="1"/>
      <c r="G173" s="1"/>
      <c r="H173" s="23"/>
      <c r="I173" s="1"/>
      <c r="J173" s="1"/>
      <c r="K173" s="1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9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266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26" t="s">
        <v>69</v>
      </c>
      <c r="C5" s="10" t="s">
        <v>58</v>
      </c>
      <c r="D5" s="10" t="s">
        <v>70</v>
      </c>
      <c r="E5" s="10" t="s">
        <v>71</v>
      </c>
      <c r="F5" s="10" t="s">
        <v>72</v>
      </c>
      <c r="G5" s="10" t="s">
        <v>73</v>
      </c>
      <c r="H5" s="36" t="s">
        <v>57</v>
      </c>
      <c r="I5" s="1"/>
      <c r="J5" s="9" t="s">
        <v>3</v>
      </c>
      <c r="K5" s="1"/>
    </row>
    <row r="6">
      <c r="A6" s="1"/>
      <c r="B6" s="18" t="s">
        <v>74</v>
      </c>
      <c r="C6" s="8">
        <v>45900</v>
      </c>
      <c r="D6" s="8">
        <v>45991</v>
      </c>
      <c r="E6" s="8">
        <v>46081</v>
      </c>
      <c r="F6" s="8">
        <v>46081</v>
      </c>
      <c r="G6" s="8">
        <v>46173</v>
      </c>
      <c r="H6" s="24">
        <v>46265</v>
      </c>
      <c r="I6" s="1"/>
      <c r="J6" s="1"/>
      <c r="K6" s="1"/>
    </row>
    <row r="7">
      <c r="A7" s="1"/>
      <c r="B7" s="11" t="s">
        <v>75</v>
      </c>
      <c r="C7" s="5">
        <v>92</v>
      </c>
      <c r="D7" s="5">
        <v>91</v>
      </c>
      <c r="E7" s="5">
        <v>90</v>
      </c>
      <c r="F7" s="5">
        <v>365</v>
      </c>
      <c r="G7" s="5">
        <v>92</v>
      </c>
      <c r="H7" s="13">
        <v>92</v>
      </c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"/>
      <c r="C9" s="1"/>
      <c r="D9" s="1"/>
      <c r="E9" s="1"/>
      <c r="F9" s="1"/>
      <c r="G9" s="1"/>
      <c r="H9" s="23"/>
      <c r="I9" s="1"/>
      <c r="J9" s="1"/>
      <c r="K9" s="1"/>
    </row>
    <row r="10">
      <c r="A10" s="1"/>
      <c r="B10" s="27" t="s">
        <v>267</v>
      </c>
      <c r="C10" s="1"/>
      <c r="D10" s="1"/>
      <c r="E10" s="1"/>
      <c r="F10" s="1"/>
      <c r="G10" s="1"/>
      <c r="H10" s="23"/>
      <c r="I10" s="1"/>
      <c r="J10" s="1"/>
      <c r="K10" s="1"/>
    </row>
    <row r="11">
      <c r="A11" s="1"/>
      <c r="B11" s="1" t="s">
        <v>268</v>
      </c>
      <c r="C11" s="3">
        <v>2653.9</v>
      </c>
      <c r="D11" s="3">
        <v>2374.4</v>
      </c>
      <c r="E11" s="3">
        <v>2049.7</v>
      </c>
      <c r="F11" s="3">
        <v>9755.5</v>
      </c>
      <c r="G11" s="3">
        <v>2590.4</v>
      </c>
      <c r="H11" s="25">
        <f>H21-H12</f>
        <v>2701.9735485805963</v>
      </c>
      <c r="I11" s="1"/>
      <c r="J11" s="1" t="s">
        <v>160</v>
      </c>
      <c r="K11" s="1"/>
    </row>
    <row r="12">
      <c r="A12" s="1"/>
      <c r="B12" s="1" t="s">
        <v>269</v>
      </c>
      <c r="C12" s="3">
        <v>-172.9</v>
      </c>
      <c r="D12" s="3">
        <v>-151.6</v>
      </c>
      <c r="E12" s="3">
        <v>-129.5</v>
      </c>
      <c r="F12" s="3">
        <v>-616.5</v>
      </c>
      <c r="G12" s="3">
        <v>-157.7</v>
      </c>
      <c r="H12" s="25">
        <f>-H21*H16</f>
        <v>-167.28916904908007</v>
      </c>
      <c r="I12" s="1"/>
      <c r="J12" s="1" t="s">
        <v>160</v>
      </c>
      <c r="K12" s="1"/>
    </row>
    <row r="13">
      <c r="A13" s="1"/>
      <c r="B13" s="1" t="s">
        <v>270</v>
      </c>
      <c r="C13" s="3">
        <v>-220.2</v>
      </c>
      <c r="D13" s="3">
        <v>-180.6</v>
      </c>
      <c r="E13" s="3">
        <v>-148.5</v>
      </c>
      <c r="F13" s="3">
        <v>-748.2</v>
      </c>
      <c r="G13" s="3">
        <v>-162.5</v>
      </c>
      <c r="H13" s="25">
        <f>C12</f>
        <v>-172.9</v>
      </c>
      <c r="I13" s="1"/>
      <c r="J13" s="1" t="s">
        <v>160</v>
      </c>
      <c r="K13" s="1"/>
    </row>
    <row r="14">
      <c r="A14" s="1"/>
      <c r="B14" s="7" t="s">
        <v>79</v>
      </c>
      <c r="C14" s="2">
        <f>IF(AND(ISNUMBER(C12),ISNUMBER(C13)),C12/C13-1,"n/a")</f>
        <v>-0.2148047229791098</v>
      </c>
      <c r="D14" s="2">
        <f>IF(AND(ISNUMBER(D12),ISNUMBER(D13)),D12/D13-1,"n/a")</f>
        <v>-0.16057585825027687</v>
      </c>
      <c r="E14" s="2">
        <f>IF(AND(ISNUMBER(E12),ISNUMBER(E13)),E12/E13-1,"n/a")</f>
        <v>-0.12794612794612792</v>
      </c>
      <c r="F14" s="2">
        <f>IF(AND(ISNUMBER(F12),ISNUMBER(F13)),F12/F13-1,"n/a")</f>
        <v>-0.17602245388933446</v>
      </c>
      <c r="G14" s="2">
        <f>IF(AND(ISNUMBER(G12),ISNUMBER(G13)),G12/G13-1,"n/a")</f>
        <v>-0.029538461538461624</v>
      </c>
      <c r="H14" s="14">
        <f>IF(AND(ISNUMBER(H12),ISNUMBER(H13)),H12/H13-1,"n/a")</f>
        <v>-0.0324513068300748</v>
      </c>
      <c r="I14" s="1"/>
      <c r="J14" s="1"/>
      <c r="K14" s="1"/>
    </row>
    <row r="15">
      <c r="A15" s="1"/>
      <c r="B15" s="1" t="s">
        <v>170</v>
      </c>
      <c r="C15" s="3" t="s">
        <v>26</v>
      </c>
      <c r="D15" s="3">
        <f>IF(AND(ISNUMBER(D12),ISNUMBER(C12)),D12-C12,"n/a")</f>
        <v>21.30000000000001</v>
      </c>
      <c r="E15" s="3">
        <f>IF(AND(ISNUMBER(E12),ISNUMBER(D12)),E12-D12,"n/a")</f>
        <v>22.099999999999994</v>
      </c>
      <c r="F15" s="3" t="s">
        <v>26</v>
      </c>
      <c r="G15" s="3">
        <f>IF(AND(ISNUMBER(G12),ISNUMBER(E12)),G12-E12,"n/a")</f>
        <v>-28.19999999999999</v>
      </c>
      <c r="H15" s="25">
        <f>IF(AND(ISNUMBER(H12),ISNUMBER(G12)),H12-G12,"n/a")</f>
        <v>-9.589169049080084</v>
      </c>
      <c r="I15" s="1"/>
      <c r="J15" s="1"/>
      <c r="K15" s="1"/>
    </row>
    <row r="16">
      <c r="A16" s="1"/>
      <c r="B16" s="7" t="s">
        <v>271</v>
      </c>
      <c r="C16" s="2">
        <f>-C12/C21</f>
        <v>0.06968964127367996</v>
      </c>
      <c r="D16" s="2">
        <f>-D12/D21</f>
        <v>0.06820226741047326</v>
      </c>
      <c r="E16" s="2">
        <f>-E12/E21</f>
        <v>0.0674408915737944</v>
      </c>
      <c r="F16" s="2">
        <f>-F12/F21</f>
        <v>0.06745814640551483</v>
      </c>
      <c r="G16" s="2">
        <f>-G12/G21</f>
        <v>0.06482509146216137</v>
      </c>
      <c r="H16" s="14">
        <v>0.066</v>
      </c>
      <c r="I16" s="1"/>
      <c r="J16" s="1"/>
      <c r="K16" s="1"/>
    </row>
    <row r="17">
      <c r="A17" s="1"/>
      <c r="B17" s="7" t="s">
        <v>272</v>
      </c>
      <c r="C17" s="2">
        <f>IF(AND(ISNUMBER(C13),ISNUMBER(C20)),IF(C20=0,"n/a",-C13/C20),"n/a")</f>
        <v>0.07543937784781939</v>
      </c>
      <c r="D17" s="2">
        <f>IF(AND(ISNUMBER(D13),ISNUMBER(D20)),IF(D20=0,"n/a",-D13/D20),"n/a")</f>
        <v>0.07330140433476742</v>
      </c>
      <c r="E17" s="2">
        <f>IF(AND(ISNUMBER(E13),ISNUMBER(E20)),IF(E20=0,"n/a",-E13/E20),"n/a")</f>
        <v>0.06861657887441086</v>
      </c>
      <c r="F17" s="2">
        <f>IF(AND(ISNUMBER(F13),ISNUMBER(F20)),IF(F20=0,"n/a",-F13/F20),"n/a")</f>
        <v>0.07329042875194688</v>
      </c>
      <c r="G17" s="2">
        <f>IF(AND(ISNUMBER(G13),ISNUMBER(G20)),IF(G20=0,"n/a",-G13/G20),"n/a")</f>
        <v>0.06461232604373758</v>
      </c>
      <c r="H17" s="14">
        <f>IF(AND(ISNUMBER(H13),ISNUMBER(H20)),IF(H20=0,"n/a",-H13/H20),"n/a")</f>
        <v>0.06968964127367996</v>
      </c>
      <c r="I17" s="1"/>
      <c r="J17" s="1"/>
      <c r="K17" s="1"/>
    </row>
    <row r="18">
      <c r="A18" s="1"/>
      <c r="B18" s="7" t="s">
        <v>175</v>
      </c>
      <c r="C18" s="17">
        <f>IF(AND(ISNUMBER(C16),ISNUMBER(C17)),(C16-C17)*10000,"n/a")</f>
        <v>-57.49736574139422</v>
      </c>
      <c r="D18" s="17">
        <f>IF(AND(ISNUMBER(D16),ISNUMBER(D17)),(D16-D17)*10000,"n/a")</f>
        <v>-50.991369242941595</v>
      </c>
      <c r="E18" s="17">
        <f>IF(AND(ISNUMBER(E16),ISNUMBER(E17)),(E16-E17)*10000,"n/a")</f>
        <v>-11.75687300616457</v>
      </c>
      <c r="F18" s="17">
        <f>IF(AND(ISNUMBER(F16),ISNUMBER(F17)),(F16-F17)*10000,"n/a")</f>
        <v>-58.32282346432058</v>
      </c>
      <c r="G18" s="17">
        <f>IF(AND(ISNUMBER(G16),ISNUMBER(G17)),(G16-G17)*10000,"n/a")</f>
        <v>2.127654184237854</v>
      </c>
      <c r="H18" s="16">
        <f>IF(AND(ISNUMBER(H16),ISNUMBER(H17)),(H16-H17)*10000,"n/a")</f>
        <v>-36.89641273679961</v>
      </c>
      <c r="I18" s="1"/>
      <c r="J18" s="1"/>
      <c r="K18" s="1"/>
    </row>
    <row r="19">
      <c r="A19" s="1"/>
      <c r="B19" s="7" t="s">
        <v>112</v>
      </c>
      <c r="C19" s="17" t="s">
        <v>26</v>
      </c>
      <c r="D19" s="17">
        <f>IF(AND(ISNUMBER(D16),ISNUMBER(C16)),(D16-C16)*10000,"n/a")</f>
        <v>-14.873738632067008</v>
      </c>
      <c r="E19" s="17">
        <f>IF(AND(ISNUMBER(E16),ISNUMBER(D16)),(E16-D16)*10000,"n/a")</f>
        <v>-7.6137583667885975</v>
      </c>
      <c r="F19" s="17" t="s">
        <v>26</v>
      </c>
      <c r="G19" s="17">
        <f>IF(AND(ISNUMBER(G16),ISNUMBER(E16)),(G16-E16)*10000,"n/a")</f>
        <v>-26.158001116330375</v>
      </c>
      <c r="H19" s="16">
        <f>IF(AND(ISNUMBER(H16),ISNUMBER(G16)),(H16-G16)*10000,"n/a")</f>
        <v>11.74908537838637</v>
      </c>
      <c r="I19" s="1"/>
      <c r="J19" s="1"/>
      <c r="K19" s="1"/>
    </row>
    <row r="20">
      <c r="A20" s="1"/>
      <c r="B20" s="1" t="s">
        <v>273</v>
      </c>
      <c r="C20" s="3">
        <f>'Revenue summary'!C37</f>
        <v>2918.8999999999996</v>
      </c>
      <c r="D20" s="3">
        <f>'Revenue summary'!D37</f>
        <v>2463.8</v>
      </c>
      <c r="E20" s="3">
        <f>'Revenue summary'!E37</f>
        <v>2164.2000000000003</v>
      </c>
      <c r="F20" s="3">
        <f>'Revenue summary'!F37</f>
        <v>10208.699999999999</v>
      </c>
      <c r="G20" s="3">
        <f>'Revenue summary'!G37</f>
        <v>2515</v>
      </c>
      <c r="H20" s="25">
        <f>'Revenue summary'!H37</f>
        <v>2481</v>
      </c>
      <c r="I20" s="1"/>
      <c r="J20" s="1" t="s">
        <v>274</v>
      </c>
      <c r="K20" s="1"/>
    </row>
    <row r="21">
      <c r="A21" s="1"/>
      <c r="B21" s="12" t="s">
        <v>25</v>
      </c>
      <c r="C21" s="22">
        <f>C11+C12</f>
        <v>2481</v>
      </c>
      <c r="D21" s="22">
        <f>D11+D12</f>
        <v>2222.8</v>
      </c>
      <c r="E21" s="22">
        <f>E11+E12</f>
        <v>1920.1999999999998</v>
      </c>
      <c r="F21" s="22">
        <f>F11+F12</f>
        <v>9139</v>
      </c>
      <c r="G21" s="22">
        <f>G11+G12</f>
        <v>2432.7000000000003</v>
      </c>
      <c r="H21" s="42">
        <f>'Revenue summary'!H38</f>
        <v>2534.6843795315162</v>
      </c>
      <c r="I21" s="1"/>
      <c r="J21" s="1"/>
      <c r="K21" s="1"/>
    </row>
    <row r="22">
      <c r="A22" s="1"/>
      <c r="B22" s="7" t="s">
        <v>79</v>
      </c>
      <c r="C22" s="2">
        <f>IF(AND(ISNUMBER(C21),ISNUMBER(C20)),IF(C20&lt;=0,"n/m",C21/C20-1),"n/a")</f>
        <v>-0.1500222686628523</v>
      </c>
      <c r="D22" s="2">
        <f>IF(AND(ISNUMBER(D21),ISNUMBER(D20)),IF(D20&lt;=0,"n/m",D21/D20-1),"n/a")</f>
        <v>-0.09781638119977265</v>
      </c>
      <c r="E22" s="2">
        <f>IF(AND(ISNUMBER(E21),ISNUMBER(E20)),IF(E20&lt;=0,"n/m",E21/E20-1),"n/a")</f>
        <v>-0.11274373902596824</v>
      </c>
      <c r="F22" s="2">
        <f>IF(AND(ISNUMBER(F21),ISNUMBER(F20)),IF(F20&lt;=0,"n/m",F21/F20-1),"n/a")</f>
        <v>-0.10478317513493385</v>
      </c>
      <c r="G22" s="2">
        <f>IF(AND(ISNUMBER(G21),ISNUMBER(G20)),IF(G20&lt;=0,"n/m",G21/G20-1),"n/a")</f>
        <v>-0.03272365805168975</v>
      </c>
      <c r="H22" s="14">
        <f>IF(AND(ISNUMBER(H21),ISNUMBER(H20)),IF(H20&lt;=0,"n/m",H21/H20-1),"n/a")</f>
        <v>0.021638202148938523</v>
      </c>
      <c r="I22" s="1"/>
      <c r="J22" s="1"/>
      <c r="K22" s="1"/>
    </row>
    <row r="23">
      <c r="A23" s="1"/>
      <c r="B23" s="7" t="s">
        <v>80</v>
      </c>
      <c r="C23" s="2" t="s">
        <v>26</v>
      </c>
      <c r="D23" s="2">
        <f>IF(AND(ISNUMBER(D21),ISNUMBER(C21)),IF(C21&lt;=0,"n/m",D21/C21-1),"n/a")</f>
        <v>-0.10407093913744447</v>
      </c>
      <c r="E23" s="2">
        <f>IF(AND(ISNUMBER(E21),ISNUMBER(D21)),IF(D21&lt;=0,"n/m",E21/D21-1),"n/a")</f>
        <v>-0.13613460500269947</v>
      </c>
      <c r="F23" s="2" t="s">
        <v>26</v>
      </c>
      <c r="G23" s="2">
        <f>IF(AND(ISNUMBER(G21),ISNUMBER(E21)),IF(E21&lt;=0,"n/m",G21/E21-1),"n/a")</f>
        <v>0.2668992813248623</v>
      </c>
      <c r="H23" s="14">
        <f>IF(AND(ISNUMBER(H21),ISNUMBER(G21)),IF(G21&lt;=0,"n/m",H21/G21-1),"n/a")</f>
        <v>0.04192230013216425</v>
      </c>
      <c r="I23" s="1"/>
      <c r="J23" s="1"/>
      <c r="K23" s="1"/>
    </row>
    <row r="24">
      <c r="A24" s="1"/>
      <c r="B24" s="1" t="s">
        <v>81</v>
      </c>
      <c r="C24" s="3" t="s">
        <v>26</v>
      </c>
      <c r="D24" s="3">
        <f>IF(AND(ISNUMBER(D21),ISNUMBER(C21)),D21-C21,"n/a")</f>
        <v>-258.1999999999998</v>
      </c>
      <c r="E24" s="3">
        <f>IF(AND(ISNUMBER(E21),ISNUMBER(D21)),E21-D21,"n/a")</f>
        <v>-302.60000000000036</v>
      </c>
      <c r="F24" s="3" t="s">
        <v>26</v>
      </c>
      <c r="G24" s="3">
        <f>IF(AND(ISNUMBER(G21),ISNUMBER(E21)),G21-E21,"n/a")</f>
        <v>512.5000000000005</v>
      </c>
      <c r="H24" s="25">
        <f>IF(AND(ISNUMBER(H21),ISNUMBER(G21)),H21-G21,"n/a")</f>
        <v>101.98437953151597</v>
      </c>
      <c r="I24" s="1"/>
      <c r="J24" s="1"/>
      <c r="K24" s="1"/>
    </row>
    <row r="25">
      <c r="A25" s="1"/>
      <c r="B25" s="1" t="s">
        <v>167</v>
      </c>
      <c r="C25" s="3">
        <v>-1171</v>
      </c>
      <c r="D25" s="3">
        <v>-1039.6</v>
      </c>
      <c r="E25" s="3">
        <v>-968.5</v>
      </c>
      <c r="F25" s="3">
        <v>-4427.5</v>
      </c>
      <c r="G25" s="3">
        <v>-1112.1</v>
      </c>
      <c r="H25" s="25">
        <f>'Segment - Beer'!H74+'Segment - Wine and Spirits'!H118+H130</f>
        <v>-1205.6166508616866</v>
      </c>
      <c r="I25" s="1"/>
      <c r="J25" s="1" t="s">
        <v>275</v>
      </c>
      <c r="K25" s="1"/>
    </row>
    <row r="26">
      <c r="A26" s="1"/>
      <c r="B26" s="1" t="s">
        <v>169</v>
      </c>
      <c r="C26" s="3">
        <f>C29-C20</f>
        <v>-1407.0999999999997</v>
      </c>
      <c r="D26" s="3">
        <f>D29-D20</f>
        <v>-1179.5000000000002</v>
      </c>
      <c r="E26" s="3">
        <f>E29-E20</f>
        <v>-1049.5000000000002</v>
      </c>
      <c r="F26" s="3">
        <f>F29-F20</f>
        <v>-4894.0999999999985</v>
      </c>
      <c r="G26" s="3">
        <f>G29-G20</f>
        <v>-1248.4</v>
      </c>
      <c r="H26" s="25">
        <f>H29-H20</f>
        <v>-1171</v>
      </c>
      <c r="I26" s="1"/>
      <c r="J26" s="1"/>
      <c r="K26" s="1"/>
    </row>
    <row r="27">
      <c r="A27" s="1"/>
      <c r="B27" s="7" t="s">
        <v>79</v>
      </c>
      <c r="C27" s="2">
        <f>IF(AND(ISNUMBER(C25),ISNUMBER(C26)),C25/C26-1,"n/a")</f>
        <v>-0.1677919124440337</v>
      </c>
      <c r="D27" s="2">
        <f>IF(AND(ISNUMBER(D25),ISNUMBER(D26)),D25/D26-1,"n/a")</f>
        <v>-0.11860958033064883</v>
      </c>
      <c r="E27" s="2">
        <f>IF(AND(ISNUMBER(E25),ISNUMBER(E26)),E25/E26-1,"n/a")</f>
        <v>-0.07717960933778012</v>
      </c>
      <c r="F27" s="2">
        <f>IF(AND(ISNUMBER(F25),ISNUMBER(F26)),F25/F26-1,"n/a")</f>
        <v>-0.09533928607915632</v>
      </c>
      <c r="G27" s="2">
        <f>IF(AND(ISNUMBER(G25),ISNUMBER(G26)),G25/G26-1,"n/a")</f>
        <v>-0.10917975008010272</v>
      </c>
      <c r="H27" s="14">
        <f>IF(AND(ISNUMBER(H25),ISNUMBER(H26)),H25/H26-1,"n/a")</f>
        <v>0.02956161474097918</v>
      </c>
      <c r="I27" s="1"/>
      <c r="J27" s="1"/>
      <c r="K27" s="1"/>
    </row>
    <row r="28">
      <c r="A28" s="1"/>
      <c r="B28" s="1" t="s">
        <v>170</v>
      </c>
      <c r="C28" s="3" t="s">
        <v>26</v>
      </c>
      <c r="D28" s="3">
        <f>IF(AND(ISNUMBER(D25),ISNUMBER(C25)),D25-C25,"n/a")</f>
        <v>131.4000000000001</v>
      </c>
      <c r="E28" s="3">
        <f>IF(AND(ISNUMBER(E25),ISNUMBER(D25)),E25-D25,"n/a")</f>
        <v>71.09999999999991</v>
      </c>
      <c r="F28" s="3" t="s">
        <v>26</v>
      </c>
      <c r="G28" s="3">
        <f>IF(AND(ISNUMBER(G25),ISNUMBER(E25)),G25-E25,"n/a")</f>
        <v>-143.5999999999999</v>
      </c>
      <c r="H28" s="25">
        <f>IF(AND(ISNUMBER(H25),ISNUMBER(G25)),H25-G25,"n/a")</f>
        <v>-93.51665086168668</v>
      </c>
      <c r="I28" s="1"/>
      <c r="J28" s="1"/>
      <c r="K28" s="1"/>
    </row>
    <row r="29">
      <c r="A29" s="1"/>
      <c r="B29" s="1" t="s">
        <v>276</v>
      </c>
      <c r="C29" s="3">
        <v>1511.8</v>
      </c>
      <c r="D29" s="3">
        <v>1284.3</v>
      </c>
      <c r="E29" s="3">
        <v>1114.7</v>
      </c>
      <c r="F29" s="3">
        <v>5314.6</v>
      </c>
      <c r="G29" s="3">
        <v>1266.6</v>
      </c>
      <c r="H29" s="25">
        <f>C30</f>
        <v>1310</v>
      </c>
      <c r="I29" s="1"/>
      <c r="J29" s="1" t="s">
        <v>160</v>
      </c>
      <c r="K29" s="1"/>
    </row>
    <row r="30">
      <c r="A30" s="1"/>
      <c r="B30" s="12" t="s">
        <v>277</v>
      </c>
      <c r="C30" s="22">
        <f>C21+C25</f>
        <v>1310</v>
      </c>
      <c r="D30" s="22">
        <f>D21+D25</f>
        <v>1183.2000000000003</v>
      </c>
      <c r="E30" s="22">
        <f>E21+E25</f>
        <v>951.6999999999998</v>
      </c>
      <c r="F30" s="22">
        <f>F21+F25</f>
        <v>4711.5</v>
      </c>
      <c r="G30" s="22">
        <f>G21+G25</f>
        <v>1320.6000000000004</v>
      </c>
      <c r="H30" s="42">
        <f>H21+H25</f>
        <v>1329.0677286698296</v>
      </c>
      <c r="I30" s="1"/>
      <c r="J30" s="1"/>
      <c r="K30" s="1"/>
    </row>
    <row r="31">
      <c r="A31" s="1"/>
      <c r="B31" s="7" t="s">
        <v>79</v>
      </c>
      <c r="C31" s="2">
        <f>IF(AND(ISNUMBER(C30),ISNUMBER(C29)),IF(C29&lt;=0,"n/m",C30/C29-1),"n/a")</f>
        <v>-0.13348326498214047</v>
      </c>
      <c r="D31" s="2">
        <f>IF(AND(ISNUMBER(D30),ISNUMBER(D29)),IF(D29&lt;=0,"n/m",D30/D29-1),"n/a")</f>
        <v>-0.07871992525110927</v>
      </c>
      <c r="E31" s="2">
        <f>IF(AND(ISNUMBER(E30),ISNUMBER(E29)),IF(E29&lt;=0,"n/m",E30/E29-1),"n/a")</f>
        <v>-0.14622768457881063</v>
      </c>
      <c r="F31" s="2">
        <f>IF(AND(ISNUMBER(F30),ISNUMBER(F29)),IF(F29&lt;=0,"n/m",F30/F29-1),"n/a")</f>
        <v>-0.11347984796598054</v>
      </c>
      <c r="G31" s="2">
        <f>IF(AND(ISNUMBER(G30),ISNUMBER(G29)),IF(G29&lt;=0,"n/m",G30/G29-1),"n/a")</f>
        <v>0.04263382283278094</v>
      </c>
      <c r="H31" s="14">
        <f>IF(AND(ISNUMBER(H30),ISNUMBER(H29)),IF(H29&lt;=0,"n/m",H30/H29-1),"n/a")</f>
        <v>0.01455551806857236</v>
      </c>
      <c r="I31" s="1"/>
      <c r="J31" s="1"/>
      <c r="K31" s="1"/>
    </row>
    <row r="32">
      <c r="A32" s="1"/>
      <c r="B32" s="1" t="s">
        <v>170</v>
      </c>
      <c r="C32" s="3" t="s">
        <v>26</v>
      </c>
      <c r="D32" s="3">
        <f>IF(AND(ISNUMBER(D30),ISNUMBER(C30)),D30-C30,"n/a")</f>
        <v>-126.79999999999973</v>
      </c>
      <c r="E32" s="3">
        <f>IF(AND(ISNUMBER(E30),ISNUMBER(D30)),E30-D30,"n/a")</f>
        <v>-231.50000000000045</v>
      </c>
      <c r="F32" s="3" t="s">
        <v>26</v>
      </c>
      <c r="G32" s="3">
        <f>IF(AND(ISNUMBER(G30),ISNUMBER(E30)),G30-E30,"n/a")</f>
        <v>368.90000000000055</v>
      </c>
      <c r="H32" s="25">
        <f>IF(AND(ISNUMBER(H30),ISNUMBER(G30)),H30-G30,"n/a")</f>
        <v>8.467728669829285</v>
      </c>
      <c r="I32" s="1"/>
      <c r="J32" s="1"/>
      <c r="K32" s="1"/>
    </row>
    <row r="33">
      <c r="A33" s="1"/>
      <c r="B33" s="7" t="s">
        <v>278</v>
      </c>
      <c r="C33" s="2">
        <f>IF(AND(ISNUMBER(C30),ISNUMBER(C21)),IF(C21=0,"n/a",C30/C21),"n/a")</f>
        <v>0.52801289802499</v>
      </c>
      <c r="D33" s="2">
        <f>IF(AND(ISNUMBER(D30),ISNUMBER(D21)),IF(D21=0,"n/a",D30/D21),"n/a")</f>
        <v>0.5323016015835883</v>
      </c>
      <c r="E33" s="2">
        <f>IF(AND(ISNUMBER(E30),ISNUMBER(E21)),IF(E21=0,"n/a",E30/E21),"n/a")</f>
        <v>0.4956254556816998</v>
      </c>
      <c r="F33" s="2">
        <f>IF(AND(ISNUMBER(F30),ISNUMBER(F21)),IF(F21=0,"n/a",F30/F21),"n/a")</f>
        <v>0.5155378050114893</v>
      </c>
      <c r="G33" s="2">
        <f>IF(AND(ISNUMBER(G30),ISNUMBER(G21)),IF(G21=0,"n/a",G30/G21),"n/a")</f>
        <v>0.5428536194351955</v>
      </c>
      <c r="H33" s="14">
        <f>IF(AND(ISNUMBER(H30),ISNUMBER(H21)),IF(H21=0,"n/a",H30/H21),"n/a")</f>
        <v>0.5243523570044962</v>
      </c>
      <c r="I33" s="1"/>
      <c r="J33" s="1"/>
      <c r="K33" s="1"/>
    </row>
    <row r="34">
      <c r="A34" s="1"/>
      <c r="B34" s="7" t="s">
        <v>279</v>
      </c>
      <c r="C34" s="2">
        <f>IF(AND(ISNUMBER(C29),ISNUMBER(C20)),IF(C20=0,"n/a",C29/C20),"n/a")</f>
        <v>0.5179348384665456</v>
      </c>
      <c r="D34" s="2">
        <f>IF(AND(ISNUMBER(D29),ISNUMBER(D20)),IF(D20=0,"n/a",D29/D20),"n/a")</f>
        <v>0.5212679600616933</v>
      </c>
      <c r="E34" s="2">
        <f>IF(AND(ISNUMBER(E29),ISNUMBER(E20)),IF(E20=0,"n/a",E29/E20),"n/a")</f>
        <v>0.515063302837076</v>
      </c>
      <c r="F34" s="2">
        <f>IF(AND(ISNUMBER(F29),ISNUMBER(F20)),IF(F20=0,"n/a",F29/F20),"n/a")</f>
        <v>0.5205951786221557</v>
      </c>
      <c r="G34" s="2">
        <f>IF(AND(ISNUMBER(G29),ISNUMBER(G20)),IF(G20=0,"n/a",G29/G20),"n/a")</f>
        <v>0.5036182902584493</v>
      </c>
      <c r="H34" s="14">
        <f>IF(AND(ISNUMBER(H29),ISNUMBER(H20)),IF(H20=0,"n/a",H29/H20),"n/a")</f>
        <v>0.52801289802499</v>
      </c>
      <c r="I34" s="1"/>
      <c r="J34" s="1"/>
      <c r="K34" s="1"/>
    </row>
    <row r="35">
      <c r="A35" s="1"/>
      <c r="B35" s="7" t="s">
        <v>175</v>
      </c>
      <c r="C35" s="17">
        <f>IF(AND(ISNUMBER(C33),ISNUMBER(C34)),(C33-C34)*10000,"n/a")</f>
        <v>100.78059558444319</v>
      </c>
      <c r="D35" s="17">
        <f>IF(AND(ISNUMBER(D33),ISNUMBER(D34)),(D33-D34)*10000,"n/a")</f>
        <v>110.3364152189501</v>
      </c>
      <c r="E35" s="17">
        <f>IF(AND(ISNUMBER(E33),ISNUMBER(E34)),(E33-E34)*10000,"n/a")</f>
        <v>-194.3784715537622</v>
      </c>
      <c r="F35" s="17">
        <f>IF(AND(ISNUMBER(F33),ISNUMBER(F34)),(F33-F34)*10000,"n/a")</f>
        <v>-50.57373610666382</v>
      </c>
      <c r="G35" s="17">
        <f>IF(AND(ISNUMBER(G33),ISNUMBER(G34)),(G33-G34)*10000,"n/a")</f>
        <v>392.35329176746217</v>
      </c>
      <c r="H35" s="16">
        <f>IF(AND(ISNUMBER(H33),ISNUMBER(H34)),(H33-H34)*10000,"n/a")</f>
        <v>-36.60541020493735</v>
      </c>
      <c r="I35" s="1"/>
      <c r="J35" s="1"/>
      <c r="K35" s="1"/>
    </row>
    <row r="36">
      <c r="A36" s="1"/>
      <c r="B36" s="7" t="s">
        <v>112</v>
      </c>
      <c r="C36" s="17" t="s">
        <v>26</v>
      </c>
      <c r="D36" s="17">
        <f>IF(AND(ISNUMBER(D33),ISNUMBER(C33)),(D33-C33)*10000,"n/a")</f>
        <v>42.88703558598339</v>
      </c>
      <c r="E36" s="17">
        <f>IF(AND(ISNUMBER(E33),ISNUMBER(D33)),(E33-D33)*10000,"n/a")</f>
        <v>-366.76145901888503</v>
      </c>
      <c r="F36" s="17" t="s">
        <v>26</v>
      </c>
      <c r="G36" s="17">
        <f>IF(AND(ISNUMBER(G33),ISNUMBER(E33)),(G33-E33)*10000,"n/a")</f>
        <v>472.281637534957</v>
      </c>
      <c r="H36" s="16">
        <f>IF(AND(ISNUMBER(H33),ISNUMBER(G33)),(H33-G33)*10000,"n/a")</f>
        <v>-185.01262430699273</v>
      </c>
      <c r="I36" s="1"/>
      <c r="J36" s="1"/>
      <c r="K36" s="1"/>
    </row>
    <row r="37">
      <c r="A37" s="1"/>
      <c r="B37" s="1" t="s">
        <v>280</v>
      </c>
      <c r="C37" s="3">
        <v>-436</v>
      </c>
      <c r="D37" s="3">
        <v>-491.2</v>
      </c>
      <c r="E37" s="3">
        <v>-452.4</v>
      </c>
      <c r="F37" s="3">
        <v>-1848.4</v>
      </c>
      <c r="G37" s="3">
        <v>-457</v>
      </c>
      <c r="H37" s="25">
        <f>'Segment - Beer'!H89+'Segment - Beer'!H99+'Segment - Wine and Spirits'!H131+'Segment - Wine and Spirits'!H141+H103+H137</f>
        <v>-476.9634167122146</v>
      </c>
      <c r="I37" s="1"/>
      <c r="J37" s="1" t="s">
        <v>281</v>
      </c>
      <c r="K37" s="1"/>
    </row>
    <row r="38">
      <c r="A38" s="1"/>
      <c r="B38" s="1" t="s">
        <v>282</v>
      </c>
      <c r="C38" s="3">
        <v>-491.2</v>
      </c>
      <c r="D38" s="3">
        <v>-491.3</v>
      </c>
      <c r="E38" s="3">
        <v>-505.3</v>
      </c>
      <c r="F38" s="3">
        <v>-1950</v>
      </c>
      <c r="G38" s="3">
        <v>-500.7</v>
      </c>
      <c r="H38" s="25">
        <f>C37</f>
        <v>-436</v>
      </c>
      <c r="I38" s="1"/>
      <c r="J38" s="1" t="s">
        <v>160</v>
      </c>
      <c r="K38" s="1"/>
    </row>
    <row r="39" ht="41.25">
      <c r="A39" s="1"/>
      <c r="B39" s="7" t="s">
        <v>79</v>
      </c>
      <c r="C39" s="2">
        <f>IF(AND(ISNUMBER(C37),ISNUMBER(C38)),C37/C38-1,"n/a")</f>
        <v>-0.11237785016286639</v>
      </c>
      <c r="D39" s="2">
        <f>IF(AND(ISNUMBER(D37),ISNUMBER(D38)),D37/D38-1,"n/a")</f>
        <v>-0.00020354162426217126</v>
      </c>
      <c r="E39" s="2">
        <f>IF(AND(ISNUMBER(E37),ISNUMBER(E38)),E37/E38-1,"n/a")</f>
        <v>-0.104690283000198</v>
      </c>
      <c r="F39" s="2">
        <f>IF(AND(ISNUMBER(F37),ISNUMBER(F38)),F37/F38-1,"n/a")</f>
        <v>-0.052102564102564086</v>
      </c>
      <c r="G39" s="2">
        <f>IF(AND(ISNUMBER(G37),ISNUMBER(G38)),G37/G38-1,"n/a")</f>
        <v>-0.08727781106450971</v>
      </c>
      <c r="H39" s="14">
        <f>IF(AND(ISNUMBER(H37),ISNUMBER(H38)),H37/H38-1,"n/a")</f>
        <v>0.09395279062434536</v>
      </c>
      <c r="I39" s="1"/>
      <c r="J39" s="55" t="s">
        <v>283</v>
      </c>
      <c r="K39" s="1"/>
    </row>
    <row r="40">
      <c r="A40" s="1"/>
      <c r="B40" s="1" t="s">
        <v>170</v>
      </c>
      <c r="C40" s="3" t="s">
        <v>26</v>
      </c>
      <c r="D40" s="3">
        <f>IF(AND(ISNUMBER(D37),ISNUMBER(C37)),D37-C37,"n/a")</f>
        <v>-55.19999999999999</v>
      </c>
      <c r="E40" s="3">
        <f>IF(AND(ISNUMBER(E37),ISNUMBER(D37)),E37-D37,"n/a")</f>
        <v>38.80000000000001</v>
      </c>
      <c r="F40" s="3" t="s">
        <v>26</v>
      </c>
      <c r="G40" s="3">
        <f>IF(AND(ISNUMBER(G37),ISNUMBER(E37)),G37-E37,"n/a")</f>
        <v>-4.600000000000023</v>
      </c>
      <c r="H40" s="25">
        <f>IF(AND(ISNUMBER(H37),ISNUMBER(G37)),H37-G37,"n/a")</f>
        <v>-19.96341671221461</v>
      </c>
      <c r="I40" s="1"/>
      <c r="J40" s="1"/>
      <c r="K40" s="1"/>
    </row>
    <row r="41">
      <c r="A41" s="1"/>
      <c r="B41" s="7" t="s">
        <v>284</v>
      </c>
      <c r="C41" s="2">
        <f>IF(AND(ISNUMBER(C37),ISNUMBER(C21)),IF(C21=0,"n/a",-C37/C21),"n/a")</f>
        <v>0.17573559048770657</v>
      </c>
      <c r="D41" s="2">
        <f>IF(AND(ISNUMBER(D37),ISNUMBER(D21)),IF(D21=0,"n/a",-D37/D21),"n/a")</f>
        <v>0.22098254453841998</v>
      </c>
      <c r="E41" s="2">
        <f>IF(AND(ISNUMBER(E37),ISNUMBER(E21)),IF(E21=0,"n/a",-E37/E21),"n/a")</f>
        <v>0.23560045828559525</v>
      </c>
      <c r="F41" s="2">
        <f>IF(AND(ISNUMBER(F37),ISNUMBER(F21)),IF(F21=0,"n/a",-F37/F21),"n/a")</f>
        <v>0.20225407593828648</v>
      </c>
      <c r="G41" s="2">
        <f>IF(AND(ISNUMBER(G37),ISNUMBER(G21)),IF(G21=0,"n/a",-G37/G21),"n/a")</f>
        <v>0.18785711349529327</v>
      </c>
      <c r="H41" s="14">
        <f>IF(AND(ISNUMBER(H37),ISNUMBER(H21)),IF(H21=0,"n/a",-H37/H21),"n/a")</f>
        <v>0.18817467790619807</v>
      </c>
      <c r="I41" s="1"/>
      <c r="J41" s="1" t="s">
        <v>285</v>
      </c>
      <c r="K41" s="1"/>
    </row>
    <row r="42">
      <c r="A42" s="1"/>
      <c r="B42" s="7" t="s">
        <v>286</v>
      </c>
      <c r="C42" s="2">
        <f>IF(AND(ISNUMBER(C38),ISNUMBER(C20)),IF(C20=0,"n/a",-C38/C20),"n/a")</f>
        <v>0.16828257220185688</v>
      </c>
      <c r="D42" s="2">
        <f>IF(AND(ISNUMBER(D38),ISNUMBER(D20)),IF(D20=0,"n/a",-D38/D20),"n/a")</f>
        <v>0.19940741943339554</v>
      </c>
      <c r="E42" s="2">
        <f>IF(AND(ISNUMBER(E38),ISNUMBER(E20)),IF(E20=0,"n/a",-E38/E20),"n/a")</f>
        <v>0.23348119397467884</v>
      </c>
      <c r="F42" s="2">
        <f>IF(AND(ISNUMBER(F38),ISNUMBER(F20)),IF(F20=0,"n/a",-F38/F20),"n/a")</f>
        <v>0.1910135472685063</v>
      </c>
      <c r="G42" s="2">
        <f>IF(AND(ISNUMBER(G38),ISNUMBER(G20)),IF(G20=0,"n/a",-G38/G20),"n/a")</f>
        <v>0.1990854870775348</v>
      </c>
      <c r="H42" s="14">
        <f>IF(AND(ISNUMBER(H38),ISNUMBER(H20)),IF(H20=0,"n/a",-H38/H20),"n/a")</f>
        <v>0.17573559048770657</v>
      </c>
      <c r="I42" s="1"/>
      <c r="J42" s="1"/>
      <c r="K42" s="1"/>
    </row>
    <row r="43">
      <c r="A43" s="1"/>
      <c r="B43" s="7" t="s">
        <v>175</v>
      </c>
      <c r="C43" s="17">
        <f>IF(AND(ISNUMBER(C41),ISNUMBER(C42)),(C41-C42)*10000,"n/a")</f>
        <v>74.53018285849683</v>
      </c>
      <c r="D43" s="17">
        <f>IF(AND(ISNUMBER(D41),ISNUMBER(D42)),(D41-D42)*10000,"n/a")</f>
        <v>215.75125105024435</v>
      </c>
      <c r="E43" s="17">
        <f>IF(AND(ISNUMBER(E41),ISNUMBER(E42)),(E41-E42)*10000,"n/a")</f>
        <v>21.192643109164134</v>
      </c>
      <c r="F43" s="17">
        <f>IF(AND(ISNUMBER(F41),ISNUMBER(F42)),(F41-F42)*10000,"n/a")</f>
        <v>112.40528669780176</v>
      </c>
      <c r="G43" s="17">
        <f>IF(AND(ISNUMBER(G41),ISNUMBER(G42)),(G41-G42)*10000,"n/a")</f>
        <v>-112.28373582241518</v>
      </c>
      <c r="H43" s="16">
        <f>IF(AND(ISNUMBER(H41),ISNUMBER(H42)),(H41-H42)*10000,"n/a")</f>
        <v>124.39087418491506</v>
      </c>
      <c r="I43" s="1"/>
      <c r="J43" s="1"/>
      <c r="K43" s="1"/>
    </row>
    <row r="44">
      <c r="A44" s="1"/>
      <c r="B44" s="7" t="s">
        <v>112</v>
      </c>
      <c r="C44" s="17" t="s">
        <v>26</v>
      </c>
      <c r="D44" s="17">
        <f>IF(AND(ISNUMBER(D41),ISNUMBER(C41)),(D41-C41)*10000,"n/a")</f>
        <v>452.4695405071341</v>
      </c>
      <c r="E44" s="17">
        <f>IF(AND(ISNUMBER(E41),ISNUMBER(D41)),(E41-D41)*10000,"n/a")</f>
        <v>146.17913747175277</v>
      </c>
      <c r="F44" s="17" t="s">
        <v>26</v>
      </c>
      <c r="G44" s="17">
        <f>IF(AND(ISNUMBER(G41),ISNUMBER(E41)),(G41-E41)*10000,"n/a")</f>
        <v>-477.43344790301984</v>
      </c>
      <c r="H44" s="16">
        <f>IF(AND(ISNUMBER(H41),ISNUMBER(G41)),(H41-G41)*10000,"n/a")</f>
        <v>3.175644109048026</v>
      </c>
      <c r="I44" s="1"/>
      <c r="J44" s="1"/>
      <c r="K44" s="1"/>
    </row>
    <row r="45">
      <c r="A45" s="1"/>
      <c r="B45" s="1" t="s">
        <v>287</v>
      </c>
      <c r="C45" s="3">
        <f>C139</f>
        <v>0</v>
      </c>
      <c r="D45" s="3">
        <f>D139</f>
        <v>0</v>
      </c>
      <c r="E45" s="3">
        <f>E139</f>
        <v>0</v>
      </c>
      <c r="F45" s="3">
        <f>F139</f>
        <v>0</v>
      </c>
      <c r="G45" s="3">
        <f>G139</f>
        <v>0</v>
      </c>
      <c r="H45" s="25">
        <f>H139</f>
        <v>0</v>
      </c>
      <c r="I45" s="1"/>
      <c r="J45" s="1" t="s">
        <v>288</v>
      </c>
      <c r="K45" s="1"/>
    </row>
    <row r="46">
      <c r="A46" s="1"/>
      <c r="B46" s="1" t="s">
        <v>289</v>
      </c>
      <c r="C46" s="3">
        <f>C138</f>
        <v>0</v>
      </c>
      <c r="D46" s="3">
        <f>D138</f>
        <v>0</v>
      </c>
      <c r="E46" s="3">
        <f>E138</f>
        <v>-57.7</v>
      </c>
      <c r="F46" s="3">
        <f>F138</f>
        <v>-109.8</v>
      </c>
      <c r="G46" s="3">
        <f>G138</f>
        <v>-18.3</v>
      </c>
      <c r="H46" s="25">
        <f>H138</f>
        <v>0</v>
      </c>
      <c r="I46" s="1"/>
      <c r="J46" s="1" t="s">
        <v>288</v>
      </c>
      <c r="K46" s="1"/>
    </row>
    <row r="47">
      <c r="A47" s="1"/>
      <c r="B47" s="1" t="s">
        <v>290</v>
      </c>
      <c r="C47" s="3" t="s">
        <v>291</v>
      </c>
      <c r="D47" s="3" t="s">
        <v>291</v>
      </c>
      <c r="E47" s="3">
        <f>E140</f>
        <v>0</v>
      </c>
      <c r="F47" s="3">
        <f>F140</f>
        <v>-31.9</v>
      </c>
      <c r="G47" s="3" t="s">
        <v>291</v>
      </c>
      <c r="H47" s="25">
        <f>H140</f>
        <v>0</v>
      </c>
      <c r="I47" s="1"/>
      <c r="J47" s="1" t="s">
        <v>292</v>
      </c>
      <c r="K47" s="1"/>
    </row>
    <row r="48">
      <c r="A48" s="1"/>
      <c r="B48" s="1" t="s">
        <v>293</v>
      </c>
      <c r="C48" s="3">
        <v>-1229.4</v>
      </c>
      <c r="D48" s="3">
        <v>793</v>
      </c>
      <c r="E48" s="3">
        <v>-150.3</v>
      </c>
      <c r="F48" s="3">
        <v>354.9</v>
      </c>
      <c r="G48" s="3">
        <v>713.8</v>
      </c>
      <c r="H48" s="25">
        <f>C49</f>
        <v>874</v>
      </c>
      <c r="I48" s="1"/>
      <c r="J48" s="1" t="s">
        <v>160</v>
      </c>
      <c r="K48" s="1"/>
    </row>
    <row r="49">
      <c r="A49" s="1"/>
      <c r="B49" s="12" t="s">
        <v>294</v>
      </c>
      <c r="C49" s="22">
        <f>C30+C37+C45+C46+N(C47)</f>
        <v>874</v>
      </c>
      <c r="D49" s="22">
        <f>D30+D37+D45+D46+N(D47)</f>
        <v>692.0000000000002</v>
      </c>
      <c r="E49" s="22">
        <f>E30+E37+E45+E46+N(E47)</f>
        <v>441.59999999999985</v>
      </c>
      <c r="F49" s="22">
        <f>F30+F37+F45+F46+N(F47)</f>
        <v>2721.3999999999996</v>
      </c>
      <c r="G49" s="22">
        <f>G30+G37+G45+G46+N(G47)</f>
        <v>845.3000000000004</v>
      </c>
      <c r="H49" s="42">
        <f>H30+H37+H45+H46+N(H47)</f>
        <v>852.104311957615</v>
      </c>
      <c r="I49" s="1"/>
      <c r="J49" s="1"/>
      <c r="K49" s="1"/>
    </row>
    <row r="50">
      <c r="A50" s="1"/>
      <c r="B50" s="7" t="s">
        <v>79</v>
      </c>
      <c r="C50" s="2" t="str">
        <f>IF(AND(ISNUMBER(C49),ISNUMBER(C48)),IF(C48&lt;=0,"n/m",C49/C48-1),"n/a")</f>
        <v>n/m</v>
      </c>
      <c r="D50" s="2">
        <f>IF(AND(ISNUMBER(D49),ISNUMBER(D48)),IF(D48&lt;=0,"n/m",D49/D48-1),"n/a")</f>
        <v>-0.12736443883984838</v>
      </c>
      <c r="E50" s="2" t="str">
        <f>IF(AND(ISNUMBER(E49),ISNUMBER(E48)),IF(E48&lt;=0,"n/m",E49/E48-1),"n/a")</f>
        <v>n/m</v>
      </c>
      <c r="F50" s="2">
        <f>IF(AND(ISNUMBER(F49),ISNUMBER(F48)),IF(F48&lt;=0,"n/m",F49/F48-1),"n/a")</f>
        <v>6.6680755142293595</v>
      </c>
      <c r="G50" s="2">
        <f>IF(AND(ISNUMBER(G49),ISNUMBER(G48)),IF(G48&lt;=0,"n/m",G49/G48-1),"n/a")</f>
        <v>0.18422527318576698</v>
      </c>
      <c r="H50" s="14">
        <f>IF(AND(ISNUMBER(H49),ISNUMBER(H48)),IF(H48&lt;=0,"n/m",H49/H48-1),"n/a")</f>
        <v>-0.02505227464803783</v>
      </c>
      <c r="I50" s="1"/>
      <c r="J50" s="1"/>
      <c r="K50" s="1"/>
    </row>
    <row r="51">
      <c r="A51" s="1"/>
      <c r="B51" s="1" t="s">
        <v>170</v>
      </c>
      <c r="C51" s="3" t="s">
        <v>26</v>
      </c>
      <c r="D51" s="3">
        <f>IF(AND(ISNUMBER(D49),ISNUMBER(C49)),D49-C49,"n/a")</f>
        <v>-181.99999999999977</v>
      </c>
      <c r="E51" s="3">
        <f>IF(AND(ISNUMBER(E49),ISNUMBER(D49)),E49-D49,"n/a")</f>
        <v>-250.40000000000038</v>
      </c>
      <c r="F51" s="3" t="s">
        <v>26</v>
      </c>
      <c r="G51" s="3">
        <f>IF(AND(ISNUMBER(G49),ISNUMBER(E49)),G49-E49,"n/a")</f>
        <v>403.70000000000056</v>
      </c>
      <c r="H51" s="25">
        <f>IF(AND(ISNUMBER(H49),ISNUMBER(G49)),H49-G49,"n/a")</f>
        <v>6.804311957614573</v>
      </c>
      <c r="I51" s="1"/>
      <c r="J51" s="1"/>
      <c r="K51" s="1"/>
    </row>
    <row r="52">
      <c r="A52" s="1"/>
      <c r="B52" s="7" t="s">
        <v>295</v>
      </c>
      <c r="C52" s="2">
        <f>IF(AND(ISNUMBER(C49),ISNUMBER(C21)),IF(C21=0,"n/a",C49/C21),"n/a")</f>
        <v>0.35227730753728337</v>
      </c>
      <c r="D52" s="2">
        <f>IF(AND(ISNUMBER(D49),ISNUMBER(D21)),IF(D21=0,"n/a",D49/D21),"n/a")</f>
        <v>0.3113190570451683</v>
      </c>
      <c r="E52" s="2">
        <f>IF(AND(ISNUMBER(E49),ISNUMBER(E21)),IF(E21=0,"n/a",E49/E21),"n/a")</f>
        <v>0.2299760441620664</v>
      </c>
      <c r="F52" s="2">
        <f>IF(AND(ISNUMBER(F49),ISNUMBER(F21)),IF(F21=0,"n/a",F49/F21),"n/a")</f>
        <v>0.2977787504103293</v>
      </c>
      <c r="G52" s="2">
        <f>IF(AND(ISNUMBER(G49),ISNUMBER(G21)),IF(G21=0,"n/a",G49/G21),"n/a")</f>
        <v>0.3474740000822133</v>
      </c>
      <c r="H52" s="14">
        <f>IF(AND(ISNUMBER(H49),ISNUMBER(H21)),IF(H21=0,"n/a",H49/H21),"n/a")</f>
        <v>0.33617767909829815</v>
      </c>
      <c r="I52" s="1"/>
      <c r="J52" s="1"/>
      <c r="K52" s="1"/>
    </row>
    <row r="53">
      <c r="A53" s="1"/>
      <c r="B53" s="7" t="s">
        <v>296</v>
      </c>
      <c r="C53" s="2">
        <f>IF(AND(ISNUMBER(C48),ISNUMBER(C20)),IF(C20=0,"n/a",C48/C20),"n/a")</f>
        <v>-0.42118606324300256</v>
      </c>
      <c r="D53" s="2">
        <f>IF(AND(ISNUMBER(D48),ISNUMBER(D20)),IF(D20=0,"n/a",D48/D20),"n/a")</f>
        <v>0.3218605406282977</v>
      </c>
      <c r="E53" s="2">
        <f>IF(AND(ISNUMBER(E48),ISNUMBER(E20)),IF(E20=0,"n/a",E48/E20),"n/a")</f>
        <v>-0.06944829498197948</v>
      </c>
      <c r="F53" s="2">
        <f>IF(AND(ISNUMBER(F48),ISNUMBER(F20)),IF(F20=0,"n/a",F48/F20),"n/a")</f>
        <v>0.034764465602868146</v>
      </c>
      <c r="G53" s="2">
        <f>IF(AND(ISNUMBER(G48),ISNUMBER(G20)),IF(G20=0,"n/a",G48/G20),"n/a")</f>
        <v>0.2838170974155069</v>
      </c>
      <c r="H53" s="14">
        <f>IF(AND(ISNUMBER(H48),ISNUMBER(H20)),IF(H20=0,"n/a",H48/H20),"n/a")</f>
        <v>0.35227730753728337</v>
      </c>
      <c r="I53" s="1"/>
      <c r="J53" s="1"/>
      <c r="K53" s="1"/>
    </row>
    <row r="54">
      <c r="A54" s="1"/>
      <c r="B54" s="7" t="s">
        <v>175</v>
      </c>
      <c r="C54" s="17">
        <f>IF(AND(ISNUMBER(C52),ISNUMBER(C53)),(C52-C53)*10000,"n/a")</f>
        <v>7734.633707802859</v>
      </c>
      <c r="D54" s="17">
        <f>IF(AND(ISNUMBER(D52),ISNUMBER(D53)),(D52-D53)*10000,"n/a")</f>
        <v>-105.41483583129396</v>
      </c>
      <c r="E54" s="17">
        <f>IF(AND(ISNUMBER(E52),ISNUMBER(E53)),(E52-E53)*10000,"n/a")</f>
        <v>2994.2433914404587</v>
      </c>
      <c r="F54" s="17">
        <f>IF(AND(ISNUMBER(F52),ISNUMBER(F53)),(F52-F53)*10000,"n/a")</f>
        <v>2630.1428480746113</v>
      </c>
      <c r="G54" s="17">
        <f>IF(AND(ISNUMBER(G52),ISNUMBER(G53)),(G52-G53)*10000,"n/a")</f>
        <v>636.5690266670637</v>
      </c>
      <c r="H54" s="16">
        <f>IF(AND(ISNUMBER(H52),ISNUMBER(H53)),(H52-H53)*10000,"n/a")</f>
        <v>-160.99628438985215</v>
      </c>
      <c r="I54" s="1"/>
      <c r="J54" s="1"/>
      <c r="K54" s="1"/>
    </row>
    <row r="55">
      <c r="A55" s="1"/>
      <c r="B55" s="7" t="s">
        <v>112</v>
      </c>
      <c r="C55" s="17" t="s">
        <v>26</v>
      </c>
      <c r="D55" s="17">
        <f>IF(AND(ISNUMBER(D52),ISNUMBER(C52)),(D52-C52)*10000,"n/a")</f>
        <v>-409.5825049211505</v>
      </c>
      <c r="E55" s="17">
        <f>IF(AND(ISNUMBER(E52),ISNUMBER(D52)),(E52-D52)*10000,"n/a")</f>
        <v>-813.4301288310191</v>
      </c>
      <c r="F55" s="17" t="s">
        <v>26</v>
      </c>
      <c r="G55" s="17">
        <f>IF(AND(ISNUMBER(G52),ISNUMBER(E52)),(G52-E52)*10000,"n/a")</f>
        <v>1174.9795592014689</v>
      </c>
      <c r="H55" s="16">
        <f>IF(AND(ISNUMBER(H52),ISNUMBER(G52)),(H52-G52)*10000,"n/a")</f>
        <v>-112.96320983915142</v>
      </c>
      <c r="I55" s="1"/>
      <c r="J55" s="1"/>
      <c r="K55" s="1"/>
    </row>
    <row r="56">
      <c r="A56" s="1"/>
      <c r="B56" s="1" t="s">
        <v>297</v>
      </c>
      <c r="C56" s="3">
        <v>-1.2</v>
      </c>
      <c r="D56" s="3">
        <v>-15</v>
      </c>
      <c r="E56" s="3">
        <v>-92.1</v>
      </c>
      <c r="F56" s="3">
        <v>-26.3</v>
      </c>
      <c r="G56" s="3">
        <v>-3.5</v>
      </c>
      <c r="H56" s="25">
        <f>C57</f>
        <v>-3.5</v>
      </c>
      <c r="I56" s="1"/>
      <c r="J56" s="1" t="s">
        <v>160</v>
      </c>
      <c r="K56" s="1"/>
    </row>
    <row r="57">
      <c r="A57" s="1"/>
      <c r="B57" s="1" t="s">
        <v>298</v>
      </c>
      <c r="C57" s="3">
        <v>-3.5</v>
      </c>
      <c r="D57" s="3">
        <v>23.5</v>
      </c>
      <c r="E57" s="3">
        <v>-7.5</v>
      </c>
      <c r="F57" s="3">
        <v>9</v>
      </c>
      <c r="G57" s="3">
        <v>0.5</v>
      </c>
      <c r="H57" s="25">
        <f>H168+H143</f>
        <v>5.4</v>
      </c>
      <c r="I57" s="1"/>
      <c r="J57" s="1" t="s">
        <v>160</v>
      </c>
      <c r="K57" s="1"/>
    </row>
    <row r="58">
      <c r="A58" s="1"/>
      <c r="B58" s="7" t="s">
        <v>79</v>
      </c>
      <c r="C58" s="2" t="str">
        <f>IF(AND(ISNUMBER(C57),ISNUMBER(C56)),IF(C56&lt;=0,"n/m",C57/C56-1),"n/a")</f>
        <v>n/m</v>
      </c>
      <c r="D58" s="2" t="str">
        <f>IF(AND(ISNUMBER(D57),ISNUMBER(D56)),IF(D56&lt;=0,"n/m",D57/D56-1),"n/a")</f>
        <v>n/m</v>
      </c>
      <c r="E58" s="2" t="str">
        <f>IF(AND(ISNUMBER(E57),ISNUMBER(E56)),IF(E56&lt;=0,"n/m",E57/E56-1),"n/a")</f>
        <v>n/m</v>
      </c>
      <c r="F58" s="2" t="str">
        <f>IF(AND(ISNUMBER(F57),ISNUMBER(F56)),IF(F56&lt;=0,"n/m",F57/F56-1),"n/a")</f>
        <v>n/m</v>
      </c>
      <c r="G58" s="2" t="str">
        <f>IF(AND(ISNUMBER(G57),ISNUMBER(G56)),IF(G56&lt;=0,"n/m",G57/G56-1),"n/a")</f>
        <v>n/m</v>
      </c>
      <c r="H58" s="14" t="str">
        <f>IF(AND(ISNUMBER(H57),ISNUMBER(H56)),IF(H56&lt;=0,"n/m",H57/H56-1),"n/a")</f>
        <v>n/m</v>
      </c>
      <c r="I58" s="1"/>
      <c r="J58" s="1"/>
      <c r="K58" s="1"/>
    </row>
    <row r="59">
      <c r="A59" s="1"/>
      <c r="B59" s="1" t="s">
        <v>170</v>
      </c>
      <c r="C59" s="3" t="s">
        <v>26</v>
      </c>
      <c r="D59" s="3">
        <f>IF(AND(ISNUMBER(D57),ISNUMBER(C57)),D57-C57,"n/a")</f>
        <v>27</v>
      </c>
      <c r="E59" s="3">
        <f>IF(AND(ISNUMBER(E57),ISNUMBER(D57)),E57-D57,"n/a")</f>
        <v>-31</v>
      </c>
      <c r="F59" s="3" t="s">
        <v>26</v>
      </c>
      <c r="G59" s="3">
        <f>IF(AND(ISNUMBER(G57),ISNUMBER(E57)),G57-E57,"n/a")</f>
        <v>8</v>
      </c>
      <c r="H59" s="25">
        <f>IF(AND(ISNUMBER(H57),ISNUMBER(G57)),H57-G57,"n/a")</f>
        <v>4.9</v>
      </c>
      <c r="I59" s="1"/>
      <c r="J59" s="1"/>
      <c r="K59" s="1"/>
    </row>
    <row r="60">
      <c r="A60" s="1"/>
      <c r="B60" s="1" t="s">
        <v>299</v>
      </c>
      <c r="C60" s="3">
        <v>-104</v>
      </c>
      <c r="D60" s="3">
        <v>-104.4</v>
      </c>
      <c r="E60" s="3">
        <v>-100.2</v>
      </c>
      <c r="F60" s="3">
        <v>-411.4</v>
      </c>
      <c r="G60" s="3">
        <v>-98.9</v>
      </c>
      <c r="H60" s="25">
        <f>C61</f>
        <v>-87.6</v>
      </c>
      <c r="I60" s="1"/>
      <c r="J60" s="1" t="s">
        <v>160</v>
      </c>
      <c r="K60" s="1"/>
    </row>
    <row r="61">
      <c r="A61" s="1"/>
      <c r="B61" s="1" t="s">
        <v>300</v>
      </c>
      <c r="C61" s="3">
        <v>-87.6</v>
      </c>
      <c r="D61" s="3">
        <v>-83.2</v>
      </c>
      <c r="E61" s="3">
        <v>-82.9</v>
      </c>
      <c r="F61" s="3">
        <v>-352.6</v>
      </c>
      <c r="G61" s="3">
        <v>-85.8</v>
      </c>
      <c r="H61" s="25">
        <f>H172+H144</f>
        <v>-85</v>
      </c>
      <c r="I61" s="1"/>
      <c r="J61" s="1" t="s">
        <v>160</v>
      </c>
      <c r="K61" s="1"/>
    </row>
    <row r="62">
      <c r="A62" s="1"/>
      <c r="B62" s="7" t="s">
        <v>79</v>
      </c>
      <c r="C62" s="2">
        <f>IF(AND(ISNUMBER(C61),ISNUMBER(C60)),C61/C60-1,"n/a")</f>
        <v>-0.1576923076923078</v>
      </c>
      <c r="D62" s="2">
        <f>IF(AND(ISNUMBER(D61),ISNUMBER(D60)),D61/D60-1,"n/a")</f>
        <v>-0.2030651340996169</v>
      </c>
      <c r="E62" s="2">
        <f>IF(AND(ISNUMBER(E61),ISNUMBER(E60)),E61/E60-1,"n/a")</f>
        <v>-0.17265469061876249</v>
      </c>
      <c r="F62" s="2">
        <f>IF(AND(ISNUMBER(F61),ISNUMBER(F60)),F61/F60-1,"n/a")</f>
        <v>-0.14292659212445302</v>
      </c>
      <c r="G62" s="2">
        <f>IF(AND(ISNUMBER(G61),ISNUMBER(G60)),G61/G60-1,"n/a")</f>
        <v>-0.1324570273003034</v>
      </c>
      <c r="H62" s="14">
        <f>IF(AND(ISNUMBER(H61),ISNUMBER(H60)),H61/H60-1,"n/a")</f>
        <v>-0.029680365296803624</v>
      </c>
      <c r="I62" s="1"/>
      <c r="J62" s="1"/>
      <c r="K62" s="1"/>
    </row>
    <row r="63">
      <c r="A63" s="1"/>
      <c r="B63" s="1" t="s">
        <v>170</v>
      </c>
      <c r="C63" s="3" t="s">
        <v>26</v>
      </c>
      <c r="D63" s="3">
        <f>IF(AND(ISNUMBER(D61),ISNUMBER(C61)),D61-C61,"n/a")</f>
        <v>4.3999999999999915</v>
      </c>
      <c r="E63" s="3">
        <f>IF(AND(ISNUMBER(E61),ISNUMBER(D61)),E61-D61,"n/a")</f>
        <v>0.29999999999999716</v>
      </c>
      <c r="F63" s="3" t="s">
        <v>26</v>
      </c>
      <c r="G63" s="3">
        <f>IF(AND(ISNUMBER(G61),ISNUMBER(E61)),G61-E61,"n/a")</f>
        <v>-2.8999999999999915</v>
      </c>
      <c r="H63" s="25">
        <f>IF(AND(ISNUMBER(H61),ISNUMBER(G61)),H61-G61,"n/a")</f>
        <v>0.7999999999999972</v>
      </c>
      <c r="I63" s="1"/>
      <c r="J63" s="1"/>
      <c r="K63" s="1"/>
    </row>
    <row r="64">
      <c r="A64" s="1"/>
      <c r="B64" s="1" t="s">
        <v>301</v>
      </c>
      <c r="C64" s="3">
        <v>-1334.6</v>
      </c>
      <c r="D64" s="3">
        <v>673.6</v>
      </c>
      <c r="E64" s="3">
        <v>-342.6</v>
      </c>
      <c r="F64" s="3">
        <v>-82.8</v>
      </c>
      <c r="G64" s="3">
        <v>611.4</v>
      </c>
      <c r="H64" s="25">
        <f>C65</f>
        <v>782.9</v>
      </c>
      <c r="I64" s="1"/>
      <c r="J64" s="1" t="s">
        <v>160</v>
      </c>
      <c r="K64" s="1"/>
    </row>
    <row r="65">
      <c r="A65" s="1"/>
      <c r="B65" s="12" t="s">
        <v>302</v>
      </c>
      <c r="C65" s="22">
        <f>C49+C57+C61</f>
        <v>782.9</v>
      </c>
      <c r="D65" s="22">
        <f>D49+D57+D61</f>
        <v>632.3000000000002</v>
      </c>
      <c r="E65" s="22">
        <f>E49+E57+E61</f>
        <v>351.1999999999998</v>
      </c>
      <c r="F65" s="22">
        <f>F49+F57+F61</f>
        <v>2377.7999999999997</v>
      </c>
      <c r="G65" s="22">
        <f>G49+G57+G61</f>
        <v>760.0000000000005</v>
      </c>
      <c r="H65" s="42">
        <f>H49+H57+H61</f>
        <v>772.504311957615</v>
      </c>
      <c r="I65" s="1"/>
      <c r="J65" s="1"/>
      <c r="K65" s="1"/>
    </row>
    <row r="66">
      <c r="A66" s="1"/>
      <c r="B66" s="7" t="s">
        <v>79</v>
      </c>
      <c r="C66" s="2" t="str">
        <f>IF(AND(ISNUMBER(C65),ISNUMBER(C64)),IF(C64&lt;=0,"n/m",C65/C64-1),"n/a")</f>
        <v>n/m</v>
      </c>
      <c r="D66" s="2">
        <f>IF(AND(ISNUMBER(D65),ISNUMBER(D64)),IF(D64&lt;=0,"n/m",D65/D64-1),"n/a")</f>
        <v>-0.06131235154394277</v>
      </c>
      <c r="E66" s="2" t="str">
        <f>IF(AND(ISNUMBER(E65),ISNUMBER(E64)),IF(E64&lt;=0,"n/m",E65/E64-1),"n/a")</f>
        <v>n/m</v>
      </c>
      <c r="F66" s="2" t="str">
        <f>IF(AND(ISNUMBER(F65),ISNUMBER(F64)),IF(F64&lt;=0,"n/m",F65/F64-1),"n/a")</f>
        <v>n/m</v>
      </c>
      <c r="G66" s="2">
        <f>IF(AND(ISNUMBER(G65),ISNUMBER(G64)),IF(G64&lt;=0,"n/m",G65/G64-1),"n/a")</f>
        <v>0.24304874059535564</v>
      </c>
      <c r="H66" s="14">
        <f>IF(AND(ISNUMBER(H65),ISNUMBER(H64)),IF(H64&lt;=0,"n/m",H65/H64-1),"n/a")</f>
        <v>-0.013278436636077418</v>
      </c>
      <c r="I66" s="1"/>
      <c r="J66" s="1"/>
      <c r="K66" s="1"/>
    </row>
    <row r="67">
      <c r="A67" s="1"/>
      <c r="B67" s="1" t="s">
        <v>170</v>
      </c>
      <c r="C67" s="3" t="s">
        <v>26</v>
      </c>
      <c r="D67" s="3">
        <f>IF(AND(ISNUMBER(D65),ISNUMBER(C65)),D65-C65,"n/a")</f>
        <v>-150.5999999999998</v>
      </c>
      <c r="E67" s="3">
        <f>IF(AND(ISNUMBER(E65),ISNUMBER(D65)),E65-D65,"n/a")</f>
        <v>-281.10000000000036</v>
      </c>
      <c r="F67" s="3" t="s">
        <v>26</v>
      </c>
      <c r="G67" s="3">
        <f>IF(AND(ISNUMBER(G65),ISNUMBER(E65)),G65-E65,"n/a")</f>
        <v>408.80000000000064</v>
      </c>
      <c r="H67" s="25">
        <f>IF(AND(ISNUMBER(H65),ISNUMBER(G65)),H65-G65,"n/a")</f>
        <v>12.504311957614505</v>
      </c>
      <c r="I67" s="1"/>
      <c r="J67" s="1"/>
      <c r="K67" s="1"/>
    </row>
    <row r="68">
      <c r="A68" s="1"/>
      <c r="B68" s="1" t="s">
        <v>303</v>
      </c>
      <c r="C68" s="3">
        <v>-296.8</v>
      </c>
      <c r="D68" s="3">
        <v>-110.1</v>
      </c>
      <c r="E68" s="3">
        <v>-126.5</v>
      </c>
      <c r="F68" s="3">
        <v>-621</v>
      </c>
      <c r="G68" s="3">
        <v>-88.1</v>
      </c>
      <c r="H68" s="25">
        <f>H180+H148</f>
        <v>-152.79745376760778</v>
      </c>
      <c r="I68" s="1"/>
      <c r="J68" s="1" t="s">
        <v>160</v>
      </c>
      <c r="K68" s="1"/>
    </row>
    <row r="69">
      <c r="A69" s="1"/>
      <c r="B69" s="1" t="s">
        <v>304</v>
      </c>
      <c r="C69" s="3">
        <v>152.2</v>
      </c>
      <c r="D69" s="3">
        <v>-44.5</v>
      </c>
      <c r="E69" s="3">
        <v>-28</v>
      </c>
      <c r="F69" s="3">
        <v>51.7</v>
      </c>
      <c r="G69" s="3">
        <v>-87.6</v>
      </c>
      <c r="H69" s="25">
        <f>C68</f>
        <v>-296.8</v>
      </c>
      <c r="I69" s="1"/>
      <c r="J69" s="1" t="s">
        <v>160</v>
      </c>
      <c r="K69" s="1"/>
    </row>
    <row r="70">
      <c r="A70" s="1"/>
      <c r="B70" s="7" t="s">
        <v>79</v>
      </c>
      <c r="C70" s="2">
        <f>IF(AND(ISNUMBER(C68),ISNUMBER(C69)),C68/C69-1,"n/a")</f>
        <v>-2.9500657030223394</v>
      </c>
      <c r="D70" s="2">
        <f>IF(AND(ISNUMBER(D68),ISNUMBER(D69)),D68/D69-1,"n/a")</f>
        <v>1.4741573033707862</v>
      </c>
      <c r="E70" s="2">
        <f>IF(AND(ISNUMBER(E68),ISNUMBER(E69)),E68/E69-1,"n/a")</f>
        <v>3.5178571428571432</v>
      </c>
      <c r="F70" s="2">
        <f>IF(AND(ISNUMBER(F68),ISNUMBER(F69)),F68/F69-1,"n/a")</f>
        <v>-13.011605415860734</v>
      </c>
      <c r="G70" s="2">
        <f>IF(AND(ISNUMBER(G68),ISNUMBER(G69)),G68/G69-1,"n/a")</f>
        <v>0.005707762557077611</v>
      </c>
      <c r="H70" s="14">
        <f>IF(AND(ISNUMBER(H68),ISNUMBER(H69)),H68/H69-1,"n/a")</f>
        <v>-0.4851837811064428</v>
      </c>
      <c r="I70" s="1"/>
      <c r="J70" s="1"/>
      <c r="K70" s="1"/>
    </row>
    <row r="71">
      <c r="A71" s="1"/>
      <c r="B71" s="1" t="s">
        <v>170</v>
      </c>
      <c r="C71" s="3" t="s">
        <v>26</v>
      </c>
      <c r="D71" s="3">
        <f>IF(AND(ISNUMBER(D68),ISNUMBER(C68)),D68-C68,"n/a")</f>
        <v>186.70000000000002</v>
      </c>
      <c r="E71" s="3">
        <f>IF(AND(ISNUMBER(E68),ISNUMBER(D68)),E68-D68,"n/a")</f>
        <v>-16.400000000000006</v>
      </c>
      <c r="F71" s="3" t="s">
        <v>26</v>
      </c>
      <c r="G71" s="3">
        <f>IF(AND(ISNUMBER(G68),ISNUMBER(E68)),G68-E68,"n/a")</f>
        <v>38.400000000000006</v>
      </c>
      <c r="H71" s="25">
        <f>IF(AND(ISNUMBER(H68),ISNUMBER(G68)),H68-G68,"n/a")</f>
        <v>-64.69745376760778</v>
      </c>
      <c r="I71" s="1"/>
      <c r="J71" s="1"/>
      <c r="K71" s="1"/>
    </row>
    <row r="72">
      <c r="A72" s="1"/>
      <c r="B72" s="7" t="s">
        <v>305</v>
      </c>
      <c r="C72" s="2">
        <f>IF(AND(ISNUMBER(C68),ISNUMBER(C65)),IF(C65=0,"n/a",-C68/C65),"n/a")</f>
        <v>0.3791033337591008</v>
      </c>
      <c r="D72" s="2">
        <f>IF(AND(ISNUMBER(D68),ISNUMBER(D65)),IF(D65=0,"n/a",-D68/D65),"n/a")</f>
        <v>0.17412620591491373</v>
      </c>
      <c r="E72" s="2">
        <f>IF(AND(ISNUMBER(E68),ISNUMBER(E65)),IF(E65=0,"n/a",-E68/E65),"n/a")</f>
        <v>0.36019362186788173</v>
      </c>
      <c r="F72" s="2">
        <f>IF(AND(ISNUMBER(F68),ISNUMBER(F65)),IF(F65=0,"n/a",-F68/F65),"n/a")</f>
        <v>0.26116578349735053</v>
      </c>
      <c r="G72" s="2">
        <f>IF(AND(ISNUMBER(G68),ISNUMBER(G65)),IF(G65=0,"n/a",-G68/G65),"n/a")</f>
        <v>0.11592105263157887</v>
      </c>
      <c r="H72" s="14">
        <f>IF(AND(ISNUMBER(H68),ISNUMBER(H65)),IF(H65=0,"n/a",-H68/H65),"n/a")</f>
        <v>0.1977949526008488</v>
      </c>
      <c r="I72" s="1"/>
      <c r="J72" s="1"/>
      <c r="K72" s="1"/>
    </row>
    <row r="73">
      <c r="A73" s="1"/>
      <c r="B73" s="7" t="s">
        <v>306</v>
      </c>
      <c r="C73" s="2" t="str">
        <f>IF(AND(ISNUMBER(C64),ISNUMBER(C69)),IF(C64&lt;=0,"n/m",-C69/C64),"n/a")</f>
        <v>n/m</v>
      </c>
      <c r="D73" s="2">
        <f>IF(AND(ISNUMBER(D64),ISNUMBER(D69)),IF(D64&lt;=0,"n/m",-D69/D64),"n/a")</f>
        <v>0.06606294536817102</v>
      </c>
      <c r="E73" s="2" t="str">
        <f>IF(AND(ISNUMBER(E64),ISNUMBER(E69)),IF(E64&lt;=0,"n/m",-E69/E64),"n/a")</f>
        <v>n/m</v>
      </c>
      <c r="F73" s="2" t="str">
        <f>IF(AND(ISNUMBER(F64),ISNUMBER(F69)),IF(F64&lt;=0,"n/m",-F69/F64),"n/a")</f>
        <v>n/m</v>
      </c>
      <c r="G73" s="2">
        <f>IF(AND(ISNUMBER(G64),ISNUMBER(G69)),IF(G64&lt;=0,"n/m",-G69/G64),"n/a")</f>
        <v>0.14327772325809618</v>
      </c>
      <c r="H73" s="14">
        <f>IF(AND(ISNUMBER(H64),ISNUMBER(H69)),IF(H64&lt;=0,"n/m",-H69/H64),"n/a")</f>
        <v>0.3791033337591008</v>
      </c>
      <c r="I73" s="1"/>
      <c r="J73" s="1"/>
      <c r="K73" s="1"/>
    </row>
    <row r="74">
      <c r="A74" s="1"/>
      <c r="B74" s="7" t="s">
        <v>175</v>
      </c>
      <c r="C74" s="17" t="str">
        <f>IF(AND(ISNUMBER(C72),ISNUMBER(C73)),(C72-C73)*10000,"n/a")</f>
        <v>n/a</v>
      </c>
      <c r="D74" s="17">
        <f>IF(AND(ISNUMBER(D72),ISNUMBER(D73)),(D72-D73)*10000,"n/a")</f>
        <v>1080.632605467427</v>
      </c>
      <c r="E74" s="17" t="str">
        <f>IF(AND(ISNUMBER(E72),ISNUMBER(E73)),(E72-E73)*10000,"n/a")</f>
        <v>n/a</v>
      </c>
      <c r="F74" s="17" t="str">
        <f>IF(AND(ISNUMBER(F72),ISNUMBER(F73)),(F72-F73)*10000,"n/a")</f>
        <v>n/a</v>
      </c>
      <c r="G74" s="17">
        <f>IF(AND(ISNUMBER(G72),ISNUMBER(G73)),(G72-G73)*10000,"n/a")</f>
        <v>-273.5667062651731</v>
      </c>
      <c r="H74" s="16">
        <f>IF(AND(ISNUMBER(H72),ISNUMBER(H73)),(H72-H73)*10000,"n/a")</f>
        <v>-1813.0838115825202</v>
      </c>
      <c r="I74" s="1"/>
      <c r="J74" s="1"/>
      <c r="K74" s="1"/>
    </row>
    <row r="75">
      <c r="A75" s="1"/>
      <c r="B75" s="7" t="s">
        <v>112</v>
      </c>
      <c r="C75" s="17" t="s">
        <v>26</v>
      </c>
      <c r="D75" s="17">
        <f>IF(AND(ISNUMBER(D72),ISNUMBER(C72)),(D72-C72)*10000,"n/a")</f>
        <v>-2049.771278441871</v>
      </c>
      <c r="E75" s="17">
        <f>IF(AND(ISNUMBER(E72),ISNUMBER(D72)),(E72-D72)*10000,"n/a")</f>
        <v>1860.6741595296799</v>
      </c>
      <c r="F75" s="17" t="s">
        <v>26</v>
      </c>
      <c r="G75" s="17">
        <f>IF(AND(ISNUMBER(G72),ISNUMBER(E72)),(G72-E72)*10000,"n/a")</f>
        <v>-2442.7256923630284</v>
      </c>
      <c r="H75" s="16">
        <f>IF(AND(ISNUMBER(H72),ISNUMBER(G72)),(H72-G72)*10000,"n/a")</f>
        <v>818.7389996926994</v>
      </c>
      <c r="I75" s="1"/>
      <c r="J75" s="1"/>
      <c r="K75" s="1"/>
    </row>
    <row r="76">
      <c r="A76" s="1"/>
      <c r="B76" s="12" t="s">
        <v>307</v>
      </c>
      <c r="C76" s="22">
        <f>C65+C68</f>
        <v>486.09999999999997</v>
      </c>
      <c r="D76" s="22">
        <f>D65+D68</f>
        <v>522.2000000000002</v>
      </c>
      <c r="E76" s="22">
        <f>E65+E68</f>
        <v>224.69999999999982</v>
      </c>
      <c r="F76" s="22">
        <f>F65+F68</f>
        <v>1756.7999999999997</v>
      </c>
      <c r="G76" s="22">
        <f>G65+G68</f>
        <v>671.9000000000004</v>
      </c>
      <c r="H76" s="42">
        <f>H65+H68</f>
        <v>619.7068581900072</v>
      </c>
      <c r="I76" s="1"/>
      <c r="J76" s="1"/>
      <c r="K76" s="1"/>
    </row>
    <row r="77">
      <c r="A77" s="1"/>
      <c r="B77" s="1" t="s">
        <v>308</v>
      </c>
      <c r="C77" s="3">
        <v>-16.6</v>
      </c>
      <c r="D77" s="3">
        <v>-13.2</v>
      </c>
      <c r="E77" s="3">
        <v>-4.7</v>
      </c>
      <c r="F77" s="3">
        <v>-50.3</v>
      </c>
      <c r="G77" s="3">
        <v>-7.7</v>
      </c>
      <c r="H77" s="25">
        <f>C78</f>
        <v>-20.1</v>
      </c>
      <c r="I77" s="1"/>
      <c r="J77" s="1" t="s">
        <v>160</v>
      </c>
      <c r="K77" s="1"/>
    </row>
    <row r="78">
      <c r="A78" s="1"/>
      <c r="B78" s="1" t="s">
        <v>309</v>
      </c>
      <c r="C78" s="3">
        <v>-20.1</v>
      </c>
      <c r="D78" s="3">
        <v>-19.4</v>
      </c>
      <c r="E78" s="3">
        <v>-22.9</v>
      </c>
      <c r="F78" s="3">
        <v>-70.1</v>
      </c>
      <c r="G78" s="3">
        <v>-18.1</v>
      </c>
      <c r="H78" s="25">
        <v>-20</v>
      </c>
      <c r="I78" s="1"/>
      <c r="J78" s="1" t="s">
        <v>160</v>
      </c>
      <c r="K78" s="1"/>
    </row>
    <row r="79">
      <c r="A79" s="1"/>
      <c r="B79" s="7" t="s">
        <v>79</v>
      </c>
      <c r="C79" s="2">
        <f>IF(AND(ISNUMBER(C78),ISNUMBER(C77)),C78/C77-1,"n/a")</f>
        <v>0.21084337349397586</v>
      </c>
      <c r="D79" s="2">
        <f>IF(AND(ISNUMBER(D78),ISNUMBER(D77)),D78/D77-1,"n/a")</f>
        <v>0.4696969696969697</v>
      </c>
      <c r="E79" s="2">
        <f>IF(AND(ISNUMBER(E78),ISNUMBER(E77)),E78/E77-1,"n/a")</f>
        <v>3.872340425531914</v>
      </c>
      <c r="F79" s="2">
        <f>IF(AND(ISNUMBER(F78),ISNUMBER(F77)),F78/F77-1,"n/a")</f>
        <v>0.393638170974155</v>
      </c>
      <c r="G79" s="2">
        <f>IF(AND(ISNUMBER(G78),ISNUMBER(G77)),G78/G77-1,"n/a")</f>
        <v>1.3506493506493507</v>
      </c>
      <c r="H79" s="14">
        <f>IF(AND(ISNUMBER(H78),ISNUMBER(H77)),H78/H77-1,"n/a")</f>
        <v>-0.004975124378109541</v>
      </c>
      <c r="I79" s="1"/>
      <c r="J79" s="1"/>
      <c r="K79" s="1"/>
    </row>
    <row r="80">
      <c r="A80" s="1"/>
      <c r="B80" s="1" t="s">
        <v>170</v>
      </c>
      <c r="C80" s="3" t="s">
        <v>26</v>
      </c>
      <c r="D80" s="3">
        <f>IF(AND(ISNUMBER(D78),ISNUMBER(C78)),D78-C78,"n/a")</f>
        <v>0.7000000000000028</v>
      </c>
      <c r="E80" s="3">
        <f>IF(AND(ISNUMBER(E78),ISNUMBER(D78)),E78-D78,"n/a")</f>
        <v>-3.5</v>
      </c>
      <c r="F80" s="3" t="s">
        <v>26</v>
      </c>
      <c r="G80" s="3">
        <f>IF(AND(ISNUMBER(G78),ISNUMBER(E78)),G78-E78,"n/a")</f>
        <v>4.799999999999997</v>
      </c>
      <c r="H80" s="25">
        <f>IF(AND(ISNUMBER(H78),ISNUMBER(G78)),H78-G78,"n/a")</f>
        <v>-1.8999999999999986</v>
      </c>
      <c r="I80" s="1"/>
      <c r="J80" s="1"/>
      <c r="K80" s="1"/>
    </row>
    <row r="81">
      <c r="A81" s="1"/>
      <c r="B81" s="1" t="s">
        <v>310</v>
      </c>
      <c r="C81" s="3">
        <v>-1199</v>
      </c>
      <c r="D81" s="3">
        <v>615.9</v>
      </c>
      <c r="E81" s="3">
        <v>-375.3</v>
      </c>
      <c r="F81" s="3">
        <v>-81.4</v>
      </c>
      <c r="G81" s="3">
        <v>516.1</v>
      </c>
      <c r="H81" s="25">
        <f>C82</f>
        <v>465.99999999999994</v>
      </c>
      <c r="I81" s="1"/>
      <c r="J81" s="1" t="s">
        <v>160</v>
      </c>
      <c r="K81" s="1"/>
    </row>
    <row r="82">
      <c r="A82" s="1"/>
      <c r="B82" s="12" t="s">
        <v>311</v>
      </c>
      <c r="C82" s="22">
        <f>C76+C78</f>
        <v>465.99999999999994</v>
      </c>
      <c r="D82" s="22">
        <f>D76+D78</f>
        <v>502.8000000000002</v>
      </c>
      <c r="E82" s="22">
        <f>E76+E78</f>
        <v>201.7999999999998</v>
      </c>
      <c r="F82" s="22">
        <f>F76+F78</f>
        <v>1686.6999999999998</v>
      </c>
      <c r="G82" s="22">
        <f>G76+G78</f>
        <v>653.8000000000004</v>
      </c>
      <c r="H82" s="42">
        <f>H76+H78</f>
        <v>599.7068581900072</v>
      </c>
      <c r="I82" s="1"/>
      <c r="J82" s="1"/>
      <c r="K82" s="1"/>
    </row>
    <row r="83">
      <c r="A83" s="1"/>
      <c r="B83" s="7" t="s">
        <v>79</v>
      </c>
      <c r="C83" s="2" t="str">
        <f>IF(AND(ISNUMBER(C82),ISNUMBER(C81)),IF(C81&lt;=0,"n/m",C82/C81-1),"n/a")</f>
        <v>n/m</v>
      </c>
      <c r="D83" s="2">
        <f>IF(AND(ISNUMBER(D82),ISNUMBER(D81)),IF(D81&lt;=0,"n/m",D82/D81-1),"n/a")</f>
        <v>-0.18363370677057933</v>
      </c>
      <c r="E83" s="2" t="str">
        <f>IF(AND(ISNUMBER(E82),ISNUMBER(E81)),IF(E81&lt;=0,"n/m",E82/E81-1),"n/a")</f>
        <v>n/m</v>
      </c>
      <c r="F83" s="2" t="str">
        <f>IF(AND(ISNUMBER(F82),ISNUMBER(F81)),IF(F81&lt;=0,"n/m",F82/F81-1),"n/a")</f>
        <v>n/m</v>
      </c>
      <c r="G83" s="2">
        <f>IF(AND(ISNUMBER(G82),ISNUMBER(G81)),IF(G81&lt;=0,"n/m",G82/G81-1),"n/a")</f>
        <v>0.2668087579926379</v>
      </c>
      <c r="H83" s="14">
        <f>IF(AND(ISNUMBER(H82),ISNUMBER(H81)),IF(H81&lt;=0,"n/m",H82/H81-1),"n/a")</f>
        <v>0.28692458839057355</v>
      </c>
      <c r="I83" s="1"/>
      <c r="J83" s="1"/>
      <c r="K83" s="1"/>
    </row>
    <row r="84">
      <c r="A84" s="1"/>
      <c r="B84" s="1" t="s">
        <v>170</v>
      </c>
      <c r="C84" s="3" t="s">
        <v>26</v>
      </c>
      <c r="D84" s="3">
        <f>IF(AND(ISNUMBER(D82),ISNUMBER(C82)),D82-C82,"n/a")</f>
        <v>36.80000000000024</v>
      </c>
      <c r="E84" s="3">
        <f>IF(AND(ISNUMBER(E82),ISNUMBER(D82)),E82-D82,"n/a")</f>
        <v>-301.00000000000034</v>
      </c>
      <c r="F84" s="3" t="s">
        <v>26</v>
      </c>
      <c r="G84" s="3">
        <f>IF(AND(ISNUMBER(G82),ISNUMBER(E82)),G82-E82,"n/a")</f>
        <v>452.00000000000057</v>
      </c>
      <c r="H84" s="25">
        <f>IF(AND(ISNUMBER(H82),ISNUMBER(G82)),H82-G82,"n/a")</f>
        <v>-54.0931418099932</v>
      </c>
      <c r="I84" s="1"/>
      <c r="J84" s="1"/>
      <c r="K84" s="1"/>
    </row>
    <row r="85">
      <c r="A85" s="1"/>
      <c r="B85" s="7" t="s">
        <v>312</v>
      </c>
      <c r="C85" s="2">
        <f>IF(AND(ISNUMBER(C82),ISNUMBER(C21)),IF(C21=0,"n/a",C82/C21),"n/a")</f>
        <v>0.18782748891575976</v>
      </c>
      <c r="D85" s="2">
        <f>IF(AND(ISNUMBER(D82),ISNUMBER(D21)),IF(D21=0,"n/a",D82/D21),"n/a")</f>
        <v>0.22620118769120034</v>
      </c>
      <c r="E85" s="2">
        <f>IF(AND(ISNUMBER(E82),ISNUMBER(E21)),IF(E21=0,"n/a",E82/E21),"n/a")</f>
        <v>0.10509321945630655</v>
      </c>
      <c r="F85" s="2">
        <f>IF(AND(ISNUMBER(F82),ISNUMBER(F21)),IF(F21=0,"n/a",F82/F21),"n/a")</f>
        <v>0.18456067403435822</v>
      </c>
      <c r="G85" s="2">
        <f>IF(AND(ISNUMBER(G82),ISNUMBER(G21)),IF(G21=0,"n/a",G82/G21),"n/a")</f>
        <v>0.26875488140748977</v>
      </c>
      <c r="H85" s="14">
        <f>IF(AND(ISNUMBER(H82),ISNUMBER(H21)),IF(H21=0,"n/a",H82/H21),"n/a")</f>
        <v>0.23660021067429726</v>
      </c>
      <c r="I85" s="1"/>
      <c r="J85" s="1"/>
      <c r="K85" s="1"/>
    </row>
    <row r="86">
      <c r="A86" s="1"/>
      <c r="B86" s="7" t="s">
        <v>313</v>
      </c>
      <c r="C86" s="2">
        <f>IF(AND(ISNUMBER(C81),ISNUMBER(C20)),IF(C20=0,"n/a",C81/C20),"n/a")</f>
        <v>-0.41077118092432086</v>
      </c>
      <c r="D86" s="2">
        <f>IF(AND(ISNUMBER(D81),ISNUMBER(D20)),IF(D20=0,"n/a",D81/D20),"n/a")</f>
        <v>0.24997970614497927</v>
      </c>
      <c r="E86" s="2">
        <f>IF(AND(ISNUMBER(E81),ISNUMBER(E20)),IF(E20=0,"n/a",E81/E20),"n/a")</f>
        <v>-0.17341280842805654</v>
      </c>
      <c r="F86" s="2">
        <f>IF(AND(ISNUMBER(F81),ISNUMBER(F20)),IF(F20=0,"n/a",F81/F20),"n/a")</f>
        <v>-0.007973591152644314</v>
      </c>
      <c r="G86" s="2">
        <f>IF(AND(ISNUMBER(G81),ISNUMBER(G20)),IF(G20=0,"n/a",G81/G20),"n/a")</f>
        <v>0.20520874751491056</v>
      </c>
      <c r="H86" s="14">
        <f>IF(AND(ISNUMBER(H81),ISNUMBER(H20)),IF(H20=0,"n/a",H81/H20),"n/a")</f>
        <v>0.18782748891575976</v>
      </c>
      <c r="I86" s="1"/>
      <c r="J86" s="1"/>
      <c r="K86" s="1"/>
    </row>
    <row r="87">
      <c r="A87" s="1"/>
      <c r="B87" s="7" t="s">
        <v>175</v>
      </c>
      <c r="C87" s="17">
        <f>IF(AND(ISNUMBER(C85),ISNUMBER(C86)),(C85-C86)*10000,"n/a")</f>
        <v>5985.986698400806</v>
      </c>
      <c r="D87" s="17">
        <f>IF(AND(ISNUMBER(D85),ISNUMBER(D86)),(D85-D86)*10000,"n/a")</f>
        <v>-237.7851845377893</v>
      </c>
      <c r="E87" s="17">
        <f>IF(AND(ISNUMBER(E85),ISNUMBER(E86)),(E85-E86)*10000,"n/a")</f>
        <v>2785.060278843631</v>
      </c>
      <c r="F87" s="17">
        <f>IF(AND(ISNUMBER(F85),ISNUMBER(F86)),(F85-F86)*10000,"n/a")</f>
        <v>1925.3426518700253</v>
      </c>
      <c r="G87" s="17">
        <f>IF(AND(ISNUMBER(G85),ISNUMBER(G86)),(G85-G86)*10000,"n/a")</f>
        <v>635.4613389257921</v>
      </c>
      <c r="H87" s="16">
        <f>IF(AND(ISNUMBER(H85),ISNUMBER(H86)),(H85-H86)*10000,"n/a")</f>
        <v>487.727217585375</v>
      </c>
      <c r="I87" s="1"/>
      <c r="J87" s="1"/>
      <c r="K87" s="1"/>
    </row>
    <row r="88">
      <c r="A88" s="1"/>
      <c r="B88" s="7" t="s">
        <v>112</v>
      </c>
      <c r="C88" s="17" t="s">
        <v>26</v>
      </c>
      <c r="D88" s="17">
        <f>IF(AND(ISNUMBER(D85),ISNUMBER(C85)),(D85-C85)*10000,"n/a")</f>
        <v>383.73698775440585</v>
      </c>
      <c r="E88" s="17">
        <f>IF(AND(ISNUMBER(E85),ISNUMBER(D85)),(E85-D85)*10000,"n/a")</f>
        <v>-1211.079682348938</v>
      </c>
      <c r="F88" s="17" t="s">
        <v>26</v>
      </c>
      <c r="G88" s="17">
        <f>IF(AND(ISNUMBER(G85),ISNUMBER(E85)),(G85-E85)*10000,"n/a")</f>
        <v>1636.616619511832</v>
      </c>
      <c r="H88" s="16">
        <f>IF(AND(ISNUMBER(H85),ISNUMBER(G85)),(H85-G85)*10000,"n/a")</f>
        <v>-321.546707331925</v>
      </c>
      <c r="I88" s="1"/>
      <c r="J88" s="1"/>
      <c r="K88" s="1"/>
    </row>
    <row r="89">
      <c r="A89" s="1"/>
      <c r="B89" s="1" t="s">
        <v>314</v>
      </c>
      <c r="C89" s="4">
        <v>2.65</v>
      </c>
      <c r="D89" s="4">
        <v>2.88</v>
      </c>
      <c r="E89" s="4">
        <v>1.16</v>
      </c>
      <c r="F89" s="4">
        <v>9.62</v>
      </c>
      <c r="G89" s="4">
        <v>3.8</v>
      </c>
      <c r="H89" s="38">
        <f>H82/H94</f>
        <v>3.512675360948929</v>
      </c>
      <c r="I89" s="1"/>
      <c r="J89" s="1" t="s">
        <v>160</v>
      </c>
      <c r="K89" s="1"/>
    </row>
    <row r="90">
      <c r="A90" s="1"/>
      <c r="B90" s="1" t="s">
        <v>315</v>
      </c>
      <c r="C90" s="4">
        <v>-6.59</v>
      </c>
      <c r="D90" s="4">
        <v>3.39</v>
      </c>
      <c r="E90" s="4">
        <f>Inputs!G101</f>
        <v>-2.09</v>
      </c>
      <c r="F90" s="4">
        <v>-0.45</v>
      </c>
      <c r="G90" s="4">
        <f>Inputs!G102</f>
        <v>2.9</v>
      </c>
      <c r="H90" s="38">
        <f>C91</f>
        <v>2.65</v>
      </c>
      <c r="I90" s="1"/>
      <c r="J90" s="1" t="s">
        <v>316</v>
      </c>
      <c r="K90" s="1"/>
    </row>
    <row r="91">
      <c r="A91" s="1"/>
      <c r="B91" s="12" t="s">
        <v>317</v>
      </c>
      <c r="C91" s="48">
        <f>Inputs!G103</f>
        <v>2.65</v>
      </c>
      <c r="D91" s="48">
        <f>Inputs!G104</f>
        <v>2.88</v>
      </c>
      <c r="E91" s="48">
        <f>Inputs!G105</f>
        <v>1.16</v>
      </c>
      <c r="F91" s="48">
        <v>9.61</v>
      </c>
      <c r="G91" s="48">
        <f>Inputs!G106</f>
        <v>3.79</v>
      </c>
      <c r="H91" s="50">
        <f>H82/H95</f>
        <v>3.5081547158001447</v>
      </c>
      <c r="I91" s="1"/>
      <c r="J91" s="1" t="s">
        <v>318</v>
      </c>
      <c r="K91" s="1"/>
    </row>
    <row r="92">
      <c r="A92" s="1"/>
      <c r="B92" s="7" t="s">
        <v>79</v>
      </c>
      <c r="C92" s="2" t="str">
        <f>IF(AND(ISNUMBER(C91),ISNUMBER(C90)),IF(C90&lt;=0,"n/m",C91/C90-1),"n/a")</f>
        <v>n/m</v>
      </c>
      <c r="D92" s="2">
        <f>IF(AND(ISNUMBER(D91),ISNUMBER(D90)),IF(D90&lt;=0,"n/m",D91/D90-1),"n/a")</f>
        <v>-0.1504424778761062</v>
      </c>
      <c r="E92" s="2" t="str">
        <f>IF(AND(ISNUMBER(E91),ISNUMBER(E90)),IF(E90&lt;=0,"n/m",E91/E90-1),"n/a")</f>
        <v>n/m</v>
      </c>
      <c r="F92" s="2" t="str">
        <f>IF(AND(ISNUMBER(F91),ISNUMBER(F90)),IF(F90&lt;=0,"n/m",F91/F90-1),"n/a")</f>
        <v>n/m</v>
      </c>
      <c r="G92" s="2">
        <f>IF(AND(ISNUMBER(G91),ISNUMBER(G90)),IF(G90&lt;=0,"n/m",G91/G90-1),"n/a")</f>
        <v>0.306896551724138</v>
      </c>
      <c r="H92" s="14">
        <f>IF(AND(ISNUMBER(H91),ISNUMBER(H90)),IF(H90&lt;=0,"n/m",H91/H90-1),"n/a")</f>
        <v>0.32383196822646965</v>
      </c>
      <c r="I92" s="1"/>
      <c r="J92" s="1"/>
      <c r="K92" s="1"/>
    </row>
    <row r="93">
      <c r="A93" s="1"/>
      <c r="B93" s="1" t="s">
        <v>149</v>
      </c>
      <c r="C93" s="4" t="s">
        <v>26</v>
      </c>
      <c r="D93" s="4">
        <f>IF(AND(ISNUMBER(D91),ISNUMBER(C91)),D91-C91,"n/a")</f>
        <v>0.22999999999999998</v>
      </c>
      <c r="E93" s="4">
        <f>IF(AND(ISNUMBER(E91),ISNUMBER(D91)),E91-D91,"n/a")</f>
        <v>-1.72</v>
      </c>
      <c r="F93" s="4" t="s">
        <v>26</v>
      </c>
      <c r="G93" s="4">
        <f>IF(AND(ISNUMBER(G91),ISNUMBER(E91)),G91-E91,"n/a")</f>
        <v>2.63</v>
      </c>
      <c r="H93" s="38">
        <f>IF(AND(ISNUMBER(H91),ISNUMBER(G91)),H91-G91,"n/a")</f>
        <v>-0.28184528419985533</v>
      </c>
      <c r="I93" s="1"/>
      <c r="J93" s="1"/>
      <c r="K93" s="1"/>
    </row>
    <row r="94">
      <c r="A94" s="1"/>
      <c r="B94" s="1" t="s">
        <v>319</v>
      </c>
      <c r="C94" s="29">
        <f>'Share Count'!C12</f>
        <v>175.821</v>
      </c>
      <c r="D94" s="29">
        <f>'Share Count'!D12</f>
        <v>174.515</v>
      </c>
      <c r="E94" s="29">
        <f>'Share Count'!E12</f>
        <v>173.465</v>
      </c>
      <c r="F94" s="29">
        <f>'Share Count'!F12</f>
        <v>175.414</v>
      </c>
      <c r="G94" s="29">
        <f>'Share Count'!G12</f>
        <v>172.186</v>
      </c>
      <c r="H94" s="31">
        <f>'Share Count'!H12</f>
        <v>170.72652510307694</v>
      </c>
      <c r="I94" s="1"/>
      <c r="J94" s="1"/>
      <c r="K94" s="1"/>
    </row>
    <row r="95">
      <c r="A95" s="1"/>
      <c r="B95" s="1" t="s">
        <v>320</v>
      </c>
      <c r="C95" s="29">
        <f>'Share Count'!C19</f>
        <v>175.938</v>
      </c>
      <c r="D95" s="29">
        <f>'Share Count'!D19</f>
        <v>174.614</v>
      </c>
      <c r="E95" s="29">
        <f>'Share Count'!E19</f>
        <v>173.679</v>
      </c>
      <c r="F95" s="29">
        <f>'Share Count'!F19</f>
        <v>175.568</v>
      </c>
      <c r="G95" s="29">
        <f>'Share Count'!G19</f>
        <v>172.407</v>
      </c>
      <c r="H95" s="31">
        <f>'Share Count'!H19</f>
        <v>170.94652510307694</v>
      </c>
      <c r="I95" s="1"/>
      <c r="J95" s="1"/>
      <c r="K95" s="1"/>
    </row>
    <row r="96">
      <c r="A96" s="1"/>
      <c r="B96" s="1" t="s">
        <v>321</v>
      </c>
      <c r="C96" s="4">
        <f>ROUND(C91-C82/C95,2)</f>
        <v>0</v>
      </c>
      <c r="D96" s="4">
        <f>ROUND(D91-D82/D95,2)</f>
        <v>0</v>
      </c>
      <c r="E96" s="4">
        <f>ROUND(E91-E82/E95,2)</f>
        <v>0</v>
      </c>
      <c r="F96" s="4">
        <f>ROUND(F91-F82/F95,2)</f>
        <v>0</v>
      </c>
      <c r="G96" s="4">
        <f>ROUND(G91-G82/G95,2)</f>
        <v>0</v>
      </c>
      <c r="H96" s="38">
        <f>ROUND(H91-H82/H95,2)</f>
        <v>0</v>
      </c>
      <c r="I96" s="1"/>
      <c r="J96" s="1" t="s">
        <v>322</v>
      </c>
      <c r="K96" s="1"/>
    </row>
    <row r="97">
      <c r="A97" s="1"/>
      <c r="B97" s="1" t="s">
        <v>323</v>
      </c>
      <c r="C97" s="4">
        <f>'Share Count'!C30</f>
        <v>1.02</v>
      </c>
      <c r="D97" s="4">
        <f>'Share Count'!D30</f>
        <v>1.02</v>
      </c>
      <c r="E97" s="4">
        <f>'Share Count'!E30</f>
        <v>1.02</v>
      </c>
      <c r="F97" s="4">
        <f>'Share Count'!F30</f>
        <v>4.08</v>
      </c>
      <c r="G97" s="4">
        <f>'Share Count'!G30</f>
        <v>1.03</v>
      </c>
      <c r="H97" s="38">
        <f>'Share Count'!H30</f>
        <v>1.03</v>
      </c>
      <c r="I97" s="1"/>
      <c r="J97" s="1"/>
      <c r="K97" s="1"/>
    </row>
    <row r="98">
      <c r="A98" s="1"/>
      <c r="B98" s="1"/>
      <c r="C98" s="1"/>
      <c r="D98" s="1"/>
      <c r="E98" s="1"/>
      <c r="F98" s="1"/>
      <c r="G98" s="1"/>
      <c r="H98" s="23"/>
      <c r="I98" s="1"/>
      <c r="J98" s="1"/>
      <c r="K98" s="1"/>
    </row>
    <row r="99">
      <c r="A99" s="1"/>
      <c r="B99" s="27" t="s">
        <v>324</v>
      </c>
      <c r="C99" s="1"/>
      <c r="D99" s="1"/>
      <c r="E99" s="1"/>
      <c r="F99" s="1"/>
      <c r="G99" s="1"/>
      <c r="H99" s="23"/>
      <c r="I99" s="1"/>
      <c r="J99" s="1"/>
      <c r="K99" s="1"/>
    </row>
    <row r="100">
      <c r="A100" s="1"/>
      <c r="B100" s="1" t="s">
        <v>325</v>
      </c>
      <c r="C100" s="3">
        <f>'Segment - Beer'!C107</f>
        <v>951.5999999999999</v>
      </c>
      <c r="D100" s="3">
        <f>'Segment - Beer'!D107</f>
        <v>763.5</v>
      </c>
      <c r="E100" s="3">
        <f>'Segment - Beer'!E107</f>
        <v>572.4999999999999</v>
      </c>
      <c r="F100" s="3">
        <f>'Segment - Beer'!F107</f>
        <v>3161</v>
      </c>
      <c r="G100" s="3">
        <f>'Segment - Beer'!G107</f>
        <v>891.4</v>
      </c>
      <c r="H100" s="25">
        <f>'Segment - Beer'!H107</f>
        <v>928.527411957615</v>
      </c>
      <c r="I100" s="1"/>
      <c r="J100" s="1"/>
      <c r="K100" s="1"/>
    </row>
    <row r="101">
      <c r="A101" s="1"/>
      <c r="B101" s="1" t="s">
        <v>326</v>
      </c>
      <c r="C101" s="3">
        <f>'Segment - Wine and Spirits'!C151</f>
        <v>-19.800000000000004</v>
      </c>
      <c r="D101" s="3">
        <f>'Segment - Wine and Spirits'!D151</f>
        <v>33.69999999999999</v>
      </c>
      <c r="E101" s="3">
        <f>'Segment - Wine and Spirits'!E151</f>
        <v>2.6000000000000085</v>
      </c>
      <c r="F101" s="3">
        <f>'Segment - Wine and Spirits'!F151</f>
        <v>10.499999999999972</v>
      </c>
      <c r="G101" s="3">
        <f>'Segment - Wine and Spirits'!G151</f>
        <v>-1.1000000000000014</v>
      </c>
      <c r="H101" s="25">
        <f>'Segment - Wine and Spirits'!H151</f>
        <v>-6.2231000000000165</v>
      </c>
      <c r="I101" s="1"/>
      <c r="J101" s="1"/>
      <c r="K101" s="1"/>
    </row>
    <row r="102">
      <c r="A102" s="1"/>
      <c r="B102" s="1" t="s">
        <v>327</v>
      </c>
      <c r="C102" s="3">
        <v>-58.4</v>
      </c>
      <c r="D102" s="3">
        <v>-62.9</v>
      </c>
      <c r="E102" s="3">
        <v>-64.6</v>
      </c>
      <c r="F102" s="3">
        <v>-244.6</v>
      </c>
      <c r="G102" s="3">
        <v>-57.5</v>
      </c>
      <c r="H102" s="25">
        <f>C103</f>
        <v>-45.6</v>
      </c>
      <c r="I102" s="1"/>
      <c r="J102" s="1" t="s">
        <v>160</v>
      </c>
      <c r="K102" s="1"/>
    </row>
    <row r="103">
      <c r="A103" s="1"/>
      <c r="B103" s="1" t="s">
        <v>328</v>
      </c>
      <c r="C103" s="3">
        <v>-45.6</v>
      </c>
      <c r="D103" s="3">
        <v>-58.3</v>
      </c>
      <c r="E103" s="3">
        <v>-66.9</v>
      </c>
      <c r="F103" s="3">
        <v>-228.3</v>
      </c>
      <c r="G103" s="3">
        <v>-56.1</v>
      </c>
      <c r="H103" s="25">
        <v>-57</v>
      </c>
      <c r="I103" s="1"/>
      <c r="J103" s="1" t="s">
        <v>329</v>
      </c>
      <c r="K103" s="1"/>
    </row>
    <row r="104">
      <c r="A104" s="1"/>
      <c r="B104" s="7" t="s">
        <v>79</v>
      </c>
      <c r="C104" s="2">
        <f>IF(AND(ISNUMBER(C103),ISNUMBER(C102)),C103/C102-1,"n/a")</f>
        <v>-0.2191780821917808</v>
      </c>
      <c r="D104" s="2">
        <f>IF(AND(ISNUMBER(D103),ISNUMBER(D102)),D103/D102-1,"n/a")</f>
        <v>-0.0731319554848967</v>
      </c>
      <c r="E104" s="2">
        <f>IF(AND(ISNUMBER(E103),ISNUMBER(E102)),E103/E102-1,"n/a")</f>
        <v>0.03560371517027883</v>
      </c>
      <c r="F104" s="2">
        <f>IF(AND(ISNUMBER(F103),ISNUMBER(F102)),F103/F102-1,"n/a")</f>
        <v>-0.06663941128372852</v>
      </c>
      <c r="G104" s="2">
        <f>IF(AND(ISNUMBER(G103),ISNUMBER(G102)),G103/G102-1,"n/a")</f>
        <v>-0.024347826086956514</v>
      </c>
      <c r="H104" s="14">
        <f>IF(AND(ISNUMBER(H103),ISNUMBER(H102)),H103/H102-1,"n/a")</f>
        <v>0.25</v>
      </c>
      <c r="I104" s="1"/>
      <c r="J104" s="1"/>
      <c r="K104" s="1"/>
    </row>
    <row r="105">
      <c r="A105" s="1"/>
      <c r="B105" s="1" t="s">
        <v>170</v>
      </c>
      <c r="C105" s="3" t="s">
        <v>26</v>
      </c>
      <c r="D105" s="3">
        <f>IF(AND(ISNUMBER(D103),ISNUMBER(C103)),D103-C103,"n/a")</f>
        <v>-12.699999999999996</v>
      </c>
      <c r="E105" s="3">
        <f>IF(AND(ISNUMBER(E103),ISNUMBER(D103)),E103-D103,"n/a")</f>
        <v>-8.600000000000009</v>
      </c>
      <c r="F105" s="3" t="s">
        <v>26</v>
      </c>
      <c r="G105" s="3">
        <f>IF(AND(ISNUMBER(G103),ISNUMBER(E103)),G103-E103,"n/a")</f>
        <v>10.800000000000004</v>
      </c>
      <c r="H105" s="25">
        <f>IF(AND(ISNUMBER(H103),ISNUMBER(G103)),H103-G103,"n/a")</f>
        <v>-0.8999999999999986</v>
      </c>
      <c r="I105" s="1"/>
      <c r="J105" s="1"/>
      <c r="K105" s="1"/>
    </row>
    <row r="106" ht="66.75">
      <c r="A106" s="1"/>
      <c r="B106" s="1" t="s">
        <v>330</v>
      </c>
      <c r="C106" s="3">
        <v>1019.1</v>
      </c>
      <c r="D106" s="3">
        <v>740.6</v>
      </c>
      <c r="E106" s="3">
        <v>560.5</v>
      </c>
      <c r="F106" s="3">
        <v>3230.2</v>
      </c>
      <c r="G106" s="3">
        <v>785.4</v>
      </c>
      <c r="H106" s="25">
        <f>C107</f>
        <v>886.1999999999999</v>
      </c>
      <c r="I106" s="1"/>
      <c r="J106" s="55" t="s">
        <v>331</v>
      </c>
      <c r="K106" s="1"/>
    </row>
    <row r="107">
      <c r="A107" s="1"/>
      <c r="B107" s="12" t="s">
        <v>332</v>
      </c>
      <c r="C107" s="22">
        <f>C100+C101+C103</f>
        <v>886.1999999999999</v>
      </c>
      <c r="D107" s="22">
        <f>D100+D101+D103</f>
        <v>738.9000000000001</v>
      </c>
      <c r="E107" s="22">
        <f>E100+E101+E103</f>
        <v>508.19999999999993</v>
      </c>
      <c r="F107" s="22">
        <f>F100+F101+F103</f>
        <v>2943.2</v>
      </c>
      <c r="G107" s="22">
        <f>G100+G101+G103</f>
        <v>834.1999999999999</v>
      </c>
      <c r="H107" s="42">
        <f>H100+H101+H103</f>
        <v>865.3043119576149</v>
      </c>
      <c r="I107" s="1"/>
      <c r="J107" s="1"/>
      <c r="K107" s="1"/>
    </row>
    <row r="108">
      <c r="A108" s="1"/>
      <c r="B108" s="7" t="s">
        <v>79</v>
      </c>
      <c r="C108" s="2">
        <f>IF(AND(ISNUMBER(C107),ISNUMBER(C106)),IF(C106&lt;=0,"n/m",C107/C106-1),"n/a")</f>
        <v>-0.1304091845746248</v>
      </c>
      <c r="D108" s="2">
        <f>IF(AND(ISNUMBER(D107),ISNUMBER(D106)),IF(D106&lt;=0,"n/m",D107/D106-1),"n/a")</f>
        <v>-0.002295436132865203</v>
      </c>
      <c r="E108" s="2">
        <f>IF(AND(ISNUMBER(E107),ISNUMBER(E106)),IF(E106&lt;=0,"n/m",E107/E106-1),"n/a")</f>
        <v>-0.09330954504906341</v>
      </c>
      <c r="F108" s="2">
        <f>IF(AND(ISNUMBER(F107),ISNUMBER(F106)),IF(F106&lt;=0,"n/m",F107/F106-1),"n/a")</f>
        <v>-0.08884898767878147</v>
      </c>
      <c r="G108" s="2">
        <f>IF(AND(ISNUMBER(G107),ISNUMBER(G106)),IF(G106&lt;=0,"n/m",G107/G106-1),"n/a")</f>
        <v>0.062133944486885584</v>
      </c>
      <c r="H108" s="14">
        <f>IF(AND(ISNUMBER(H107),ISNUMBER(H106)),IF(H106&lt;=0,"n/m",H107/H106-1),"n/a")</f>
        <v>-0.023578975448414585</v>
      </c>
      <c r="I108" s="1"/>
      <c r="J108" s="1"/>
      <c r="K108" s="1"/>
    </row>
    <row r="109">
      <c r="A109" s="1"/>
      <c r="B109" s="1" t="s">
        <v>170</v>
      </c>
      <c r="C109" s="3" t="s">
        <v>26</v>
      </c>
      <c r="D109" s="3">
        <f>IF(AND(ISNUMBER(D107),ISNUMBER(C107)),D107-C107,"n/a")</f>
        <v>-147.29999999999984</v>
      </c>
      <c r="E109" s="3">
        <f>IF(AND(ISNUMBER(E107),ISNUMBER(D107)),E107-D107,"n/a")</f>
        <v>-230.70000000000016</v>
      </c>
      <c r="F109" s="3" t="s">
        <v>26</v>
      </c>
      <c r="G109" s="3">
        <f>IF(AND(ISNUMBER(G107),ISNUMBER(E107)),G107-E107,"n/a")</f>
        <v>326</v>
      </c>
      <c r="H109" s="25">
        <f>IF(AND(ISNUMBER(H107),ISNUMBER(G107)),H107-G107,"n/a")</f>
        <v>31.104311957614982</v>
      </c>
      <c r="I109" s="1"/>
      <c r="J109" s="1"/>
      <c r="K109" s="1"/>
    </row>
    <row r="110">
      <c r="A110" s="1"/>
      <c r="B110" s="1" t="s">
        <v>244</v>
      </c>
      <c r="C110" s="3">
        <f>C20-'Revenue summary'!C43</f>
        <v>2698.3999999999996</v>
      </c>
      <c r="D110" s="3">
        <f>D20-'Revenue summary'!D43</f>
        <v>2261.2000000000003</v>
      </c>
      <c r="E110" s="3">
        <f>E20-'Revenue summary'!E43</f>
        <v>1912.1000000000004</v>
      </c>
      <c r="F110" s="3">
        <f>F20-'Revenue summary'!F43</f>
        <v>9497.499999999998</v>
      </c>
      <c r="G110" s="3">
        <f>G20-'Revenue summary'!G43</f>
        <v>2373</v>
      </c>
      <c r="H110" s="25">
        <f>H20-'Revenue summary'!H43</f>
        <v>2481</v>
      </c>
      <c r="I110" s="1"/>
      <c r="J110" s="1"/>
      <c r="K110" s="1"/>
    </row>
    <row r="111">
      <c r="A111" s="1"/>
      <c r="B111" s="7" t="s">
        <v>333</v>
      </c>
      <c r="C111" s="2">
        <f>IF(AND(ISNUMBER(C107),ISNUMBER(C21)),IF(C21=0,"n/a",C107/C21),"n/a")</f>
        <v>0.35719467956469164</v>
      </c>
      <c r="D111" s="2">
        <f>IF(AND(ISNUMBER(D107),ISNUMBER(D21)),IF(D21=0,"n/a",D107/D21),"n/a")</f>
        <v>0.3324185711714954</v>
      </c>
      <c r="E111" s="2">
        <f>IF(AND(ISNUMBER(E107),ISNUMBER(E21)),IF(E21=0,"n/a",E107/E21),"n/a")</f>
        <v>0.2646599312571607</v>
      </c>
      <c r="F111" s="2">
        <f>IF(AND(ISNUMBER(F107),ISNUMBER(F21)),IF(F21=0,"n/a",F107/F21),"n/a")</f>
        <v>0.3220483641536273</v>
      </c>
      <c r="G111" s="2">
        <f>IF(AND(ISNUMBER(G107),ISNUMBER(G21)),IF(G21=0,"n/a",G107/G21),"n/a")</f>
        <v>0.34291116866033616</v>
      </c>
      <c r="H111" s="14">
        <f>IF(AND(ISNUMBER(H107),ISNUMBER(H21)),IF(H21=0,"n/a",H107/H21),"n/a")</f>
        <v>0.34138542808140415</v>
      </c>
      <c r="I111" s="1"/>
      <c r="J111" s="1"/>
      <c r="K111" s="1"/>
    </row>
    <row r="112">
      <c r="A112" s="1"/>
      <c r="B112" s="7" t="s">
        <v>334</v>
      </c>
      <c r="C112" s="2">
        <f>IF(AND(ISNUMBER(C106),ISNUMBER(C110)),IF(C110=0,"n/a",C106/C110),"n/a")</f>
        <v>0.3776682478505782</v>
      </c>
      <c r="D112" s="2">
        <f>IF(AND(ISNUMBER(D106),ISNUMBER(D110)),IF(D110=0,"n/a",D106/D110),"n/a")</f>
        <v>0.32752520785423667</v>
      </c>
      <c r="E112" s="2">
        <f>IF(AND(ISNUMBER(E106),ISNUMBER(E110)),IF(E110=0,"n/a",E106/E110),"n/a")</f>
        <v>0.2931332043303174</v>
      </c>
      <c r="F112" s="2">
        <f>IF(AND(ISNUMBER(F106),ISNUMBER(F110)),IF(F110=0,"n/a",F106/F110),"n/a")</f>
        <v>0.3401105554093183</v>
      </c>
      <c r="G112" s="2">
        <f>IF(AND(ISNUMBER(G106),ISNUMBER(G110)),IF(G110=0,"n/a",G106/G110),"n/a")</f>
        <v>0.3309734513274336</v>
      </c>
      <c r="H112" s="14">
        <f>IF(AND(ISNUMBER(H106),ISNUMBER(H110)),IF(H110=0,"n/a",H106/H110),"n/a")</f>
        <v>0.35719467956469164</v>
      </c>
      <c r="I112" s="1"/>
      <c r="J112" s="1"/>
      <c r="K112" s="1"/>
    </row>
    <row r="113">
      <c r="A113" s="1"/>
      <c r="B113" s="7" t="s">
        <v>175</v>
      </c>
      <c r="C113" s="17">
        <f>IF(AND(ISNUMBER(C111),ISNUMBER(C112)),(C111-C112)*10000,"n/a")</f>
        <v>-204.73568285886535</v>
      </c>
      <c r="D113" s="17">
        <f>IF(AND(ISNUMBER(D111),ISNUMBER(D112)),(D111-D112)*10000,"n/a")</f>
        <v>48.93363317258759</v>
      </c>
      <c r="E113" s="17">
        <f>IF(AND(ISNUMBER(E111),ISNUMBER(E112)),(E111-E112)*10000,"n/a")</f>
        <v>-284.73273073156724</v>
      </c>
      <c r="F113" s="17">
        <f>IF(AND(ISNUMBER(F111),ISNUMBER(F112)),(F111-F112)*10000,"n/a")</f>
        <v>-180.62191255690973</v>
      </c>
      <c r="G113" s="17">
        <f>IF(AND(ISNUMBER(G111),ISNUMBER(G112)),(G111-G112)*10000,"n/a")</f>
        <v>119.37717332902554</v>
      </c>
      <c r="H113" s="16">
        <f>IF(AND(ISNUMBER(H111),ISNUMBER(H112)),(H111-H112)*10000,"n/a")</f>
        <v>-158.09251483287488</v>
      </c>
      <c r="I113" s="1"/>
      <c r="J113" s="1"/>
      <c r="K113" s="1"/>
    </row>
    <row r="114">
      <c r="A114" s="1"/>
      <c r="B114" s="7" t="s">
        <v>112</v>
      </c>
      <c r="C114" s="17" t="s">
        <v>26</v>
      </c>
      <c r="D114" s="17">
        <f>IF(AND(ISNUMBER(D111),ISNUMBER(C111)),(D111-C111)*10000,"n/a")</f>
        <v>-247.76108393196216</v>
      </c>
      <c r="E114" s="17">
        <f>IF(AND(ISNUMBER(E111),ISNUMBER(D111)),(E111-D111)*10000,"n/a")</f>
        <v>-677.5863991433473</v>
      </c>
      <c r="F114" s="17" t="s">
        <v>26</v>
      </c>
      <c r="G114" s="17">
        <f>IF(AND(ISNUMBER(G111),ISNUMBER(E111)),(G111-E111)*10000,"n/a")</f>
        <v>782.5123740317547</v>
      </c>
      <c r="H114" s="16">
        <f>IF(AND(ISNUMBER(H111),ISNUMBER(G111)),(H111-G111)*10000,"n/a")</f>
        <v>-15.25740578932011</v>
      </c>
      <c r="I114" s="1"/>
      <c r="J114" s="1"/>
      <c r="K114" s="1"/>
    </row>
    <row r="115">
      <c r="A115" s="1"/>
      <c r="B115" s="1" t="s">
        <v>335</v>
      </c>
      <c r="C115" s="3">
        <v>5.6</v>
      </c>
      <c r="D115" s="3">
        <v>5.4</v>
      </c>
      <c r="E115" s="3">
        <v>6.5</v>
      </c>
      <c r="F115" s="3">
        <v>21.7</v>
      </c>
      <c r="G115" s="3">
        <v>6.5</v>
      </c>
      <c r="H115" s="25">
        <f>C116</f>
        <v>6.2</v>
      </c>
      <c r="I115" s="1"/>
      <c r="J115" s="1" t="s">
        <v>160</v>
      </c>
      <c r="K115" s="1"/>
    </row>
    <row r="116">
      <c r="A116" s="1"/>
      <c r="B116" s="1" t="s">
        <v>336</v>
      </c>
      <c r="C116" s="3">
        <v>6.2</v>
      </c>
      <c r="D116" s="3">
        <v>6</v>
      </c>
      <c r="E116" s="3">
        <v>3.3</v>
      </c>
      <c r="F116" s="3">
        <v>22</v>
      </c>
      <c r="G116" s="3">
        <v>5.1</v>
      </c>
      <c r="H116" s="25">
        <v>5</v>
      </c>
      <c r="I116" s="1"/>
      <c r="J116" s="1" t="s">
        <v>160</v>
      </c>
      <c r="K116" s="1"/>
    </row>
    <row r="117">
      <c r="A117" s="1"/>
      <c r="B117" s="7" t="s">
        <v>79</v>
      </c>
      <c r="C117" s="2">
        <f>IF(AND(ISNUMBER(C116),ISNUMBER(C115)),IF(C115&lt;=0,"n/m",C116/C115-1),"n/a")</f>
        <v>0.1071428571428572</v>
      </c>
      <c r="D117" s="2">
        <f>IF(AND(ISNUMBER(D116),ISNUMBER(D115)),IF(D115&lt;=0,"n/m",D116/D115-1),"n/a")</f>
        <v>0.11111111111111094</v>
      </c>
      <c r="E117" s="2">
        <f>IF(AND(ISNUMBER(E116),ISNUMBER(E115)),IF(E115&lt;=0,"n/m",E116/E115-1),"n/a")</f>
        <v>-0.49230769230769234</v>
      </c>
      <c r="F117" s="2">
        <f>IF(AND(ISNUMBER(F116),ISNUMBER(F115)),IF(F115&lt;=0,"n/m",F116/F115-1),"n/a")</f>
        <v>0.01382488479262678</v>
      </c>
      <c r="G117" s="2">
        <f>IF(AND(ISNUMBER(G116),ISNUMBER(G115)),IF(G115&lt;=0,"n/m",G116/G115-1),"n/a")</f>
        <v>-0.2153846153846154</v>
      </c>
      <c r="H117" s="14">
        <f>IF(AND(ISNUMBER(H116),ISNUMBER(H115)),IF(H115&lt;=0,"n/m",H116/H115-1),"n/a")</f>
        <v>-0.19354838709677424</v>
      </c>
      <c r="I117" s="1"/>
      <c r="J117" s="1"/>
      <c r="K117" s="1"/>
    </row>
    <row r="118">
      <c r="A118" s="1"/>
      <c r="B118" s="1" t="s">
        <v>170</v>
      </c>
      <c r="C118" s="3" t="s">
        <v>26</v>
      </c>
      <c r="D118" s="3">
        <f>IF(AND(ISNUMBER(D116),ISNUMBER(C116)),D116-C116,"n/a")</f>
        <v>-0.20000000000000018</v>
      </c>
      <c r="E118" s="3">
        <f>IF(AND(ISNUMBER(E116),ISNUMBER(D116)),E116-D116,"n/a")</f>
        <v>-2.7</v>
      </c>
      <c r="F118" s="3" t="s">
        <v>26</v>
      </c>
      <c r="G118" s="3">
        <f>IF(AND(ISNUMBER(G116),ISNUMBER(E116)),G116-E116,"n/a")</f>
        <v>1.7999999999999998</v>
      </c>
      <c r="H118" s="25">
        <f>IF(AND(ISNUMBER(H116),ISNUMBER(G116)),H116-G116,"n/a")</f>
        <v>-0.09999999999999964</v>
      </c>
      <c r="I118" s="1"/>
      <c r="J118" s="1"/>
      <c r="K118" s="1"/>
    </row>
    <row r="119">
      <c r="A119" s="1"/>
      <c r="B119" s="12" t="s">
        <v>337</v>
      </c>
      <c r="C119" s="22">
        <f>C107+'Segment - Beer'!C117+'Segment - Wine and Spirits'!C164+C116</f>
        <v>989.3</v>
      </c>
      <c r="D119" s="22">
        <f>D107+'Segment - Beer'!D117+'Segment - Wine and Spirits'!D164+D116</f>
        <v>838.2000000000002</v>
      </c>
      <c r="E119" s="22">
        <f>E107+'Segment - Beer'!E117+'Segment - Wine and Spirits'!E164+E116</f>
        <v>620.2999999999998</v>
      </c>
      <c r="F119" s="22">
        <f>F107+'Segment - Beer'!F117+'Segment - Wine and Spirits'!F164+F116</f>
        <v>3363.2</v>
      </c>
      <c r="G119" s="22">
        <f>G107+'Segment - Beer'!G117+'Segment - Wine and Spirits'!G164+G116</f>
        <v>932.0999999999999</v>
      </c>
      <c r="H119" s="42">
        <f>H107+'Segment - Beer'!H117+'Segment - Wine and Spirits'!H164+H116</f>
        <v>965.3043119576149</v>
      </c>
      <c r="I119" s="1"/>
      <c r="J119" s="1"/>
      <c r="K119" s="1"/>
    </row>
    <row r="120" ht="41.25">
      <c r="A120" s="1"/>
      <c r="B120" s="1" t="s">
        <v>338</v>
      </c>
      <c r="C120" s="3">
        <f>C106+'Segment - Beer'!C116+'Segment - Wine and Spirits'!C165+C115</f>
        <v>1128.6999999999998</v>
      </c>
      <c r="D120" s="3">
        <f>D106+'Segment - Beer'!D116+'Segment - Wine and Spirits'!D165+D115</f>
        <v>859.9</v>
      </c>
      <c r="E120" s="3">
        <f>E106+'Segment - Beer'!E116+'Segment - Wine and Spirits'!E165+E115</f>
        <v>666.6999999999999</v>
      </c>
      <c r="F120" s="3">
        <f>F106+'Segment - Beer'!F116+'Segment - Wine and Spirits'!F165+F115</f>
        <v>3677.1999999999994</v>
      </c>
      <c r="G120" s="3">
        <f>G106+'Segment - Beer'!G116+'Segment - Wine and Spirits'!G165+G115</f>
        <v>890.9</v>
      </c>
      <c r="H120" s="25">
        <f>H106+'Segment - Beer'!H116+'Segment - Wine and Spirits'!H165+H115</f>
        <v>989.3</v>
      </c>
      <c r="I120" s="1"/>
      <c r="J120" s="55" t="s">
        <v>339</v>
      </c>
      <c r="K120" s="1"/>
    </row>
    <row r="121">
      <c r="A121" s="1"/>
      <c r="B121" s="7" t="s">
        <v>79</v>
      </c>
      <c r="C121" s="2">
        <f>IF(AND(ISNUMBER(C119),ISNUMBER(C120)),IF(C120&lt;=0,"n/m",C119/C120-1),"n/a")</f>
        <v>-0.12350491716133594</v>
      </c>
      <c r="D121" s="2">
        <f>IF(AND(ISNUMBER(D119),ISNUMBER(D120)),IF(D120&lt;=0,"n/m",D119/D120-1),"n/a")</f>
        <v>-0.0252354924991276</v>
      </c>
      <c r="E121" s="2">
        <f>IF(AND(ISNUMBER(E119),ISNUMBER(E120)),IF(E120&lt;=0,"n/m",E119/E120-1),"n/a")</f>
        <v>-0.06959652017399143</v>
      </c>
      <c r="F121" s="2">
        <f>IF(AND(ISNUMBER(F119),ISNUMBER(F120)),IF(F120&lt;=0,"n/m",F119/F120-1),"n/a")</f>
        <v>-0.08539105841401051</v>
      </c>
      <c r="G121" s="2">
        <f>IF(AND(ISNUMBER(G119),ISNUMBER(G120)),IF(G120&lt;=0,"n/m",G119/G120-1),"n/a")</f>
        <v>0.04624536985071259</v>
      </c>
      <c r="H121" s="14">
        <f>IF(AND(ISNUMBER(H119),ISNUMBER(H120)),IF(H120&lt;=0,"n/m",H119/H120-1),"n/a")</f>
        <v>-0.024255218884448593</v>
      </c>
      <c r="I121" s="1"/>
      <c r="J121" s="1"/>
      <c r="K121" s="1"/>
    </row>
    <row r="122">
      <c r="A122" s="1"/>
      <c r="B122" s="1" t="s">
        <v>170</v>
      </c>
      <c r="C122" s="3" t="s">
        <v>26</v>
      </c>
      <c r="D122" s="3">
        <f>IF(AND(ISNUMBER(D119),ISNUMBER(C119)),D119-C119,"n/a")</f>
        <v>-151.0999999999998</v>
      </c>
      <c r="E122" s="3">
        <f>IF(AND(ISNUMBER(E119),ISNUMBER(D119)),E119-D119,"n/a")</f>
        <v>-217.90000000000032</v>
      </c>
      <c r="F122" s="3" t="s">
        <v>26</v>
      </c>
      <c r="G122" s="3">
        <f>IF(AND(ISNUMBER(G119),ISNUMBER(E119)),G119-E119,"n/a")</f>
        <v>311.80000000000007</v>
      </c>
      <c r="H122" s="25">
        <f>IF(AND(ISNUMBER(H119),ISNUMBER(G119)),H119-G119,"n/a")</f>
        <v>33.204311957615005</v>
      </c>
      <c r="I122" s="1"/>
      <c r="J122" s="1"/>
      <c r="K122" s="1"/>
    </row>
    <row r="123">
      <c r="A123" s="1"/>
      <c r="B123" s="1" t="s">
        <v>340</v>
      </c>
      <c r="C123" s="3">
        <f>ROUND(C107+C141-C49,1)</f>
        <v>0</v>
      </c>
      <c r="D123" s="3">
        <f>ROUND(D107+D141-D49,1)</f>
        <v>0</v>
      </c>
      <c r="E123" s="3">
        <f>ROUND(E107+E141-E49,1)</f>
        <v>0</v>
      </c>
      <c r="F123" s="3">
        <f>ROUND(F107+F141-F49,1)</f>
        <v>0</v>
      </c>
      <c r="G123" s="3">
        <f>ROUND(G107+G141-G49,1)</f>
        <v>0</v>
      </c>
      <c r="H123" s="25">
        <f>ROUND(H107+H141-H49,1)</f>
        <v>0</v>
      </c>
      <c r="I123" s="1"/>
      <c r="J123" s="1" t="s">
        <v>341</v>
      </c>
      <c r="K123" s="1"/>
    </row>
    <row r="124">
      <c r="A124" s="1"/>
      <c r="B124" s="1"/>
      <c r="C124" s="1"/>
      <c r="D124" s="1"/>
      <c r="E124" s="1"/>
      <c r="F124" s="1"/>
      <c r="G124" s="1"/>
      <c r="H124" s="23"/>
      <c r="I124" s="1"/>
      <c r="J124" s="1"/>
      <c r="K124" s="1"/>
    </row>
    <row r="125">
      <c r="A125" s="1"/>
      <c r="B125" s="27" t="s">
        <v>342</v>
      </c>
      <c r="C125" s="1"/>
      <c r="D125" s="1"/>
      <c r="E125" s="1"/>
      <c r="F125" s="1"/>
      <c r="G125" s="1"/>
      <c r="H125" s="23"/>
      <c r="I125" s="1"/>
      <c r="J125" s="1"/>
      <c r="K125" s="1"/>
    </row>
    <row r="126">
      <c r="A126" s="1"/>
      <c r="B126" s="1" t="s">
        <v>343</v>
      </c>
      <c r="C126" s="3">
        <v>13</v>
      </c>
      <c r="D126" s="3">
        <v>12.6</v>
      </c>
      <c r="E126" s="3">
        <v>15.7</v>
      </c>
      <c r="F126" s="3">
        <v>23.6</v>
      </c>
      <c r="G126" s="3">
        <v>49.3</v>
      </c>
      <c r="H126" s="25">
        <v>0</v>
      </c>
      <c r="I126" s="1"/>
      <c r="J126" s="1" t="s">
        <v>344</v>
      </c>
      <c r="K126" s="1"/>
    </row>
    <row r="127">
      <c r="A127" s="1"/>
      <c r="B127" s="1" t="s">
        <v>345</v>
      </c>
      <c r="C127" s="3">
        <v>4.2</v>
      </c>
      <c r="D127" s="3">
        <v>2.6</v>
      </c>
      <c r="E127" s="3">
        <v>-5.9</v>
      </c>
      <c r="F127" s="3">
        <v>3.4</v>
      </c>
      <c r="G127" s="3">
        <v>-9.4</v>
      </c>
      <c r="H127" s="25">
        <v>-8</v>
      </c>
      <c r="I127" s="1"/>
      <c r="J127" s="1" t="s">
        <v>344</v>
      </c>
      <c r="K127" s="1"/>
    </row>
    <row r="128">
      <c r="A128" s="1"/>
      <c r="B128" s="1" t="s">
        <v>346</v>
      </c>
      <c r="C128" s="3">
        <v>-0.8</v>
      </c>
      <c r="D128" s="3">
        <v>-2.1</v>
      </c>
      <c r="E128" s="3">
        <v>-0.3</v>
      </c>
      <c r="F128" s="3">
        <v>-4.1</v>
      </c>
      <c r="G128" s="3">
        <v>-1</v>
      </c>
      <c r="H128" s="25">
        <v>-0.5</v>
      </c>
      <c r="I128" s="1"/>
      <c r="J128" s="1" t="s">
        <v>344</v>
      </c>
      <c r="K128" s="1"/>
    </row>
    <row r="129">
      <c r="A129" s="1"/>
      <c r="B129" s="1" t="s">
        <v>347</v>
      </c>
      <c r="C129" s="3">
        <v>-1.2</v>
      </c>
      <c r="D129" s="3">
        <v>0.8</v>
      </c>
      <c r="E129" s="3">
        <v>-4</v>
      </c>
      <c r="F129" s="3">
        <v>-4.8</v>
      </c>
      <c r="G129" s="3">
        <v>-0.6</v>
      </c>
      <c r="H129" s="25">
        <v>0</v>
      </c>
      <c r="I129" s="1"/>
      <c r="J129" s="1" t="s">
        <v>344</v>
      </c>
      <c r="K129" s="1"/>
    </row>
    <row r="130">
      <c r="A130" s="1"/>
      <c r="B130" s="12" t="s">
        <v>348</v>
      </c>
      <c r="C130" s="22">
        <f>SUM(C126:C129)</f>
        <v>15.2</v>
      </c>
      <c r="D130" s="22">
        <f>SUM(D126:D129)</f>
        <v>13.9</v>
      </c>
      <c r="E130" s="22">
        <f>SUM(E126:E129)</f>
        <v>5.499999999999999</v>
      </c>
      <c r="F130" s="22">
        <f>SUM(F126:F129)</f>
        <v>18.1</v>
      </c>
      <c r="G130" s="22">
        <f>SUM(G126:G129)</f>
        <v>38.3</v>
      </c>
      <c r="H130" s="42">
        <f>SUM(H126:H129)</f>
        <v>-8.5</v>
      </c>
      <c r="I130" s="1"/>
      <c r="J130" s="1"/>
      <c r="K130" s="1"/>
    </row>
    <row r="131">
      <c r="A131" s="1"/>
      <c r="B131" s="1" t="s">
        <v>349</v>
      </c>
      <c r="C131" s="3">
        <v>15.2</v>
      </c>
      <c r="D131" s="3">
        <v>13.9</v>
      </c>
      <c r="E131" s="3">
        <v>5.5</v>
      </c>
      <c r="F131" s="3">
        <v>18.1</v>
      </c>
      <c r="G131" s="3">
        <v>38.3</v>
      </c>
      <c r="H131" s="25" t="s">
        <v>26</v>
      </c>
      <c r="I131" s="1"/>
      <c r="J131" s="1" t="s">
        <v>160</v>
      </c>
      <c r="K131" s="1"/>
    </row>
    <row r="132">
      <c r="A132" s="1"/>
      <c r="B132" s="1" t="s">
        <v>350</v>
      </c>
      <c r="C132" s="3">
        <v>-10</v>
      </c>
      <c r="D132" s="3">
        <v>-8.1</v>
      </c>
      <c r="E132" s="3">
        <v>-12.1</v>
      </c>
      <c r="F132" s="3">
        <v>-35.7</v>
      </c>
      <c r="G132" s="3">
        <v>-5.1</v>
      </c>
      <c r="H132" s="25">
        <v>-2.6</v>
      </c>
      <c r="I132" s="1"/>
      <c r="J132" s="1" t="s">
        <v>344</v>
      </c>
      <c r="K132" s="1"/>
    </row>
    <row r="133">
      <c r="A133" s="1"/>
      <c r="B133" s="1" t="s">
        <v>351</v>
      </c>
      <c r="C133" s="3">
        <v>-8.3</v>
      </c>
      <c r="D133" s="3">
        <v>-34.8</v>
      </c>
      <c r="E133" s="3">
        <v>-15.8</v>
      </c>
      <c r="F133" s="3">
        <v>-72.2</v>
      </c>
      <c r="G133" s="3">
        <v>-0.6</v>
      </c>
      <c r="H133" s="25">
        <v>-2.1</v>
      </c>
      <c r="I133" s="1"/>
      <c r="J133" s="1" t="s">
        <v>344</v>
      </c>
      <c r="K133" s="1"/>
    </row>
    <row r="134">
      <c r="A134" s="1"/>
      <c r="B134" s="1" t="s">
        <v>352</v>
      </c>
      <c r="C134" s="3">
        <v>0</v>
      </c>
      <c r="D134" s="3">
        <v>-1</v>
      </c>
      <c r="E134" s="3">
        <v>-4.2</v>
      </c>
      <c r="F134" s="3">
        <v>-10.4</v>
      </c>
      <c r="G134" s="3">
        <v>0.3</v>
      </c>
      <c r="H134" s="25">
        <v>0</v>
      </c>
      <c r="I134" s="1"/>
      <c r="J134" s="1" t="s">
        <v>344</v>
      </c>
      <c r="K134" s="1"/>
    </row>
    <row r="135">
      <c r="A135" s="1"/>
      <c r="B135" s="1" t="s">
        <v>353</v>
      </c>
      <c r="C135" s="3">
        <v>0</v>
      </c>
      <c r="D135" s="3">
        <v>0</v>
      </c>
      <c r="E135" s="3">
        <v>-7.8</v>
      </c>
      <c r="F135" s="3">
        <v>-7.8</v>
      </c>
      <c r="G135" s="3">
        <v>0</v>
      </c>
      <c r="H135" s="25">
        <v>0</v>
      </c>
      <c r="I135" s="1"/>
      <c r="J135" s="1" t="s">
        <v>344</v>
      </c>
      <c r="K135" s="1"/>
    </row>
    <row r="136">
      <c r="A136" s="1"/>
      <c r="B136" s="1" t="s">
        <v>354</v>
      </c>
      <c r="C136" s="3">
        <v>5.8</v>
      </c>
      <c r="D136" s="3">
        <v>-1.3</v>
      </c>
      <c r="E136" s="3">
        <v>25.5</v>
      </c>
      <c r="F136" s="3">
        <v>27.9</v>
      </c>
      <c r="G136" s="3">
        <v>-1</v>
      </c>
      <c r="H136" s="25">
        <v>0</v>
      </c>
      <c r="I136" s="1"/>
      <c r="J136" s="1" t="s">
        <v>344</v>
      </c>
      <c r="K136" s="1"/>
    </row>
    <row r="137">
      <c r="A137" s="1"/>
      <c r="B137" s="12" t="s">
        <v>355</v>
      </c>
      <c r="C137" s="22">
        <f>SUM(C132:C136)</f>
        <v>-12.5</v>
      </c>
      <c r="D137" s="22">
        <f>SUM(D132:D136)</f>
        <v>-45.199999999999996</v>
      </c>
      <c r="E137" s="22">
        <f>SUM(E132:E136)</f>
        <v>-14.399999999999999</v>
      </c>
      <c r="F137" s="22">
        <f>SUM(F132:F136)</f>
        <v>-98.2</v>
      </c>
      <c r="G137" s="22">
        <f>SUM(G132:G136)</f>
        <v>-6.3999999999999995</v>
      </c>
      <c r="H137" s="42">
        <f>SUM(H132:H136)</f>
        <v>-4.7</v>
      </c>
      <c r="I137" s="1"/>
      <c r="J137" s="1"/>
      <c r="K137" s="1"/>
    </row>
    <row r="138">
      <c r="A138" s="1"/>
      <c r="B138" s="1" t="s">
        <v>289</v>
      </c>
      <c r="C138" s="3">
        <v>0</v>
      </c>
      <c r="D138" s="3">
        <v>0</v>
      </c>
      <c r="E138" s="3">
        <v>-57.7</v>
      </c>
      <c r="F138" s="3">
        <v>-109.8</v>
      </c>
      <c r="G138" s="3">
        <v>-18.3</v>
      </c>
      <c r="H138" s="25">
        <v>0</v>
      </c>
      <c r="I138" s="1"/>
      <c r="J138" s="1" t="s">
        <v>160</v>
      </c>
      <c r="K138" s="1"/>
    </row>
    <row r="139">
      <c r="A139" s="1"/>
      <c r="B139" s="1" t="s">
        <v>287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25">
        <v>0</v>
      </c>
      <c r="I139" s="1"/>
      <c r="J139" s="1" t="s">
        <v>160</v>
      </c>
      <c r="K139" s="1"/>
    </row>
    <row r="140">
      <c r="A140" s="1"/>
      <c r="B140" s="1" t="s">
        <v>290</v>
      </c>
      <c r="C140" s="3">
        <v>-14.9</v>
      </c>
      <c r="D140" s="3">
        <v>-15.6</v>
      </c>
      <c r="E140" s="3">
        <v>0</v>
      </c>
      <c r="F140" s="3">
        <v>-31.9</v>
      </c>
      <c r="G140" s="3">
        <v>-2.5</v>
      </c>
      <c r="H140" s="25">
        <v>0</v>
      </c>
      <c r="I140" s="1"/>
      <c r="J140" s="1" t="s">
        <v>356</v>
      </c>
      <c r="K140" s="1"/>
    </row>
    <row r="141">
      <c r="A141" s="1"/>
      <c r="B141" s="12" t="s">
        <v>357</v>
      </c>
      <c r="C141" s="22">
        <f>C130+C137+C138+C139+C140</f>
        <v>-12.200000000000001</v>
      </c>
      <c r="D141" s="22">
        <f>D130+D137+D138+D139+D140</f>
        <v>-46.9</v>
      </c>
      <c r="E141" s="22">
        <f>E130+E137+E138+E139+E140</f>
        <v>-66.6</v>
      </c>
      <c r="F141" s="22">
        <f>F130+F137+F138+F139+F140</f>
        <v>-221.79999999999998</v>
      </c>
      <c r="G141" s="22">
        <f>G130+G137+G138+G139+G140</f>
        <v>11.099999999999998</v>
      </c>
      <c r="H141" s="42">
        <f>H130+H137+H138+H139+H140</f>
        <v>-13.2</v>
      </c>
      <c r="I141" s="1"/>
      <c r="J141" s="1"/>
      <c r="K141" s="1"/>
    </row>
    <row r="142">
      <c r="A142" s="1"/>
      <c r="B142" s="1" t="s">
        <v>349</v>
      </c>
      <c r="C142" s="3">
        <v>-12.2</v>
      </c>
      <c r="D142" s="3">
        <v>-46.9</v>
      </c>
      <c r="E142" s="3">
        <v>-66.6</v>
      </c>
      <c r="F142" s="3">
        <v>-221.8</v>
      </c>
      <c r="G142" s="3">
        <v>11.1</v>
      </c>
      <c r="H142" s="25" t="s">
        <v>26</v>
      </c>
      <c r="I142" s="1"/>
      <c r="J142" s="1" t="s">
        <v>160</v>
      </c>
      <c r="K142" s="1"/>
    </row>
    <row r="143">
      <c r="A143" s="1"/>
      <c r="B143" s="1" t="s">
        <v>358</v>
      </c>
      <c r="C143" s="3">
        <v>-10.1</v>
      </c>
      <c r="D143" s="3">
        <v>0</v>
      </c>
      <c r="E143" s="3">
        <v>0</v>
      </c>
      <c r="F143" s="3">
        <v>-10.1</v>
      </c>
      <c r="G143" s="3">
        <v>0</v>
      </c>
      <c r="H143" s="25">
        <v>0</v>
      </c>
      <c r="I143" s="1"/>
      <c r="J143" s="1" t="s">
        <v>160</v>
      </c>
      <c r="K143" s="1"/>
    </row>
    <row r="144">
      <c r="A144" s="1"/>
      <c r="B144" s="1" t="s">
        <v>359</v>
      </c>
      <c r="C144" s="3">
        <v>-1.6</v>
      </c>
      <c r="D144" s="3">
        <v>-0.4</v>
      </c>
      <c r="E144" s="3">
        <v>0</v>
      </c>
      <c r="F144" s="3">
        <v>-2</v>
      </c>
      <c r="G144" s="3">
        <v>-0.3</v>
      </c>
      <c r="H144" s="25">
        <v>0</v>
      </c>
      <c r="I144" s="1"/>
      <c r="J144" s="1" t="s">
        <v>160</v>
      </c>
      <c r="K144" s="1"/>
    </row>
    <row r="145">
      <c r="A145" s="1"/>
      <c r="B145" s="12" t="s">
        <v>360</v>
      </c>
      <c r="C145" s="22">
        <f>C141+C143+C144</f>
        <v>-23.900000000000002</v>
      </c>
      <c r="D145" s="22">
        <f>D141+D143+D144</f>
        <v>-47.3</v>
      </c>
      <c r="E145" s="22">
        <f>E141+E143+E144</f>
        <v>-66.6</v>
      </c>
      <c r="F145" s="22">
        <f>F141+F143+F144</f>
        <v>-233.89999999999998</v>
      </c>
      <c r="G145" s="22">
        <f>G141+G143+G144</f>
        <v>10.799999999999997</v>
      </c>
      <c r="H145" s="42">
        <f>H141+H143+H144</f>
        <v>-13.2</v>
      </c>
      <c r="I145" s="1"/>
      <c r="J145" s="1"/>
      <c r="K145" s="1"/>
    </row>
    <row r="146">
      <c r="A146" s="1"/>
      <c r="B146" s="7" t="s">
        <v>361</v>
      </c>
      <c r="C146" s="2" t="s">
        <v>26</v>
      </c>
      <c r="D146" s="2" t="s">
        <v>26</v>
      </c>
      <c r="E146" s="2" t="s">
        <v>26</v>
      </c>
      <c r="F146" s="2" t="s">
        <v>26</v>
      </c>
      <c r="G146" s="2" t="s">
        <v>26</v>
      </c>
      <c r="H146" s="14">
        <v>0.21</v>
      </c>
      <c r="I146" s="1"/>
      <c r="J146" s="1"/>
      <c r="K146" s="1"/>
    </row>
    <row r="147">
      <c r="A147" s="1"/>
      <c r="B147" s="1" t="s">
        <v>362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25">
        <v>0</v>
      </c>
      <c r="I147" s="1"/>
      <c r="J147" s="1"/>
      <c r="K147" s="1"/>
    </row>
    <row r="148">
      <c r="A148" s="1"/>
      <c r="B148" s="1" t="s">
        <v>363</v>
      </c>
      <c r="C148" s="3">
        <v>-147.9</v>
      </c>
      <c r="D148" s="3">
        <v>15.7</v>
      </c>
      <c r="E148" s="3">
        <v>-61.6</v>
      </c>
      <c r="F148" s="3">
        <v>-154.5</v>
      </c>
      <c r="G148" s="3">
        <v>52.4</v>
      </c>
      <c r="H148" s="25">
        <f>-H145*H146+H147</f>
        <v>2.772</v>
      </c>
      <c r="I148" s="1"/>
      <c r="J148" s="1" t="s">
        <v>160</v>
      </c>
      <c r="K148" s="1"/>
    </row>
    <row r="149">
      <c r="A149" s="1"/>
      <c r="B149" s="1" t="s">
        <v>364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25">
        <v>0</v>
      </c>
      <c r="I149" s="1"/>
      <c r="J149" s="1" t="s">
        <v>160</v>
      </c>
      <c r="K149" s="1"/>
    </row>
    <row r="150">
      <c r="A150" s="1"/>
      <c r="B150" s="12" t="s">
        <v>365</v>
      </c>
      <c r="C150" s="22">
        <f>C145+C148+C149</f>
        <v>-171.8</v>
      </c>
      <c r="D150" s="22">
        <f>D145+D148+D149</f>
        <v>-31.599999999999998</v>
      </c>
      <c r="E150" s="22">
        <f>E145+E148+E149</f>
        <v>-128.2</v>
      </c>
      <c r="F150" s="22">
        <f>F145+F148+F149</f>
        <v>-388.4</v>
      </c>
      <c r="G150" s="22">
        <f>G145+G148+G149</f>
        <v>63.199999999999996</v>
      </c>
      <c r="H150" s="42">
        <f>H145+H148+H149</f>
        <v>-10.427999999999999</v>
      </c>
      <c r="I150" s="1"/>
      <c r="J150" s="1"/>
      <c r="K150" s="1"/>
    </row>
    <row r="151">
      <c r="A151" s="1"/>
      <c r="B151" s="1" t="s">
        <v>349</v>
      </c>
      <c r="C151" s="3">
        <v>-171.8</v>
      </c>
      <c r="D151" s="3">
        <v>-31.6</v>
      </c>
      <c r="E151" s="3">
        <v>-128.2</v>
      </c>
      <c r="F151" s="3">
        <v>-388.4</v>
      </c>
      <c r="G151" s="3">
        <v>63.2</v>
      </c>
      <c r="H151" s="25" t="s">
        <v>26</v>
      </c>
      <c r="I151" s="1"/>
      <c r="J151" s="1" t="s">
        <v>160</v>
      </c>
      <c r="K151" s="1"/>
    </row>
    <row r="152">
      <c r="A152" s="1"/>
      <c r="B152" s="1" t="s">
        <v>366</v>
      </c>
      <c r="C152" s="3">
        <f>ROUND(ABS(C130-C131)+ABS(C141-C142)+ABS(C150-C151),1)</f>
        <v>0</v>
      </c>
      <c r="D152" s="3">
        <f>ROUND(ABS(D130-D131)+ABS(D141-D142)+ABS(D150-D151),1)</f>
        <v>0</v>
      </c>
      <c r="E152" s="3">
        <f>ROUND(ABS(E130-E131)+ABS(E141-E142)+ABS(E150-E151),1)</f>
        <v>0</v>
      </c>
      <c r="F152" s="3">
        <f>ROUND(ABS(F130-F131)+ABS(F141-F142)+ABS(F150-F151),1)</f>
        <v>0</v>
      </c>
      <c r="G152" s="3">
        <f>ROUND(ABS(G130-G131)+ABS(G141-G142)+ABS(G150-G151),1)</f>
        <v>0</v>
      </c>
      <c r="H152" s="25" t="s">
        <v>26</v>
      </c>
      <c r="I152" s="1"/>
      <c r="J152" s="1"/>
      <c r="K152" s="1"/>
    </row>
    <row r="153">
      <c r="A153" s="1"/>
      <c r="B153" s="1" t="s">
        <v>367</v>
      </c>
      <c r="C153" s="3">
        <v>787.6</v>
      </c>
      <c r="D153" s="3">
        <v>590.9</v>
      </c>
      <c r="E153" s="3">
        <v>474.3</v>
      </c>
      <c r="F153" s="3">
        <v>2507.3</v>
      </c>
      <c r="G153" s="3">
        <v>572.9</v>
      </c>
      <c r="H153" s="25">
        <f>C154</f>
        <v>637.8</v>
      </c>
      <c r="I153" s="1"/>
      <c r="J153" s="1" t="s">
        <v>160</v>
      </c>
      <c r="K153" s="1"/>
    </row>
    <row r="154">
      <c r="A154" s="1"/>
      <c r="B154" s="12" t="s">
        <v>28</v>
      </c>
      <c r="C154" s="22">
        <f>C82-C150</f>
        <v>637.8</v>
      </c>
      <c r="D154" s="22">
        <f>D82-D150</f>
        <v>534.4000000000002</v>
      </c>
      <c r="E154" s="22">
        <f>E82-E150</f>
        <v>329.9999999999998</v>
      </c>
      <c r="F154" s="22">
        <f>F82-F150</f>
        <v>2075.1</v>
      </c>
      <c r="G154" s="22">
        <f>G82-G150</f>
        <v>590.6000000000004</v>
      </c>
      <c r="H154" s="42">
        <f>H82-H150</f>
        <v>610.1348581900072</v>
      </c>
      <c r="I154" s="1"/>
      <c r="J154" s="1"/>
      <c r="K154" s="1"/>
    </row>
    <row r="155">
      <c r="A155" s="1"/>
      <c r="B155" s="7" t="s">
        <v>79</v>
      </c>
      <c r="C155" s="2">
        <f>IF(AND(ISNUMBER(C154),ISNUMBER(C153)),IF(C153&lt;=0,"n/m",C154/C153-1),"n/a")</f>
        <v>-0.19019807008633838</v>
      </c>
      <c r="D155" s="2">
        <f>IF(AND(ISNUMBER(D154),ISNUMBER(D153)),IF(D153&lt;=0,"n/m",D154/D153-1),"n/a")</f>
        <v>-0.09561685564393263</v>
      </c>
      <c r="E155" s="2">
        <f>IF(AND(ISNUMBER(E154),ISNUMBER(E153)),IF(E153&lt;=0,"n/m",E154/E153-1),"n/a")</f>
        <v>-0.30423782416192335</v>
      </c>
      <c r="F155" s="2">
        <f>IF(AND(ISNUMBER(F154),ISNUMBER(F153)),IF(F153&lt;=0,"n/m",F154/F153-1),"n/a")</f>
        <v>-0.1723766601523552</v>
      </c>
      <c r="G155" s="2">
        <f>IF(AND(ISNUMBER(G154),ISNUMBER(G153)),IF(G153&lt;=0,"n/m",G154/G153-1),"n/a")</f>
        <v>0.030895444231105573</v>
      </c>
      <c r="H155" s="14">
        <f>IF(AND(ISNUMBER(H154),ISNUMBER(H153)),IF(H153&lt;=0,"n/m",H154/H153-1),"n/a")</f>
        <v>-0.04337588869550446</v>
      </c>
      <c r="I155" s="1"/>
      <c r="J155" s="1"/>
      <c r="K155" s="1"/>
    </row>
    <row r="156">
      <c r="A156" s="1"/>
      <c r="B156" s="1" t="s">
        <v>170</v>
      </c>
      <c r="C156" s="3" t="s">
        <v>26</v>
      </c>
      <c r="D156" s="3">
        <f>IF(AND(ISNUMBER(D154),ISNUMBER(C154)),D154-C154,"n/a")</f>
        <v>-103.39999999999975</v>
      </c>
      <c r="E156" s="3">
        <f>IF(AND(ISNUMBER(E154),ISNUMBER(D154)),E154-D154,"n/a")</f>
        <v>-204.40000000000043</v>
      </c>
      <c r="F156" s="3" t="s">
        <v>26</v>
      </c>
      <c r="G156" s="3">
        <f>IF(AND(ISNUMBER(G154),ISNUMBER(E154)),G154-E154,"n/a")</f>
        <v>260.6000000000006</v>
      </c>
      <c r="H156" s="25">
        <f>IF(AND(ISNUMBER(H154),ISNUMBER(G154)),H154-G154,"n/a")</f>
        <v>19.534858190006844</v>
      </c>
      <c r="I156" s="1"/>
      <c r="J156" s="1"/>
      <c r="K156" s="1"/>
    </row>
    <row r="157">
      <c r="A157" s="1"/>
      <c r="B157" s="1" t="s">
        <v>368</v>
      </c>
      <c r="C157" s="3">
        <v>637.8</v>
      </c>
      <c r="D157" s="3">
        <v>534.4</v>
      </c>
      <c r="E157" s="3">
        <v>330</v>
      </c>
      <c r="F157" s="3">
        <v>2075.1</v>
      </c>
      <c r="G157" s="3">
        <v>590.6</v>
      </c>
      <c r="H157" s="25" t="s">
        <v>26</v>
      </c>
      <c r="I157" s="1"/>
      <c r="J157" s="1" t="s">
        <v>160</v>
      </c>
      <c r="K157" s="1"/>
    </row>
    <row r="158">
      <c r="A158" s="1"/>
      <c r="B158" s="1" t="s">
        <v>369</v>
      </c>
      <c r="C158" s="4">
        <v>4.32</v>
      </c>
      <c r="D158" s="4">
        <v>3.25</v>
      </c>
      <c r="E158" s="4">
        <f>Inputs!E101</f>
        <v>2.63</v>
      </c>
      <c r="F158" s="4">
        <v>13.78</v>
      </c>
      <c r="G158" s="4">
        <f>Inputs!E102</f>
        <v>3.22</v>
      </c>
      <c r="H158" s="38">
        <f>C159</f>
        <v>3.63</v>
      </c>
      <c r="I158" s="1"/>
      <c r="J158" s="1" t="s">
        <v>316</v>
      </c>
      <c r="K158" s="1"/>
    </row>
    <row r="159">
      <c r="A159" s="1"/>
      <c r="B159" s="12" t="s">
        <v>29</v>
      </c>
      <c r="C159" s="48">
        <f>Inputs!E103</f>
        <v>3.63</v>
      </c>
      <c r="D159" s="48">
        <f>Inputs!E104</f>
        <v>3.06</v>
      </c>
      <c r="E159" s="48">
        <f>Inputs!E105</f>
        <v>1.9</v>
      </c>
      <c r="F159" s="48">
        <v>11.82</v>
      </c>
      <c r="G159" s="48">
        <f>Inputs!E106</f>
        <v>3.43</v>
      </c>
      <c r="H159" s="50">
        <f>H154/H95</f>
        <v>3.5691562482601475</v>
      </c>
      <c r="I159" s="1"/>
      <c r="J159" s="1" t="s">
        <v>370</v>
      </c>
      <c r="K159" s="1"/>
    </row>
    <row r="160">
      <c r="A160" s="1"/>
      <c r="B160" s="7" t="s">
        <v>79</v>
      </c>
      <c r="C160" s="2">
        <f>IF(AND(ISNUMBER(C159),ISNUMBER(C158)),IF(C158&lt;=0,"n/m",C159/C158-1),"n/a")</f>
        <v>-0.15972222222222232</v>
      </c>
      <c r="D160" s="2">
        <f>IF(AND(ISNUMBER(D159),ISNUMBER(D158)),IF(D158&lt;=0,"n/m",D159/D158-1),"n/a")</f>
        <v>-0.058461538461538454</v>
      </c>
      <c r="E160" s="2">
        <f>IF(AND(ISNUMBER(E159),ISNUMBER(E158)),IF(E158&lt;=0,"n/m",E159/E158-1),"n/a")</f>
        <v>-0.2775665399239544</v>
      </c>
      <c r="F160" s="2">
        <f>IF(AND(ISNUMBER(F159),ISNUMBER(F158)),IF(F158&lt;=0,"n/m",F159/F158-1),"n/a")</f>
        <v>-0.1422351233671988</v>
      </c>
      <c r="G160" s="2">
        <f>IF(AND(ISNUMBER(G159),ISNUMBER(G158)),IF(G158&lt;=0,"n/m",G159/G158-1),"n/a")</f>
        <v>0.0652173913043479</v>
      </c>
      <c r="H160" s="14">
        <f>IF(AND(ISNUMBER(H159),ISNUMBER(H158)),IF(H158&lt;=0,"n/m",H159/H158-1),"n/a")</f>
        <v>-0.01676136411566176</v>
      </c>
      <c r="I160" s="1"/>
      <c r="J160" s="1"/>
      <c r="K160" s="1"/>
    </row>
    <row r="161">
      <c r="A161" s="1"/>
      <c r="B161" s="1" t="s">
        <v>149</v>
      </c>
      <c r="C161" s="4" t="s">
        <v>26</v>
      </c>
      <c r="D161" s="4">
        <f>IF(AND(ISNUMBER(D159),ISNUMBER(C159)),D159-C159,"n/a")</f>
        <v>-0.5699999999999998</v>
      </c>
      <c r="E161" s="4">
        <f>IF(AND(ISNUMBER(E159),ISNUMBER(D159)),E159-D159,"n/a")</f>
        <v>-1.1600000000000001</v>
      </c>
      <c r="F161" s="4" t="s">
        <v>26</v>
      </c>
      <c r="G161" s="4">
        <f>IF(AND(ISNUMBER(G159),ISNUMBER(E159)),G159-E159,"n/a")</f>
        <v>1.5300000000000002</v>
      </c>
      <c r="H161" s="38">
        <f>IF(AND(ISNUMBER(H159),ISNUMBER(G159)),H159-G159,"n/a")</f>
        <v>0.13915624826014739</v>
      </c>
      <c r="I161" s="1"/>
      <c r="J161" s="1"/>
      <c r="K161" s="1"/>
    </row>
    <row r="162">
      <c r="A162" s="1"/>
      <c r="B162" s="1" t="s">
        <v>371</v>
      </c>
      <c r="C162" s="4">
        <f>C91-C159</f>
        <v>-0.98</v>
      </c>
      <c r="D162" s="4">
        <f>D91-D159</f>
        <v>-0.18000000000000016</v>
      </c>
      <c r="E162" s="4">
        <f>E91-E159</f>
        <v>-0.74</v>
      </c>
      <c r="F162" s="4">
        <f>F91-F159</f>
        <v>-2.210000000000001</v>
      </c>
      <c r="G162" s="4">
        <f>G91-G159</f>
        <v>0.3599999999999999</v>
      </c>
      <c r="H162" s="38">
        <f>H91-H159</f>
        <v>-0.06100153246000284</v>
      </c>
      <c r="I162" s="1"/>
      <c r="J162" s="1"/>
      <c r="K162" s="1"/>
    </row>
    <row r="163">
      <c r="A163" s="1"/>
      <c r="B163" s="1" t="s">
        <v>372</v>
      </c>
      <c r="C163" s="4">
        <f>ROUND(C159-C154/C95,2)</f>
        <v>0</v>
      </c>
      <c r="D163" s="4">
        <f>ROUND(D159-D154/D95,2)</f>
        <v>0</v>
      </c>
      <c r="E163" s="4">
        <f>ROUND(E159-E154/E95,2)</f>
        <v>0</v>
      </c>
      <c r="F163" s="4">
        <f>ROUND(F159-F154/F95,2)</f>
        <v>0</v>
      </c>
      <c r="G163" s="4">
        <f>ROUND(G159-G154/G95,2)</f>
        <v>0</v>
      </c>
      <c r="H163" s="38">
        <f>ROUND(H159-H154/H95,2)</f>
        <v>0</v>
      </c>
      <c r="I163" s="1"/>
      <c r="J163" s="1" t="s">
        <v>373</v>
      </c>
      <c r="K163" s="1"/>
    </row>
    <row r="164">
      <c r="A164" s="1"/>
      <c r="B164" s="1"/>
      <c r="C164" s="1"/>
      <c r="D164" s="1"/>
      <c r="E164" s="1"/>
      <c r="F164" s="1"/>
      <c r="G164" s="1"/>
      <c r="H164" s="23"/>
      <c r="I164" s="1"/>
      <c r="J164" s="1"/>
      <c r="K164" s="1"/>
    </row>
    <row r="165">
      <c r="A165" s="1"/>
      <c r="B165" s="27" t="s">
        <v>374</v>
      </c>
      <c r="C165" s="1"/>
      <c r="D165" s="1"/>
      <c r="E165" s="1"/>
      <c r="F165" s="1"/>
      <c r="G165" s="1"/>
      <c r="H165" s="23"/>
      <c r="I165" s="1"/>
      <c r="J165" s="1"/>
      <c r="K165" s="1"/>
    </row>
    <row r="166">
      <c r="A166" s="1"/>
      <c r="B166" s="1" t="s">
        <v>375</v>
      </c>
      <c r="C166" s="3">
        <v>-4.5</v>
      </c>
      <c r="D166" s="3">
        <v>-38.9</v>
      </c>
      <c r="E166" s="3">
        <v>-89.2</v>
      </c>
      <c r="F166" s="3">
        <v>-49.3</v>
      </c>
      <c r="G166" s="3">
        <v>0</v>
      </c>
      <c r="H166" s="25">
        <f>C143</f>
        <v>-10.1</v>
      </c>
      <c r="I166" s="1"/>
      <c r="J166" s="1" t="s">
        <v>160</v>
      </c>
      <c r="K166" s="1"/>
    </row>
    <row r="167">
      <c r="A167" s="1"/>
      <c r="B167" s="1" t="s">
        <v>376</v>
      </c>
      <c r="C167" s="3">
        <f>C56-C166</f>
        <v>3.3</v>
      </c>
      <c r="D167" s="3">
        <f>D56-D166</f>
        <v>23.9</v>
      </c>
      <c r="E167" s="3">
        <f>E56-E166</f>
        <v>-2.8999999999999915</v>
      </c>
      <c r="F167" s="3">
        <f>F56-F166</f>
        <v>22.999999999999996</v>
      </c>
      <c r="G167" s="3">
        <f>G56-G166</f>
        <v>-3.5</v>
      </c>
      <c r="H167" s="25">
        <f>H56-H166</f>
        <v>6.6</v>
      </c>
      <c r="I167" s="1"/>
      <c r="J167" s="1"/>
      <c r="K167" s="1"/>
    </row>
    <row r="168">
      <c r="A168" s="1"/>
      <c r="B168" s="1" t="s">
        <v>377</v>
      </c>
      <c r="C168" s="3">
        <f>C57-C143</f>
        <v>6.6</v>
      </c>
      <c r="D168" s="3">
        <f>D57-D143</f>
        <v>23.5</v>
      </c>
      <c r="E168" s="3">
        <f>E57-E143</f>
        <v>-7.5</v>
      </c>
      <c r="F168" s="3">
        <f>F57-F143</f>
        <v>19.1</v>
      </c>
      <c r="G168" s="3">
        <f>G57-G143</f>
        <v>0.5</v>
      </c>
      <c r="H168" s="25">
        <f>'Segment - Wine and Spirits'!H160+H171</f>
        <v>5.4</v>
      </c>
      <c r="I168" s="1"/>
      <c r="J168" s="1"/>
      <c r="K168" s="1"/>
    </row>
    <row r="169">
      <c r="A169" s="1"/>
      <c r="B169" s="7" t="s">
        <v>79</v>
      </c>
      <c r="C169" s="2">
        <f>IF(AND(ISNUMBER(C168),ISNUMBER(C167)),IF(C167&lt;=0,"n/m",C168/C167-1),"n/a")</f>
        <v>1</v>
      </c>
      <c r="D169" s="2">
        <f>IF(AND(ISNUMBER(D168),ISNUMBER(D167)),IF(D167&lt;=0,"n/m",D168/D167-1),"n/a")</f>
        <v>-0.0167364016736401</v>
      </c>
      <c r="E169" s="2" t="str">
        <f>IF(AND(ISNUMBER(E168),ISNUMBER(E167)),IF(E167&lt;=0,"n/m",E168/E167-1),"n/a")</f>
        <v>n/m</v>
      </c>
      <c r="F169" s="2">
        <f>IF(AND(ISNUMBER(F168),ISNUMBER(F167)),IF(F167&lt;=0,"n/m",F168/F167-1),"n/a")</f>
        <v>-0.16956521739130415</v>
      </c>
      <c r="G169" s="2" t="str">
        <f>IF(AND(ISNUMBER(G168),ISNUMBER(G167)),IF(G167&lt;=0,"n/m",G168/G167-1),"n/a")</f>
        <v>n/m</v>
      </c>
      <c r="H169" s="14">
        <f>IF(AND(ISNUMBER(H168),ISNUMBER(H167)),IF(H167&lt;=0,"n/m",H168/H167-1),"n/a")</f>
        <v>-0.18181818181818177</v>
      </c>
      <c r="I169" s="1"/>
      <c r="J169" s="1"/>
      <c r="K169" s="1"/>
    </row>
    <row r="170">
      <c r="A170" s="1"/>
      <c r="B170" s="1" t="s">
        <v>170</v>
      </c>
      <c r="C170" s="3" t="s">
        <v>26</v>
      </c>
      <c r="D170" s="3">
        <f>IF(AND(ISNUMBER(D168),ISNUMBER(C168)),D168-C168,"n/a")</f>
        <v>16.9</v>
      </c>
      <c r="E170" s="3">
        <f>IF(AND(ISNUMBER(E168),ISNUMBER(D168)),E168-D168,"n/a")</f>
        <v>-31</v>
      </c>
      <c r="F170" s="3" t="s">
        <v>26</v>
      </c>
      <c r="G170" s="3">
        <f>IF(AND(ISNUMBER(G168),ISNUMBER(E168)),G168-E168,"n/a")</f>
        <v>8</v>
      </c>
      <c r="H170" s="25">
        <f>IF(AND(ISNUMBER(H168),ISNUMBER(G168)),H168-G168,"n/a")</f>
        <v>4.9</v>
      </c>
      <c r="I170" s="1"/>
      <c r="J170" s="1"/>
      <c r="K170" s="1"/>
    </row>
    <row r="171">
      <c r="A171" s="1"/>
      <c r="B171" s="1" t="s">
        <v>378</v>
      </c>
      <c r="C171" s="3">
        <v>-0.9</v>
      </c>
      <c r="D171" s="3">
        <v>-0.7</v>
      </c>
      <c r="E171" s="3">
        <v>-0.6</v>
      </c>
      <c r="F171" s="3">
        <v>-3.3</v>
      </c>
      <c r="G171" s="3">
        <v>-0.4</v>
      </c>
      <c r="H171" s="25">
        <v>-0.6</v>
      </c>
      <c r="I171" s="1"/>
      <c r="J171" s="1" t="s">
        <v>160</v>
      </c>
      <c r="K171" s="1"/>
    </row>
    <row r="172">
      <c r="A172" s="1"/>
      <c r="B172" s="1" t="s">
        <v>379</v>
      </c>
      <c r="C172" s="3">
        <f>C61-C144</f>
        <v>-86</v>
      </c>
      <c r="D172" s="3">
        <f>D61-D144</f>
        <v>-82.8</v>
      </c>
      <c r="E172" s="3">
        <f>E61-E144</f>
        <v>-82.9</v>
      </c>
      <c r="F172" s="3">
        <f>F61-F144</f>
        <v>-350.6</v>
      </c>
      <c r="G172" s="3">
        <f>G61-G144</f>
        <v>-85.5</v>
      </c>
      <c r="H172" s="25">
        <v>-85</v>
      </c>
      <c r="I172" s="1"/>
      <c r="J172" s="1"/>
      <c r="K172" s="1"/>
    </row>
    <row r="173">
      <c r="A173" s="1"/>
      <c r="B173" s="7" t="s">
        <v>79</v>
      </c>
      <c r="C173" s="2" t="s">
        <v>26</v>
      </c>
      <c r="D173" s="2" t="s">
        <v>26</v>
      </c>
      <c r="E173" s="2" t="s">
        <v>26</v>
      </c>
      <c r="F173" s="2" t="s">
        <v>26</v>
      </c>
      <c r="G173" s="2" t="s">
        <v>26</v>
      </c>
      <c r="H173" s="14">
        <f>IF(AND(ISNUMBER(H172),ISNUMBER(C172)),H172/C172-1,"n/a")</f>
        <v>-0.011627906976744207</v>
      </c>
      <c r="I173" s="1"/>
      <c r="J173" s="1"/>
      <c r="K173" s="1"/>
    </row>
    <row r="174">
      <c r="A174" s="1"/>
      <c r="B174" s="1" t="s">
        <v>170</v>
      </c>
      <c r="C174" s="3" t="s">
        <v>26</v>
      </c>
      <c r="D174" s="3">
        <f>IF(AND(ISNUMBER(D172),ISNUMBER(C172)),D172-C172,"n/a")</f>
        <v>3.200000000000003</v>
      </c>
      <c r="E174" s="3">
        <f>IF(AND(ISNUMBER(E172),ISNUMBER(D172)),E172-D172,"n/a")</f>
        <v>-0.10000000000000853</v>
      </c>
      <c r="F174" s="3" t="s">
        <v>26</v>
      </c>
      <c r="G174" s="3">
        <f>IF(AND(ISNUMBER(G172),ISNUMBER(E172)),G172-E172,"n/a")</f>
        <v>-2.5999999999999943</v>
      </c>
      <c r="H174" s="25">
        <f>IF(AND(ISNUMBER(H172),ISNUMBER(G172)),H172-G172,"n/a")</f>
        <v>0.5</v>
      </c>
      <c r="I174" s="1"/>
      <c r="J174" s="1"/>
      <c r="K174" s="1"/>
    </row>
    <row r="175">
      <c r="A175" s="1"/>
      <c r="B175" s="12" t="s">
        <v>380</v>
      </c>
      <c r="C175" s="22">
        <f>C107+C168+C172</f>
        <v>806.8</v>
      </c>
      <c r="D175" s="22">
        <f>D107+D168+D172</f>
        <v>679.6000000000001</v>
      </c>
      <c r="E175" s="22">
        <f>E107+E168+E172</f>
        <v>417.79999999999995</v>
      </c>
      <c r="F175" s="22">
        <f>F107+F168+F172</f>
        <v>2611.7</v>
      </c>
      <c r="G175" s="22">
        <f>G107+G168+G172</f>
        <v>749.1999999999999</v>
      </c>
      <c r="H175" s="42">
        <f>H107+H168+H172</f>
        <v>785.7043119576149</v>
      </c>
      <c r="I175" s="1"/>
      <c r="J175" s="1"/>
      <c r="K175" s="1"/>
    </row>
    <row r="176">
      <c r="A176" s="1"/>
      <c r="B176" s="1" t="s">
        <v>170</v>
      </c>
      <c r="C176" s="3" t="s">
        <v>26</v>
      </c>
      <c r="D176" s="3">
        <f>IF(AND(ISNUMBER(D175),ISNUMBER(C175)),D175-C175,"n/a")</f>
        <v>-127.19999999999982</v>
      </c>
      <c r="E176" s="3">
        <f>IF(AND(ISNUMBER(E175),ISNUMBER(D175)),E175-D175,"n/a")</f>
        <v>-261.8000000000002</v>
      </c>
      <c r="F176" s="3" t="s">
        <v>26</v>
      </c>
      <c r="G176" s="3">
        <f>IF(AND(ISNUMBER(G175),ISNUMBER(E175)),G175-E175,"n/a")</f>
        <v>331.4</v>
      </c>
      <c r="H176" s="25">
        <f>IF(AND(ISNUMBER(H175),ISNUMBER(G175)),H175-G175,"n/a")</f>
        <v>36.50431195761496</v>
      </c>
      <c r="I176" s="1"/>
      <c r="J176" s="1"/>
      <c r="K176" s="1"/>
    </row>
    <row r="177">
      <c r="A177" s="1"/>
      <c r="B177" s="1" t="s">
        <v>381</v>
      </c>
      <c r="C177" s="3">
        <v>989.4</v>
      </c>
      <c r="D177" s="3">
        <v>721.7</v>
      </c>
      <c r="E177" s="3">
        <v>558.3</v>
      </c>
      <c r="F177" s="3">
        <v>3089.3</v>
      </c>
      <c r="G177" s="3">
        <v>707.5</v>
      </c>
      <c r="H177" s="25">
        <f>C175</f>
        <v>806.8</v>
      </c>
      <c r="I177" s="1"/>
      <c r="J177" s="1" t="s">
        <v>382</v>
      </c>
      <c r="K177" s="1"/>
    </row>
    <row r="178">
      <c r="A178" s="1"/>
      <c r="B178" s="7" t="s">
        <v>79</v>
      </c>
      <c r="C178" s="2">
        <f>IF(AND(ISNUMBER(C175),ISNUMBER(C177)),IF(C177&lt;=0,"n/m",C175/C177-1),"n/a")</f>
        <v>-0.18455629674550234</v>
      </c>
      <c r="D178" s="2">
        <f>IF(AND(ISNUMBER(D175),ISNUMBER(D177)),IF(D177&lt;=0,"n/m",D175/D177-1),"n/a")</f>
        <v>-0.058334488014410324</v>
      </c>
      <c r="E178" s="2">
        <f>IF(AND(ISNUMBER(E175),ISNUMBER(E177)),IF(E177&lt;=0,"n/m",E175/E177-1),"n/a")</f>
        <v>-0.2516568153322587</v>
      </c>
      <c r="F178" s="2">
        <f>IF(AND(ISNUMBER(F175),ISNUMBER(F177)),IF(F177&lt;=0,"n/m",F175/F177-1),"n/a")</f>
        <v>-0.15459812902599301</v>
      </c>
      <c r="G178" s="2">
        <f>IF(AND(ISNUMBER(G175),ISNUMBER(G177)),IF(G177&lt;=0,"n/m",G175/G177-1),"n/a")</f>
        <v>0.05893992932862191</v>
      </c>
      <c r="H178" s="14">
        <f>IF(AND(ISNUMBER(H175),ISNUMBER(H177)),IF(H177&lt;=0,"n/m",H175/H177-1),"n/a")</f>
        <v>-0.026147357514111347</v>
      </c>
      <c r="I178" s="1"/>
      <c r="J178" s="1"/>
      <c r="K178" s="1"/>
    </row>
    <row r="179">
      <c r="A179" s="1"/>
      <c r="B179" s="1" t="s">
        <v>383</v>
      </c>
      <c r="C179" s="3">
        <v>-185.2</v>
      </c>
      <c r="D179" s="3">
        <v>-117.6</v>
      </c>
      <c r="E179" s="3">
        <v>-75.2</v>
      </c>
      <c r="F179" s="3">
        <v>-527.6</v>
      </c>
      <c r="G179" s="3">
        <v>-126.9</v>
      </c>
      <c r="H179" s="25">
        <f>C180</f>
        <v>-148.9</v>
      </c>
      <c r="I179" s="1"/>
      <c r="J179" s="1" t="s">
        <v>160</v>
      </c>
      <c r="K179" s="1"/>
    </row>
    <row r="180">
      <c r="A180" s="1"/>
      <c r="B180" s="1" t="s">
        <v>384</v>
      </c>
      <c r="C180" s="3">
        <f>C68-C148</f>
        <v>-148.9</v>
      </c>
      <c r="D180" s="3">
        <f>D68-D148</f>
        <v>-125.8</v>
      </c>
      <c r="E180" s="3">
        <f>E68-E148</f>
        <v>-64.9</v>
      </c>
      <c r="F180" s="3">
        <f>F68-F148</f>
        <v>-466.5</v>
      </c>
      <c r="G180" s="3">
        <f>G68-G148</f>
        <v>-140.5</v>
      </c>
      <c r="H180" s="25">
        <f>-H175*H183</f>
        <v>-155.56945376760777</v>
      </c>
      <c r="I180" s="1"/>
      <c r="J180" s="1"/>
      <c r="K180" s="1"/>
    </row>
    <row r="181">
      <c r="A181" s="1"/>
      <c r="B181" s="7" t="s">
        <v>79</v>
      </c>
      <c r="C181" s="2">
        <f>IF(AND(ISNUMBER(C180),ISNUMBER(C179)),C180/C179-1,"n/a")</f>
        <v>-0.19600431965442755</v>
      </c>
      <c r="D181" s="2">
        <f>IF(AND(ISNUMBER(D180),ISNUMBER(D179)),D180/D179-1,"n/a")</f>
        <v>0.06972789115646272</v>
      </c>
      <c r="E181" s="2">
        <f>IF(AND(ISNUMBER(E180),ISNUMBER(E179)),E180/E179-1,"n/a")</f>
        <v>-0.13696808510638292</v>
      </c>
      <c r="F181" s="2">
        <f>IF(AND(ISNUMBER(F180),ISNUMBER(F179)),F180/F179-1,"n/a")</f>
        <v>-0.11580742987111448</v>
      </c>
      <c r="G181" s="2">
        <f>IF(AND(ISNUMBER(G180),ISNUMBER(G179)),G180/G179-1,"n/a")</f>
        <v>0.107171000788022</v>
      </c>
      <c r="H181" s="14">
        <f>IF(AND(ISNUMBER(H180),ISNUMBER(H179)),H180/H179-1,"n/a")</f>
        <v>0.04479149608870214</v>
      </c>
      <c r="I181" s="1"/>
      <c r="J181" s="1"/>
      <c r="K181" s="1"/>
    </row>
    <row r="182">
      <c r="A182" s="1"/>
      <c r="B182" s="1" t="s">
        <v>170</v>
      </c>
      <c r="C182" s="3" t="s">
        <v>26</v>
      </c>
      <c r="D182" s="3">
        <f>IF(AND(ISNUMBER(D180),ISNUMBER(C180)),D180-C180,"n/a")</f>
        <v>23.10000000000001</v>
      </c>
      <c r="E182" s="3">
        <f>IF(AND(ISNUMBER(E180),ISNUMBER(D180)),E180-D180,"n/a")</f>
        <v>60.89999999999999</v>
      </c>
      <c r="F182" s="3" t="s">
        <v>26</v>
      </c>
      <c r="G182" s="3">
        <f>IF(AND(ISNUMBER(G180),ISNUMBER(E180)),G180-E180,"n/a")</f>
        <v>-75.6</v>
      </c>
      <c r="H182" s="25">
        <f>IF(AND(ISNUMBER(H180),ISNUMBER(G180)),H180-G180,"n/a")</f>
        <v>-15.069453767607769</v>
      </c>
      <c r="I182" s="1"/>
      <c r="J182" s="1"/>
      <c r="K182" s="1"/>
    </row>
    <row r="183">
      <c r="A183" s="1"/>
      <c r="B183" s="7" t="s">
        <v>385</v>
      </c>
      <c r="C183" s="2">
        <f>-C180/C175</f>
        <v>0.18455627169062966</v>
      </c>
      <c r="D183" s="2">
        <f>-D180/D175</f>
        <v>0.18510888758092992</v>
      </c>
      <c r="E183" s="2">
        <f>-E180/E175</f>
        <v>0.15533748204882722</v>
      </c>
      <c r="F183" s="2">
        <f>-F180/F175</f>
        <v>0.17861929011754796</v>
      </c>
      <c r="G183" s="2">
        <f>-G180/G175</f>
        <v>0.18753336892685532</v>
      </c>
      <c r="H183" s="14">
        <v>0.198</v>
      </c>
      <c r="I183" s="1"/>
      <c r="J183" s="1"/>
      <c r="K183" s="1"/>
    </row>
    <row r="184">
      <c r="A184" s="1"/>
      <c r="B184" s="7" t="s">
        <v>386</v>
      </c>
      <c r="C184" s="2">
        <f>IF(AND(ISNUMBER(C179),ISNUMBER(C177)),IF(C177=0,"n/a",-C179/C177),"n/a")</f>
        <v>0.18718415201132</v>
      </c>
      <c r="D184" s="2">
        <f>IF(AND(ISNUMBER(D179),ISNUMBER(D177)),IF(D177=0,"n/a",-D179/D177),"n/a")</f>
        <v>0.1629485935984481</v>
      </c>
      <c r="E184" s="2">
        <f>IF(AND(ISNUMBER(E179),ISNUMBER(E177)),IF(E177=0,"n/a",-E179/E177),"n/a")</f>
        <v>0.13469460863335125</v>
      </c>
      <c r="F184" s="2">
        <f>IF(AND(ISNUMBER(F179),ISNUMBER(F177)),IF(F177=0,"n/a",-F179/F177),"n/a")</f>
        <v>0.17078302528080794</v>
      </c>
      <c r="G184" s="2">
        <f>IF(AND(ISNUMBER(G179),ISNUMBER(G177)),IF(G177=0,"n/a",-G179/G177),"n/a")</f>
        <v>0.17936395759717316</v>
      </c>
      <c r="H184" s="14">
        <f>IF(AND(ISNUMBER(H179),ISNUMBER(H177)),IF(H177=0,"n/a",-H179/H177),"n/a")</f>
        <v>0.18455627169062966</v>
      </c>
      <c r="I184" s="1"/>
      <c r="J184" s="1"/>
      <c r="K184" s="1"/>
    </row>
    <row r="185">
      <c r="A185" s="1"/>
      <c r="B185" s="7" t="s">
        <v>175</v>
      </c>
      <c r="C185" s="17">
        <f>IF(AND(ISNUMBER(C183),ISNUMBER(C184)),(C183-C184)*10000,"n/a")</f>
        <v>-26.278803206903344</v>
      </c>
      <c r="D185" s="17">
        <f>IF(AND(ISNUMBER(D183),ISNUMBER(D184)),(D183-D184)*10000,"n/a")</f>
        <v>221.60293982481815</v>
      </c>
      <c r="E185" s="17">
        <f>IF(AND(ISNUMBER(E183),ISNUMBER(E184)),(E183-E184)*10000,"n/a")</f>
        <v>206.42873415475964</v>
      </c>
      <c r="F185" s="17">
        <f>IF(AND(ISNUMBER(F183),ISNUMBER(F184)),(F183-F184)*10000,"n/a")</f>
        <v>78.3626483674002</v>
      </c>
      <c r="G185" s="17">
        <f>IF(AND(ISNUMBER(G183),ISNUMBER(G184)),(G183-G184)*10000,"n/a")</f>
        <v>81.69411329682158</v>
      </c>
      <c r="H185" s="16">
        <f>IF(AND(ISNUMBER(H183),ISNUMBER(H184)),(H183-H184)*10000,"n/a")</f>
        <v>134.4372830937035</v>
      </c>
      <c r="I185" s="1"/>
      <c r="J185" s="1"/>
      <c r="K185" s="1"/>
    </row>
    <row r="186">
      <c r="A186" s="1"/>
      <c r="B186" s="7" t="s">
        <v>112</v>
      </c>
      <c r="C186" s="17" t="s">
        <v>26</v>
      </c>
      <c r="D186" s="17">
        <f>IF(AND(ISNUMBER(D183),ISNUMBER(C183)),(D183-C183)*10000,"n/a")</f>
        <v>5.526158903002565</v>
      </c>
      <c r="E186" s="17">
        <f>IF(AND(ISNUMBER(E183),ISNUMBER(D183)),(E183-D183)*10000,"n/a")</f>
        <v>-297.71405532102693</v>
      </c>
      <c r="F186" s="17" t="s">
        <v>26</v>
      </c>
      <c r="G186" s="17">
        <f>IF(AND(ISNUMBER(G183),ISNUMBER(E183)),(G183-E183)*10000,"n/a")</f>
        <v>321.958868780281</v>
      </c>
      <c r="H186" s="16">
        <f>IF(AND(ISNUMBER(H183),ISNUMBER(G183)),(H183-G183)*10000,"n/a")</f>
        <v>104.66631073144688</v>
      </c>
      <c r="I186" s="1"/>
      <c r="J186" s="1"/>
      <c r="K186" s="1"/>
    </row>
    <row r="187">
      <c r="A187" s="1"/>
      <c r="B187" s="12" t="s">
        <v>387</v>
      </c>
      <c r="C187" s="22">
        <f>C175+C180</f>
        <v>657.9</v>
      </c>
      <c r="D187" s="22">
        <f>D175+D180</f>
        <v>553.8000000000002</v>
      </c>
      <c r="E187" s="22">
        <f>E175+E180</f>
        <v>352.9</v>
      </c>
      <c r="F187" s="22">
        <f>F175+F180</f>
        <v>2145.2</v>
      </c>
      <c r="G187" s="22">
        <f>G175+G180</f>
        <v>608.6999999999999</v>
      </c>
      <c r="H187" s="42">
        <f>H175+H180</f>
        <v>630.1348581900071</v>
      </c>
      <c r="I187" s="1"/>
      <c r="J187" s="1"/>
      <c r="K187" s="1"/>
    </row>
    <row r="188">
      <c r="A188" s="1"/>
      <c r="B188" s="1" t="s">
        <v>388</v>
      </c>
      <c r="C188" s="3">
        <f>C78-C149</f>
        <v>-20.1</v>
      </c>
      <c r="D188" s="3">
        <f>D78-D149</f>
        <v>-19.4</v>
      </c>
      <c r="E188" s="3">
        <f>E78-E149</f>
        <v>-22.9</v>
      </c>
      <c r="F188" s="3">
        <f>F78-F149</f>
        <v>-70.1</v>
      </c>
      <c r="G188" s="3">
        <f>G78-G149</f>
        <v>-18.1</v>
      </c>
      <c r="H188" s="25">
        <f>H78-H149</f>
        <v>-20</v>
      </c>
      <c r="I188" s="1"/>
      <c r="J188" s="1"/>
      <c r="K188" s="1"/>
    </row>
    <row r="189">
      <c r="A189" s="1"/>
      <c r="B189" s="12" t="s">
        <v>389</v>
      </c>
      <c r="C189" s="22">
        <f>C187+C188</f>
        <v>637.8</v>
      </c>
      <c r="D189" s="22">
        <f>D187+D188</f>
        <v>534.4000000000002</v>
      </c>
      <c r="E189" s="22">
        <f>E187+E188</f>
        <v>330</v>
      </c>
      <c r="F189" s="22">
        <f>F187+F188</f>
        <v>2075.1</v>
      </c>
      <c r="G189" s="22">
        <f>G187+G188</f>
        <v>590.5999999999999</v>
      </c>
      <c r="H189" s="42">
        <f>H187+H188</f>
        <v>610.1348581900071</v>
      </c>
      <c r="I189" s="1"/>
      <c r="J189" s="1"/>
      <c r="K189" s="1"/>
    </row>
    <row r="190">
      <c r="A190" s="1"/>
      <c r="B190" s="1" t="s">
        <v>390</v>
      </c>
      <c r="C190" s="3">
        <f>ROUND(C189-C154,1)</f>
        <v>0</v>
      </c>
      <c r="D190" s="3">
        <f>ROUND(D189-D154,1)</f>
        <v>0</v>
      </c>
      <c r="E190" s="3">
        <f>ROUND(E189-E154,1)</f>
        <v>0</v>
      </c>
      <c r="F190" s="3">
        <f>ROUND(F189-F154,1)</f>
        <v>0</v>
      </c>
      <c r="G190" s="3">
        <f>ROUND(G189-G154,1)</f>
        <v>0</v>
      </c>
      <c r="H190" s="25">
        <f>ROUND(H189-H154,1)</f>
        <v>0</v>
      </c>
      <c r="I190" s="1"/>
      <c r="J190" s="1" t="s">
        <v>391</v>
      </c>
      <c r="K190" s="1"/>
    </row>
    <row r="191">
      <c r="A191" s="1"/>
      <c r="B191" s="1"/>
      <c r="C191" s="1"/>
      <c r="D191" s="1"/>
      <c r="E191" s="1"/>
      <c r="F191" s="1"/>
      <c r="G191" s="1"/>
      <c r="H191" s="23"/>
      <c r="I191" s="1"/>
      <c r="J191" s="1"/>
      <c r="K191" s="1"/>
    </row>
    <row r="192">
      <c r="A192" s="1"/>
      <c r="B192" s="27" t="s">
        <v>392</v>
      </c>
      <c r="C192" s="1"/>
      <c r="D192" s="1"/>
      <c r="E192" s="1"/>
      <c r="F192" s="1"/>
      <c r="G192" s="1"/>
      <c r="H192" s="23"/>
      <c r="I192" s="1"/>
      <c r="J192" s="1"/>
      <c r="K192" s="1"/>
    </row>
    <row r="193">
      <c r="A193" s="1"/>
      <c r="B193" s="1" t="s">
        <v>393</v>
      </c>
      <c r="C193" s="3"/>
      <c r="D193" s="3"/>
      <c r="E193" s="3"/>
      <c r="F193" s="3">
        <f>G20</f>
        <v>2515</v>
      </c>
      <c r="G193" s="3"/>
      <c r="H193" s="25"/>
      <c r="I193" s="1"/>
      <c r="J193" s="1" t="s">
        <v>394</v>
      </c>
      <c r="K193" s="1"/>
    </row>
    <row r="194">
      <c r="A194" s="1"/>
      <c r="B194" s="1" t="s">
        <v>395</v>
      </c>
      <c r="C194" s="3"/>
      <c r="D194" s="3"/>
      <c r="E194" s="3"/>
      <c r="F194" s="3">
        <f>G48</f>
        <v>713.8</v>
      </c>
      <c r="G194" s="3"/>
      <c r="H194" s="25"/>
      <c r="I194" s="1"/>
      <c r="J194" s="1" t="s">
        <v>394</v>
      </c>
      <c r="K194" s="1"/>
    </row>
    <row r="195">
      <c r="A195" s="1"/>
      <c r="B195" s="1" t="s">
        <v>396</v>
      </c>
      <c r="C195" s="3"/>
      <c r="D195" s="3"/>
      <c r="E195" s="3"/>
      <c r="F195" s="3">
        <f>G81</f>
        <v>516.1</v>
      </c>
      <c r="G195" s="3"/>
      <c r="H195" s="25"/>
      <c r="I195" s="1"/>
      <c r="J195" s="1" t="s">
        <v>394</v>
      </c>
      <c r="K195" s="1"/>
    </row>
    <row r="196">
      <c r="A196" s="1"/>
      <c r="B196" s="1" t="s">
        <v>397</v>
      </c>
      <c r="C196" s="3"/>
      <c r="D196" s="3"/>
      <c r="E196" s="3"/>
      <c r="F196" s="3">
        <f>G153</f>
        <v>572.9</v>
      </c>
      <c r="G196" s="3"/>
      <c r="H196" s="25"/>
      <c r="I196" s="1"/>
      <c r="J196" s="1" t="s">
        <v>394</v>
      </c>
      <c r="K196" s="1"/>
    </row>
    <row r="197">
      <c r="A197" s="1"/>
      <c r="B197" s="1" t="s">
        <v>398</v>
      </c>
      <c r="C197" s="3"/>
      <c r="D197" s="3"/>
      <c r="E197" s="3"/>
      <c r="F197" s="3">
        <f>ROUND(ABS(F21-F193-C21-D21-E21)+ABS(F49-F194-C49-D49-E49)+ABS(F82-F195-C82-D82-E82)+ABS(F154-F196-C154-D154-E154),1)</f>
        <v>0</v>
      </c>
      <c r="G197" s="3"/>
      <c r="H197" s="25"/>
      <c r="I197" s="1"/>
      <c r="J197" s="1"/>
      <c r="K197" s="1"/>
    </row>
    <row r="198">
      <c r="A198" s="1"/>
      <c r="B198" s="1"/>
      <c r="C198" s="1"/>
      <c r="D198" s="1"/>
      <c r="E198" s="1"/>
      <c r="F198" s="1"/>
      <c r="G198" s="1"/>
      <c r="H198" s="23"/>
      <c r="I198" s="1"/>
      <c r="J198" s="1"/>
      <c r="K198" s="1"/>
    </row>
    <row r="199">
      <c r="A199" s="1"/>
      <c r="B199" s="1"/>
      <c r="C199" s="1"/>
      <c r="D199" s="1"/>
      <c r="E199" s="1"/>
      <c r="F199" s="1"/>
      <c r="G199" s="1"/>
      <c r="H199" s="23"/>
      <c r="I199" s="1"/>
      <c r="J199" s="1"/>
      <c r="K199" s="1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399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26" t="s">
        <v>69</v>
      </c>
      <c r="C5" s="10" t="s">
        <v>58</v>
      </c>
      <c r="D5" s="10" t="s">
        <v>70</v>
      </c>
      <c r="E5" s="10" t="s">
        <v>71</v>
      </c>
      <c r="F5" s="10" t="s">
        <v>72</v>
      </c>
      <c r="G5" s="10" t="s">
        <v>73</v>
      </c>
      <c r="H5" s="36" t="s">
        <v>57</v>
      </c>
      <c r="I5" s="1"/>
      <c r="J5" s="9" t="s">
        <v>3</v>
      </c>
      <c r="K5" s="1"/>
    </row>
    <row r="6">
      <c r="A6" s="1"/>
      <c r="B6" s="18" t="s">
        <v>74</v>
      </c>
      <c r="C6" s="8">
        <v>45900</v>
      </c>
      <c r="D6" s="8">
        <v>45991</v>
      </c>
      <c r="E6" s="8">
        <v>46081</v>
      </c>
      <c r="F6" s="8">
        <v>46081</v>
      </c>
      <c r="G6" s="8">
        <v>46173</v>
      </c>
      <c r="H6" s="24">
        <v>46265</v>
      </c>
      <c r="I6" s="1"/>
      <c r="J6" s="1"/>
      <c r="K6" s="1"/>
    </row>
    <row r="7">
      <c r="A7" s="1"/>
      <c r="B7" s="11" t="s">
        <v>75</v>
      </c>
      <c r="C7" s="5">
        <v>92</v>
      </c>
      <c r="D7" s="5">
        <v>91</v>
      </c>
      <c r="E7" s="5">
        <v>90</v>
      </c>
      <c r="F7" s="5">
        <v>365</v>
      </c>
      <c r="G7" s="5">
        <v>92</v>
      </c>
      <c r="H7" s="13">
        <v>92</v>
      </c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"/>
      <c r="C9" s="1"/>
      <c r="D9" s="1"/>
      <c r="E9" s="1"/>
      <c r="F9" s="1"/>
      <c r="G9" s="1"/>
      <c r="H9" s="23"/>
      <c r="I9" s="1"/>
      <c r="J9" s="1"/>
      <c r="K9" s="1"/>
    </row>
    <row r="10">
      <c r="A10" s="1"/>
      <c r="B10" s="27" t="s">
        <v>400</v>
      </c>
      <c r="C10" s="1"/>
      <c r="D10" s="1"/>
      <c r="E10" s="1"/>
      <c r="F10" s="1"/>
      <c r="G10" s="1"/>
      <c r="H10" s="23"/>
      <c r="I10" s="1"/>
      <c r="J10" s="1"/>
      <c r="K10" s="1"/>
    </row>
    <row r="11">
      <c r="A11" s="1"/>
      <c r="B11" s="1" t="s">
        <v>401</v>
      </c>
      <c r="C11" s="3">
        <v>72</v>
      </c>
      <c r="D11" s="3">
        <v>152.4</v>
      </c>
      <c r="E11" s="3">
        <v>102.4</v>
      </c>
      <c r="F11" s="3">
        <f>E11</f>
        <v>102.4</v>
      </c>
      <c r="G11" s="3">
        <v>96.6</v>
      </c>
      <c r="H11" s="25">
        <f>'Cash Flow Statement'!H48</f>
        <v>99.99999999999997</v>
      </c>
      <c r="I11" s="1"/>
      <c r="J11" s="1" t="s">
        <v>160</v>
      </c>
      <c r="K11" s="1"/>
    </row>
    <row r="12">
      <c r="A12" s="1"/>
      <c r="B12" s="1" t="s">
        <v>402</v>
      </c>
      <c r="C12" s="3">
        <v>667.6</v>
      </c>
      <c r="D12" s="3">
        <v>708.3</v>
      </c>
      <c r="E12" s="3">
        <v>658.2</v>
      </c>
      <c r="F12" s="3">
        <f>E12</f>
        <v>658.2</v>
      </c>
      <c r="G12" s="3">
        <v>726.7</v>
      </c>
      <c r="H12" s="25">
        <f>G12-'Cash Flow Statement'!H18</f>
        <v>686.7</v>
      </c>
      <c r="I12" s="1"/>
      <c r="J12" s="1" t="s">
        <v>160</v>
      </c>
      <c r="K12" s="1"/>
    </row>
    <row r="13">
      <c r="A13" s="1"/>
      <c r="B13" s="1" t="s">
        <v>403</v>
      </c>
      <c r="C13" s="3">
        <v>1439.7</v>
      </c>
      <c r="D13" s="3">
        <v>1379.2</v>
      </c>
      <c r="E13" s="3">
        <v>1433.9</v>
      </c>
      <c r="F13" s="3">
        <f>E13</f>
        <v>1433.9</v>
      </c>
      <c r="G13" s="3">
        <v>1452.6</v>
      </c>
      <c r="H13" s="25">
        <f>G13-'Cash Flow Statement'!H19</f>
        <v>1472.6</v>
      </c>
      <c r="I13" s="1"/>
      <c r="J13" s="1" t="s">
        <v>160</v>
      </c>
      <c r="K13" s="1"/>
    </row>
    <row r="14">
      <c r="A14" s="1"/>
      <c r="B14" s="1" t="s">
        <v>404</v>
      </c>
      <c r="C14" s="3">
        <v>699.6</v>
      </c>
      <c r="D14" s="3">
        <v>669.2</v>
      </c>
      <c r="E14" s="3">
        <v>711.8</v>
      </c>
      <c r="F14" s="3">
        <f>E14</f>
        <v>711.8</v>
      </c>
      <c r="G14" s="3">
        <v>765.1</v>
      </c>
      <c r="H14" s="25">
        <f>G14-'Cash Flow Statement'!H20</f>
        <v>765.1</v>
      </c>
      <c r="I14" s="1"/>
      <c r="J14" s="1" t="s">
        <v>160</v>
      </c>
      <c r="K14" s="1"/>
    </row>
    <row r="15">
      <c r="A15" s="1"/>
      <c r="B15" s="1" t="s">
        <v>405</v>
      </c>
      <c r="C15" s="3">
        <v>0</v>
      </c>
      <c r="D15" s="3">
        <v>0</v>
      </c>
      <c r="E15" s="3">
        <v>0</v>
      </c>
      <c r="F15" s="3">
        <f>E15</f>
        <v>0</v>
      </c>
      <c r="G15" s="3">
        <v>0</v>
      </c>
      <c r="H15" s="25">
        <f>G15</f>
        <v>0</v>
      </c>
      <c r="I15" s="1"/>
      <c r="J15" s="1" t="s">
        <v>160</v>
      </c>
      <c r="K15" s="1"/>
    </row>
    <row r="16">
      <c r="A16" s="1"/>
      <c r="B16" s="12" t="s">
        <v>406</v>
      </c>
      <c r="C16" s="22">
        <f>SUM(C11:C15)</f>
        <v>2878.9</v>
      </c>
      <c r="D16" s="22">
        <f>SUM(D11:D15)</f>
        <v>2909.1</v>
      </c>
      <c r="E16" s="22">
        <f>SUM(E11:E15)</f>
        <v>2906.3</v>
      </c>
      <c r="F16" s="22">
        <f>SUM(F11:F15)</f>
        <v>2906.3</v>
      </c>
      <c r="G16" s="22">
        <f>SUM(G11:G15)</f>
        <v>3041</v>
      </c>
      <c r="H16" s="42">
        <f>SUM(H11:H15)</f>
        <v>3024.4</v>
      </c>
      <c r="I16" s="1"/>
      <c r="J16" s="1"/>
      <c r="K16" s="1"/>
    </row>
    <row r="17">
      <c r="A17" s="1"/>
      <c r="B17" s="1" t="s">
        <v>407</v>
      </c>
      <c r="C17" s="3">
        <v>8002.2</v>
      </c>
      <c r="D17" s="3">
        <v>8211.5</v>
      </c>
      <c r="E17" s="3">
        <v>8520.9</v>
      </c>
      <c r="F17" s="3">
        <f>E17</f>
        <v>8520.9</v>
      </c>
      <c r="G17" s="3">
        <v>8510.2</v>
      </c>
      <c r="H17" s="25">
        <f>G17-'Cash Flow Statement'!H12-'Cash Flow Statement'!H28</f>
        <v>8620.2</v>
      </c>
      <c r="I17" s="1"/>
      <c r="J17" s="1" t="s">
        <v>160</v>
      </c>
      <c r="K17" s="1"/>
    </row>
    <row r="18">
      <c r="A18" s="1"/>
      <c r="B18" s="1" t="s">
        <v>408</v>
      </c>
      <c r="C18" s="3">
        <v>5179.3</v>
      </c>
      <c r="D18" s="3">
        <v>5190.6</v>
      </c>
      <c r="E18" s="3">
        <v>5233.9</v>
      </c>
      <c r="F18" s="3">
        <f>E18</f>
        <v>5233.9</v>
      </c>
      <c r="G18" s="3">
        <v>5248.9</v>
      </c>
      <c r="H18" s="25">
        <f>G18-'Cash Flow Statement'!H29</f>
        <v>5248.9</v>
      </c>
      <c r="I18" s="1"/>
      <c r="J18" s="1" t="s">
        <v>160</v>
      </c>
      <c r="K18" s="1"/>
    </row>
    <row r="19">
      <c r="A19" s="1"/>
      <c r="B19" s="1" t="s">
        <v>409</v>
      </c>
      <c r="C19" s="3">
        <v>2533.4</v>
      </c>
      <c r="D19" s="3">
        <v>2532.7</v>
      </c>
      <c r="E19" s="3">
        <v>2533</v>
      </c>
      <c r="F19" s="3">
        <f>E19</f>
        <v>2533</v>
      </c>
      <c r="G19" s="3">
        <v>2536.8</v>
      </c>
      <c r="H19" s="25">
        <f>G19</f>
        <v>2536.8</v>
      </c>
      <c r="I19" s="1"/>
      <c r="J19" s="1" t="s">
        <v>160</v>
      </c>
      <c r="K19" s="1"/>
    </row>
    <row r="20">
      <c r="A20" s="1"/>
      <c r="B20" s="1" t="s">
        <v>410</v>
      </c>
      <c r="C20" s="3">
        <v>1588.4</v>
      </c>
      <c r="D20" s="3">
        <v>1569</v>
      </c>
      <c r="E20" s="3">
        <v>1370.3</v>
      </c>
      <c r="F20" s="3">
        <f>E20</f>
        <v>1370.3</v>
      </c>
      <c r="G20" s="3">
        <v>1459.2</v>
      </c>
      <c r="H20" s="25">
        <f>G20-'Cash Flow Statement'!H14</f>
        <v>1459.2</v>
      </c>
      <c r="I20" s="1"/>
      <c r="J20" s="1" t="s">
        <v>160</v>
      </c>
      <c r="K20" s="1"/>
    </row>
    <row r="21">
      <c r="A21" s="1"/>
      <c r="B21" s="1" t="s">
        <v>411</v>
      </c>
      <c r="C21" s="3">
        <v>1237.2</v>
      </c>
      <c r="D21" s="3">
        <v>1270.5</v>
      </c>
      <c r="E21" s="3">
        <v>1336.1</v>
      </c>
      <c r="F21" s="3">
        <f>E21</f>
        <v>1336.1</v>
      </c>
      <c r="G21" s="3">
        <v>1312.6</v>
      </c>
      <c r="H21" s="25">
        <f>G21-'Cash Flow Statement'!H15-'Cash Flow Statement'!H16-'Cash Flow Statement'!H17-'Cash Flow Statement'!H30-'Cash Flow Statement'!H31</f>
        <v>1279.6</v>
      </c>
      <c r="I21" s="1"/>
      <c r="J21" s="1" t="s">
        <v>160</v>
      </c>
      <c r="K21" s="1"/>
    </row>
    <row r="22">
      <c r="A22" s="1"/>
      <c r="B22" s="12" t="s">
        <v>412</v>
      </c>
      <c r="C22" s="22">
        <f>C16+SUM(C17:C21)</f>
        <v>21419.4</v>
      </c>
      <c r="D22" s="22">
        <f>D16+SUM(D17:D21)</f>
        <v>21683.399999999998</v>
      </c>
      <c r="E22" s="22">
        <f>E16+SUM(E17:E21)</f>
        <v>21900.5</v>
      </c>
      <c r="F22" s="22">
        <f>F16+SUM(F17:F21)</f>
        <v>21900.5</v>
      </c>
      <c r="G22" s="22">
        <f>G16+SUM(G17:G21)</f>
        <v>22108.7</v>
      </c>
      <c r="H22" s="42">
        <f>H16+SUM(H17:H21)</f>
        <v>22169.100000000002</v>
      </c>
      <c r="I22" s="1"/>
      <c r="J22" s="1"/>
      <c r="K22" s="1"/>
    </row>
    <row r="23">
      <c r="A23" s="1"/>
      <c r="B23" s="1" t="s">
        <v>413</v>
      </c>
      <c r="C23" s="3">
        <v>21419.4</v>
      </c>
      <c r="D23" s="3">
        <v>21683.4</v>
      </c>
      <c r="E23" s="3">
        <v>21900.5</v>
      </c>
      <c r="F23" s="3">
        <f>E23</f>
        <v>21900.5</v>
      </c>
      <c r="G23" s="3">
        <v>22108.7</v>
      </c>
      <c r="H23" s="25" t="s">
        <v>26</v>
      </c>
      <c r="I23" s="1"/>
      <c r="J23" s="1" t="s">
        <v>160</v>
      </c>
      <c r="K23" s="1"/>
    </row>
    <row r="24">
      <c r="A24" s="1"/>
      <c r="B24" s="1"/>
      <c r="C24" s="1"/>
      <c r="D24" s="1"/>
      <c r="E24" s="1"/>
      <c r="F24" s="1"/>
      <c r="G24" s="1"/>
      <c r="H24" s="23"/>
      <c r="I24" s="1"/>
      <c r="J24" s="1"/>
      <c r="K24" s="1"/>
    </row>
    <row r="25">
      <c r="A25" s="1"/>
      <c r="B25" s="27" t="s">
        <v>414</v>
      </c>
      <c r="C25" s="1"/>
      <c r="D25" s="1"/>
      <c r="E25" s="1"/>
      <c r="F25" s="1"/>
      <c r="G25" s="1"/>
      <c r="H25" s="23"/>
      <c r="I25" s="1"/>
      <c r="J25" s="1"/>
      <c r="K25" s="1"/>
    </row>
    <row r="26">
      <c r="A26" s="1"/>
      <c r="B26" s="1" t="s">
        <v>415</v>
      </c>
      <c r="C26" s="3">
        <v>252.5</v>
      </c>
      <c r="D26" s="3">
        <v>374.7</v>
      </c>
      <c r="E26" s="3">
        <v>272</v>
      </c>
      <c r="F26" s="3">
        <f>E26</f>
        <v>272</v>
      </c>
      <c r="G26" s="3">
        <v>336.3</v>
      </c>
      <c r="H26" s="25">
        <f>G26+'Cash Flow Statement'!H38</f>
        <v>178.84146266616213</v>
      </c>
      <c r="I26" s="1"/>
      <c r="J26" s="1" t="s">
        <v>160</v>
      </c>
      <c r="K26" s="1"/>
    </row>
    <row r="27">
      <c r="A27" s="1"/>
      <c r="B27" s="1" t="s">
        <v>416</v>
      </c>
      <c r="C27" s="3">
        <v>504.1</v>
      </c>
      <c r="D27" s="3">
        <v>4</v>
      </c>
      <c r="E27" s="3">
        <v>603.6</v>
      </c>
      <c r="F27" s="3">
        <f>E27</f>
        <v>603.6</v>
      </c>
      <c r="G27" s="3">
        <v>1102.6</v>
      </c>
      <c r="H27" s="25">
        <f>G27+'Cash Flow Statement'!H37</f>
        <v>1102.6</v>
      </c>
      <c r="I27" s="1"/>
      <c r="J27" s="1" t="s">
        <v>160</v>
      </c>
      <c r="K27" s="1"/>
    </row>
    <row r="28">
      <c r="A28" s="1"/>
      <c r="B28" s="1" t="s">
        <v>417</v>
      </c>
      <c r="C28" s="3">
        <v>1023.2</v>
      </c>
      <c r="D28" s="3">
        <v>976.5</v>
      </c>
      <c r="E28" s="3">
        <v>960.2</v>
      </c>
      <c r="F28" s="3">
        <f>E28</f>
        <v>960.2</v>
      </c>
      <c r="G28" s="3">
        <v>1000.1</v>
      </c>
      <c r="H28" s="25">
        <f>G28+'Cash Flow Statement'!H21</f>
        <v>1010.1</v>
      </c>
      <c r="I28" s="1"/>
      <c r="J28" s="1" t="s">
        <v>160</v>
      </c>
      <c r="K28" s="1"/>
    </row>
    <row r="29">
      <c r="A29" s="1"/>
      <c r="B29" s="1" t="s">
        <v>418</v>
      </c>
      <c r="C29" s="3">
        <v>879.6</v>
      </c>
      <c r="D29" s="3">
        <v>818</v>
      </c>
      <c r="E29" s="3">
        <v>854</v>
      </c>
      <c r="F29" s="3">
        <f>E29</f>
        <v>854</v>
      </c>
      <c r="G29" s="3">
        <v>890</v>
      </c>
      <c r="H29" s="25">
        <f>G29+'Cash Flow Statement'!H22</f>
        <v>870</v>
      </c>
      <c r="I29" s="1"/>
      <c r="J29" s="1" t="s">
        <v>160</v>
      </c>
      <c r="K29" s="1"/>
    </row>
    <row r="30">
      <c r="A30" s="1"/>
      <c r="B30" s="12" t="s">
        <v>419</v>
      </c>
      <c r="C30" s="22">
        <f>SUM(C26:C29)</f>
        <v>2659.4</v>
      </c>
      <c r="D30" s="22">
        <f>SUM(D26:D29)</f>
        <v>2173.2</v>
      </c>
      <c r="E30" s="22">
        <f>SUM(E26:E29)</f>
        <v>2689.8</v>
      </c>
      <c r="F30" s="22">
        <f>SUM(F26:F29)</f>
        <v>2689.8</v>
      </c>
      <c r="G30" s="22">
        <f>SUM(G26:G29)</f>
        <v>3329</v>
      </c>
      <c r="H30" s="42">
        <f>SUM(H26:H29)</f>
        <v>3161.5414626661623</v>
      </c>
      <c r="I30" s="1"/>
      <c r="J30" s="1"/>
      <c r="K30" s="1"/>
    </row>
    <row r="31">
      <c r="A31" s="1"/>
      <c r="B31" s="1" t="s">
        <v>420</v>
      </c>
      <c r="C31" s="3">
        <v>9788.3</v>
      </c>
      <c r="D31" s="3">
        <v>10285.1</v>
      </c>
      <c r="E31" s="3">
        <v>9692.9</v>
      </c>
      <c r="F31" s="3">
        <f>E31</f>
        <v>9692.9</v>
      </c>
      <c r="G31" s="3">
        <v>9094.9</v>
      </c>
      <c r="H31" s="25">
        <f>G31+'Cash Flow Statement'!H36</f>
        <v>9094.9</v>
      </c>
      <c r="I31" s="1"/>
      <c r="J31" s="1" t="s">
        <v>160</v>
      </c>
      <c r="K31" s="1"/>
    </row>
    <row r="32">
      <c r="A32" s="1"/>
      <c r="B32" s="1" t="s">
        <v>421</v>
      </c>
      <c r="C32" s="3">
        <v>1185.4</v>
      </c>
      <c r="D32" s="3">
        <v>1224.8</v>
      </c>
      <c r="E32" s="3">
        <v>1130.9</v>
      </c>
      <c r="F32" s="3">
        <f>E32</f>
        <v>1130.9</v>
      </c>
      <c r="G32" s="3">
        <v>1135</v>
      </c>
      <c r="H32" s="25">
        <f>G32+'Cash Flow Statement'!H23</f>
        <v>1102</v>
      </c>
      <c r="I32" s="1"/>
      <c r="J32" s="1" t="s">
        <v>160</v>
      </c>
      <c r="K32" s="1"/>
    </row>
    <row r="33">
      <c r="A33" s="1"/>
      <c r="B33" s="12" t="s">
        <v>422</v>
      </c>
      <c r="C33" s="22">
        <f>C30+C31+C32</f>
        <v>13633.099999999999</v>
      </c>
      <c r="D33" s="22">
        <f>D30+D31+D32</f>
        <v>13683.099999999999</v>
      </c>
      <c r="E33" s="22">
        <f>E30+E31+E32</f>
        <v>13513.6</v>
      </c>
      <c r="F33" s="22">
        <f>F30+F31+F32</f>
        <v>13513.6</v>
      </c>
      <c r="G33" s="22">
        <f>G30+G31+G32</f>
        <v>13558.9</v>
      </c>
      <c r="H33" s="42">
        <f>H30+H31+H32</f>
        <v>13358.441462666162</v>
      </c>
      <c r="I33" s="1"/>
      <c r="J33" s="1"/>
      <c r="K33" s="1"/>
    </row>
    <row r="34" ht="66.75">
      <c r="A34" s="1"/>
      <c r="B34" s="1" t="s">
        <v>423</v>
      </c>
      <c r="C34" s="3">
        <v>7500.4</v>
      </c>
      <c r="D34" s="3">
        <v>7710.8</v>
      </c>
      <c r="E34" s="3">
        <v>8082.4</v>
      </c>
      <c r="F34" s="3">
        <f>E34</f>
        <v>8082.4</v>
      </c>
      <c r="G34" s="3">
        <v>8255.6</v>
      </c>
      <c r="H34" s="25">
        <f>G34+'Income Statement'!H82+'Cash Flow Statement'!H13+'Cash Flow Statement'!H39+'Cash Flow Statement'!H40+'Cash Flow Statement'!H41+'Cash Flow Statement'!H45</f>
        <v>8516.45853733384</v>
      </c>
      <c r="I34" s="1"/>
      <c r="J34" s="55" t="s">
        <v>424</v>
      </c>
      <c r="K34" s="1"/>
    </row>
    <row r="35">
      <c r="A35" s="1"/>
      <c r="B35" s="1" t="s">
        <v>425</v>
      </c>
      <c r="C35" s="3">
        <v>285.9</v>
      </c>
      <c r="D35" s="3">
        <v>289.5</v>
      </c>
      <c r="E35" s="3">
        <v>304.5</v>
      </c>
      <c r="F35" s="3">
        <f>E35</f>
        <v>304.5</v>
      </c>
      <c r="G35" s="3">
        <v>294.2</v>
      </c>
      <c r="H35" s="25">
        <f>G35-'Income Statement'!H78+'Cash Flow Statement'!H42</f>
        <v>294.2</v>
      </c>
      <c r="I35" s="1"/>
      <c r="J35" s="1" t="s">
        <v>160</v>
      </c>
      <c r="K35" s="1"/>
    </row>
    <row r="36">
      <c r="A36" s="1"/>
      <c r="B36" s="12" t="s">
        <v>426</v>
      </c>
      <c r="C36" s="22">
        <f>C34+C35</f>
        <v>7786.299999999999</v>
      </c>
      <c r="D36" s="22">
        <f>D34+D35</f>
        <v>8000.3</v>
      </c>
      <c r="E36" s="22">
        <f>E34+E35</f>
        <v>8386.9</v>
      </c>
      <c r="F36" s="22">
        <f>F34+F35</f>
        <v>8386.9</v>
      </c>
      <c r="G36" s="22">
        <f>G34+G35</f>
        <v>8549.800000000001</v>
      </c>
      <c r="H36" s="42">
        <f>H34+H35</f>
        <v>8810.65853733384</v>
      </c>
      <c r="I36" s="1"/>
      <c r="J36" s="1"/>
      <c r="K36" s="1"/>
    </row>
    <row r="37">
      <c r="A37" s="1"/>
      <c r="B37" s="12" t="s">
        <v>427</v>
      </c>
      <c r="C37" s="22">
        <f>C33+C36</f>
        <v>21419.399999999998</v>
      </c>
      <c r="D37" s="22">
        <f>D33+D36</f>
        <v>21683.399999999998</v>
      </c>
      <c r="E37" s="22">
        <f>E33+E36</f>
        <v>21900.5</v>
      </c>
      <c r="F37" s="22">
        <f>F33+F36</f>
        <v>21900.5</v>
      </c>
      <c r="G37" s="22">
        <f>G33+G36</f>
        <v>22108.7</v>
      </c>
      <c r="H37" s="42">
        <f>H33+H36</f>
        <v>22169.100000000002</v>
      </c>
      <c r="I37" s="1"/>
      <c r="J37" s="1"/>
      <c r="K37" s="1"/>
    </row>
    <row r="38">
      <c r="A38" s="1"/>
      <c r="B38" s="1" t="s">
        <v>428</v>
      </c>
      <c r="C38" s="3">
        <f>ROUND(C22-C33-C36,1)</f>
        <v>0</v>
      </c>
      <c r="D38" s="3">
        <f>ROUND(D22-D33-D36,1)</f>
        <v>0</v>
      </c>
      <c r="E38" s="3">
        <f>ROUND(E22-E33-E36,1)</f>
        <v>0</v>
      </c>
      <c r="F38" s="3">
        <f>ROUND(F22-F33-F36,1)</f>
        <v>0</v>
      </c>
      <c r="G38" s="3">
        <f>ROUND(G22-G33-G36,1)</f>
        <v>0</v>
      </c>
      <c r="H38" s="25">
        <f>ROUND(H22-H33-H36,1)</f>
        <v>0</v>
      </c>
      <c r="I38" s="1"/>
      <c r="J38" s="1"/>
      <c r="K38" s="1"/>
    </row>
    <row r="39">
      <c r="A39" s="1"/>
      <c r="B39" s="1" t="s">
        <v>429</v>
      </c>
      <c r="C39" s="3">
        <f>ROUND(C22-C23,1)</f>
        <v>0</v>
      </c>
      <c r="D39" s="3">
        <f>ROUND(D22-D23,1)</f>
        <v>0</v>
      </c>
      <c r="E39" s="3">
        <f>ROUND(E22-E23,1)</f>
        <v>0</v>
      </c>
      <c r="F39" s="3">
        <f>ROUND(F22-F23,1)</f>
        <v>0</v>
      </c>
      <c r="G39" s="3">
        <f>ROUND(G22-G23,1)</f>
        <v>0</v>
      </c>
      <c r="H39" s="25" t="s">
        <v>26</v>
      </c>
      <c r="I39" s="1"/>
      <c r="J39" s="1"/>
      <c r="K39" s="1"/>
    </row>
    <row r="40">
      <c r="A40" s="1"/>
      <c r="B40" s="1"/>
      <c r="C40" s="1"/>
      <c r="D40" s="1"/>
      <c r="E40" s="1"/>
      <c r="F40" s="1"/>
      <c r="G40" s="1"/>
      <c r="H40" s="23"/>
      <c r="I40" s="1"/>
      <c r="J40" s="1"/>
      <c r="K40" s="1"/>
    </row>
    <row r="41">
      <c r="A41" s="1"/>
      <c r="B41" s="27" t="s">
        <v>430</v>
      </c>
      <c r="C41" s="1"/>
      <c r="D41" s="1"/>
      <c r="E41" s="1"/>
      <c r="F41" s="1"/>
      <c r="G41" s="1"/>
      <c r="H41" s="23"/>
      <c r="I41" s="1"/>
      <c r="J41" s="1"/>
      <c r="K41" s="1"/>
    </row>
    <row r="42">
      <c r="A42" s="1"/>
      <c r="B42" s="12" t="s">
        <v>431</v>
      </c>
      <c r="C42" s="22">
        <f>C26+C27+C31</f>
        <v>10544.9</v>
      </c>
      <c r="D42" s="22">
        <f>D26+D27+D31</f>
        <v>10663.800000000001</v>
      </c>
      <c r="E42" s="22">
        <f>E26+E27+E31</f>
        <v>10568.5</v>
      </c>
      <c r="F42" s="22">
        <f>F26+F27+F31</f>
        <v>10568.5</v>
      </c>
      <c r="G42" s="22">
        <f>G26+G27+G31</f>
        <v>10533.8</v>
      </c>
      <c r="H42" s="42">
        <f>H26+H27+H31</f>
        <v>10376.341462666162</v>
      </c>
      <c r="I42" s="1"/>
      <c r="J42" s="1"/>
      <c r="K42" s="1"/>
    </row>
    <row r="43">
      <c r="A43" s="1"/>
      <c r="B43" s="1" t="s">
        <v>170</v>
      </c>
      <c r="C43" s="3" t="s">
        <v>26</v>
      </c>
      <c r="D43" s="3">
        <f>IF(AND(ISNUMBER(D42),ISNUMBER(C42)),D42-C42,"n/a")</f>
        <v>118.90000000000146</v>
      </c>
      <c r="E43" s="3">
        <f>IF(AND(ISNUMBER(E42),ISNUMBER(D42)),E42-D42,"n/a")</f>
        <v>-95.30000000000109</v>
      </c>
      <c r="F43" s="3" t="s">
        <v>26</v>
      </c>
      <c r="G43" s="3">
        <f>IF(AND(ISNUMBER(G42),ISNUMBER(E42)),G42-E42,"n/a")</f>
        <v>-34.70000000000073</v>
      </c>
      <c r="H43" s="25">
        <f>IF(AND(ISNUMBER(H42),ISNUMBER(G42)),H42-G42,"n/a")</f>
        <v>-157.45853733383774</v>
      </c>
      <c r="I43" s="1"/>
      <c r="J43" s="1"/>
      <c r="K43" s="1"/>
    </row>
    <row r="44">
      <c r="A44" s="1"/>
      <c r="B44" s="1" t="s">
        <v>432</v>
      </c>
      <c r="C44" s="3">
        <f>C42-C11</f>
        <v>10472.9</v>
      </c>
      <c r="D44" s="3">
        <f>D42-D11</f>
        <v>10511.400000000001</v>
      </c>
      <c r="E44" s="3">
        <f>E42-E11</f>
        <v>10466.1</v>
      </c>
      <c r="F44" s="3">
        <f>F42-F11</f>
        <v>10466.1</v>
      </c>
      <c r="G44" s="3">
        <f>G42-G11</f>
        <v>10437.199999999999</v>
      </c>
      <c r="H44" s="25">
        <f>H42-H11</f>
        <v>10276.341462666162</v>
      </c>
      <c r="I44" s="1"/>
      <c r="J44" s="1"/>
      <c r="K44" s="1"/>
    </row>
    <row r="45">
      <c r="A45" s="1"/>
      <c r="B45" s="1" t="s">
        <v>433</v>
      </c>
      <c r="C45" s="3" t="s">
        <v>26</v>
      </c>
      <c r="D45" s="3" t="s">
        <v>26</v>
      </c>
      <c r="E45" s="3">
        <f>'Income Statement'!F119</f>
        <v>3363.2</v>
      </c>
      <c r="F45" s="3">
        <f>'Income Statement'!F119</f>
        <v>3363.2</v>
      </c>
      <c r="G45" s="3">
        <f>'Income Statement'!C119+'Income Statement'!D119+'Income Statement'!E119+'Income Statement'!G119</f>
        <v>3379.8999999999996</v>
      </c>
      <c r="H45" s="25">
        <f>'Income Statement'!D119+'Income Statement'!E119+'Income Statement'!G119+'Income Statement'!H119</f>
        <v>3355.904311957615</v>
      </c>
      <c r="I45" s="1"/>
      <c r="J45" s="1" t="s">
        <v>434</v>
      </c>
      <c r="K45" s="1"/>
    </row>
    <row r="46">
      <c r="A46" s="1"/>
      <c r="B46" s="1" t="s">
        <v>435</v>
      </c>
      <c r="C46" s="28" t="str">
        <f>IF(AND(ISNUMBER(C44),ISNUMBER(C45)),IF(C45=0,"n/a",C44/C45),"n/a")</f>
        <v>n/a</v>
      </c>
      <c r="D46" s="28" t="str">
        <f>IF(AND(ISNUMBER(D44),ISNUMBER(D45)),IF(D45=0,"n/a",D44/D45),"n/a")</f>
        <v>n/a</v>
      </c>
      <c r="E46" s="28">
        <f>IF(AND(ISNUMBER(E44),ISNUMBER(E45)),IF(E45=0,"n/a",E44/E45),"n/a")</f>
        <v>3.1119469552806853</v>
      </c>
      <c r="F46" s="28">
        <f>IF(AND(ISNUMBER(F44),ISNUMBER(F45)),IF(F45=0,"n/a",F44/F45),"n/a")</f>
        <v>3.1119469552806853</v>
      </c>
      <c r="G46" s="28">
        <f>IF(AND(ISNUMBER(G44),ISNUMBER(G45)),IF(G45=0,"n/a",G44/G45),"n/a")</f>
        <v>3.0880203556318233</v>
      </c>
      <c r="H46" s="37">
        <f>IF(AND(ISNUMBER(H44),ISNUMBER(H45)),IF(H45=0,"n/a",H44/H45),"n/a")</f>
        <v>3.0621676029468246</v>
      </c>
      <c r="I46" s="1"/>
      <c r="J46" s="1"/>
      <c r="K46" s="1"/>
    </row>
    <row r="47">
      <c r="A47" s="1"/>
      <c r="B47" s="1"/>
      <c r="C47" s="1"/>
      <c r="D47" s="1"/>
      <c r="E47" s="1"/>
      <c r="F47" s="1"/>
      <c r="G47" s="1"/>
      <c r="H47" s="23"/>
      <c r="I47" s="1"/>
      <c r="J47" s="1"/>
      <c r="K47" s="1"/>
    </row>
    <row r="48">
      <c r="A48" s="1"/>
      <c r="B48" s="1"/>
      <c r="C48" s="1"/>
      <c r="D48" s="1"/>
      <c r="E48" s="1"/>
      <c r="F48" s="1"/>
      <c r="G48" s="1"/>
      <c r="H48" s="23"/>
      <c r="I48" s="1"/>
      <c r="J48" s="1"/>
      <c r="K48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K13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436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26" t="s">
        <v>69</v>
      </c>
      <c r="C5" s="10" t="s">
        <v>58</v>
      </c>
      <c r="D5" s="10" t="s">
        <v>70</v>
      </c>
      <c r="E5" s="10" t="s">
        <v>71</v>
      </c>
      <c r="F5" s="10" t="s">
        <v>72</v>
      </c>
      <c r="G5" s="10" t="s">
        <v>73</v>
      </c>
      <c r="H5" s="36" t="s">
        <v>57</v>
      </c>
      <c r="I5" s="1"/>
      <c r="J5" s="9" t="s">
        <v>3</v>
      </c>
      <c r="K5" s="1"/>
    </row>
    <row r="6">
      <c r="A6" s="1"/>
      <c r="B6" s="18" t="s">
        <v>74</v>
      </c>
      <c r="C6" s="8">
        <v>45900</v>
      </c>
      <c r="D6" s="8">
        <v>45991</v>
      </c>
      <c r="E6" s="8">
        <v>46081</v>
      </c>
      <c r="F6" s="8">
        <v>46081</v>
      </c>
      <c r="G6" s="8">
        <v>46173</v>
      </c>
      <c r="H6" s="24">
        <v>46265</v>
      </c>
      <c r="I6" s="1"/>
      <c r="J6" s="1"/>
      <c r="K6" s="1"/>
    </row>
    <row r="7">
      <c r="A7" s="1"/>
      <c r="B7" s="11" t="s">
        <v>75</v>
      </c>
      <c r="C7" s="5">
        <v>92</v>
      </c>
      <c r="D7" s="5">
        <v>91</v>
      </c>
      <c r="E7" s="5">
        <v>90</v>
      </c>
      <c r="F7" s="5">
        <v>365</v>
      </c>
      <c r="G7" s="5">
        <v>92</v>
      </c>
      <c r="H7" s="13">
        <v>92</v>
      </c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"/>
      <c r="C9" s="1"/>
      <c r="D9" s="1"/>
      <c r="E9" s="1"/>
      <c r="F9" s="1"/>
      <c r="G9" s="1"/>
      <c r="H9" s="23"/>
      <c r="I9" s="1"/>
      <c r="J9" s="1"/>
      <c r="K9" s="1"/>
    </row>
    <row r="10">
      <c r="A10" s="1"/>
      <c r="B10" s="27" t="s">
        <v>437</v>
      </c>
      <c r="C10" s="1"/>
      <c r="D10" s="1"/>
      <c r="E10" s="1"/>
      <c r="F10" s="1"/>
      <c r="G10" s="1"/>
      <c r="H10" s="23"/>
      <c r="I10" s="1"/>
      <c r="J10" s="1"/>
      <c r="K10" s="1"/>
    </row>
    <row r="11">
      <c r="A11" s="1"/>
      <c r="B11" s="1" t="s">
        <v>307</v>
      </c>
      <c r="C11" s="3">
        <f>(C57-C98)</f>
        <v>486.1</v>
      </c>
      <c r="D11" s="3">
        <f>(D57-C57)</f>
        <v>522.1999999999999</v>
      </c>
      <c r="E11" s="3">
        <f>(E57-D57)</f>
        <v>224.70000000000005</v>
      </c>
      <c r="F11" s="3">
        <f>E57</f>
        <v>1756.8</v>
      </c>
      <c r="G11" s="3">
        <f>G57</f>
        <v>671.9</v>
      </c>
      <c r="H11" s="25">
        <f>'Income Statement'!H76</f>
        <v>619.7068581900072</v>
      </c>
      <c r="I11" s="1"/>
      <c r="J11" s="1"/>
      <c r="K11" s="1"/>
    </row>
    <row r="12">
      <c r="A12" s="1"/>
      <c r="B12" s="1" t="s">
        <v>438</v>
      </c>
      <c r="C12" s="3">
        <f>(C60-C101)</f>
        <v>102.7</v>
      </c>
      <c r="D12" s="3">
        <f>(D60-C60)</f>
        <v>98.99999999999997</v>
      </c>
      <c r="E12" s="3">
        <f>(E60-D60)</f>
        <v>111.80000000000001</v>
      </c>
      <c r="F12" s="3">
        <f>E60</f>
        <v>418.7</v>
      </c>
      <c r="G12" s="3">
        <f>G60</f>
        <v>97.6</v>
      </c>
      <c r="H12" s="25">
        <f>'Segment - Beer'!H117+'Segment - Wine and Spirits'!H164+'Income Statement'!H116</f>
        <v>100</v>
      </c>
      <c r="I12" s="1"/>
      <c r="J12" s="1" t="s">
        <v>439</v>
      </c>
      <c r="K12" s="1"/>
    </row>
    <row r="13">
      <c r="A13" s="1"/>
      <c r="B13" s="1" t="s">
        <v>440</v>
      </c>
      <c r="C13" s="3">
        <f>(C61-C102)</f>
        <v>21.700000000000003</v>
      </c>
      <c r="D13" s="3">
        <f>(D61-C61)</f>
        <v>15.899999999999999</v>
      </c>
      <c r="E13" s="3">
        <f>(E61-D61)</f>
        <v>19.700000000000003</v>
      </c>
      <c r="F13" s="3">
        <f>E61</f>
        <v>67.7</v>
      </c>
      <c r="G13" s="3">
        <f>G61</f>
        <v>15</v>
      </c>
      <c r="H13" s="25">
        <v>15</v>
      </c>
      <c r="I13" s="1"/>
      <c r="J13" s="1"/>
      <c r="K13" s="1"/>
    </row>
    <row r="14">
      <c r="A14" s="1"/>
      <c r="B14" s="1" t="s">
        <v>441</v>
      </c>
      <c r="C14" s="3">
        <f>(C59-C100)</f>
        <v>243.60000000000002</v>
      </c>
      <c r="D14" s="3">
        <f>(D59-C59)</f>
        <v>34.099999999999966</v>
      </c>
      <c r="E14" s="3">
        <f>(E59-D59)</f>
        <v>198.8</v>
      </c>
      <c r="F14" s="3">
        <f>E59</f>
        <v>510.5</v>
      </c>
      <c r="G14" s="3">
        <f>G59</f>
        <v>-78.4</v>
      </c>
      <c r="H14" s="25">
        <v>0</v>
      </c>
      <c r="I14" s="1"/>
      <c r="J14" s="1"/>
      <c r="K14" s="1"/>
    </row>
    <row r="15">
      <c r="A15" s="1"/>
      <c r="B15" s="1" t="s">
        <v>442</v>
      </c>
      <c r="C15" s="3">
        <f>(C63-C104)</f>
        <v>31.6</v>
      </c>
      <c r="D15" s="3">
        <f>(D63-C63)</f>
        <v>32.1</v>
      </c>
      <c r="E15" s="3">
        <f>(E63-D63)</f>
        <v>32.7</v>
      </c>
      <c r="F15" s="3">
        <f>E63</f>
        <v>127.4</v>
      </c>
      <c r="G15" s="3">
        <f>G63</f>
        <v>33.5</v>
      </c>
      <c r="H15" s="25">
        <v>33</v>
      </c>
      <c r="I15" s="1"/>
      <c r="J15" s="1"/>
      <c r="K15" s="1"/>
    </row>
    <row r="16">
      <c r="A16" s="1"/>
      <c r="B16" s="1" t="s">
        <v>289</v>
      </c>
      <c r="C16" s="3">
        <f>(C64-C105)</f>
        <v>0</v>
      </c>
      <c r="D16" s="3">
        <f>(D64-C64)</f>
        <v>0</v>
      </c>
      <c r="E16" s="3">
        <f>(E64-D64)</f>
        <v>57.699999999999996</v>
      </c>
      <c r="F16" s="3">
        <f>E64</f>
        <v>109.8</v>
      </c>
      <c r="G16" s="3">
        <f>G64</f>
        <v>18.3</v>
      </c>
      <c r="H16" s="25">
        <f>-'Income Statement'!H46</f>
        <v>0</v>
      </c>
      <c r="I16" s="1"/>
      <c r="J16" s="1"/>
      <c r="K16" s="1"/>
    </row>
    <row r="17" ht="54">
      <c r="A17" s="1"/>
      <c r="B17" s="1" t="s">
        <v>443</v>
      </c>
      <c r="C17" s="3" t="s">
        <v>26</v>
      </c>
      <c r="D17" s="3" t="s">
        <v>26</v>
      </c>
      <c r="E17" s="3" t="s">
        <v>26</v>
      </c>
      <c r="F17" s="3">
        <f>E58+E62+E65</f>
        <v>35.9</v>
      </c>
      <c r="G17" s="3" t="s">
        <v>26</v>
      </c>
      <c r="H17" s="25">
        <f>-'Income Statement'!H47</f>
        <v>0</v>
      </c>
      <c r="I17" s="1"/>
      <c r="J17" s="55" t="s">
        <v>444</v>
      </c>
      <c r="K17" s="1"/>
    </row>
    <row r="18">
      <c r="A18" s="1"/>
      <c r="B18" s="1" t="s">
        <v>445</v>
      </c>
      <c r="C18" s="3">
        <f>(C66-C107)</f>
        <v>146.10000000000002</v>
      </c>
      <c r="D18" s="3">
        <f>(D66-C66)</f>
        <v>-41</v>
      </c>
      <c r="E18" s="3">
        <f>(E66-D66)</f>
        <v>51.7</v>
      </c>
      <c r="F18" s="3">
        <f>E66</f>
        <v>82.9</v>
      </c>
      <c r="G18" s="3">
        <f>G66</f>
        <v>-66.4</v>
      </c>
      <c r="H18" s="25">
        <v>40</v>
      </c>
      <c r="I18" s="1"/>
      <c r="J18" s="1"/>
      <c r="K18" s="1"/>
    </row>
    <row r="19">
      <c r="A19" s="1"/>
      <c r="B19" s="1" t="s">
        <v>446</v>
      </c>
      <c r="C19" s="3">
        <f>(C67-C108)</f>
        <v>-27.499999999999996</v>
      </c>
      <c r="D19" s="3">
        <f>(D67-C67)</f>
        <v>49.199999999999996</v>
      </c>
      <c r="E19" s="3">
        <f>(E67-D67)</f>
        <v>-49.199999999999996</v>
      </c>
      <c r="F19" s="3">
        <f>E67</f>
        <v>-48.3</v>
      </c>
      <c r="G19" s="3">
        <f>G67</f>
        <v>-34.4</v>
      </c>
      <c r="H19" s="25">
        <v>-20</v>
      </c>
      <c r="I19" s="1"/>
      <c r="J19" s="1"/>
      <c r="K19" s="1"/>
    </row>
    <row r="20">
      <c r="A20" s="1"/>
      <c r="B20" s="1" t="s">
        <v>447</v>
      </c>
      <c r="C20" s="3">
        <f>(C68-C109)</f>
        <v>-30.999999999999996</v>
      </c>
      <c r="D20" s="3">
        <f>(D68-C68)</f>
        <v>49.8</v>
      </c>
      <c r="E20" s="3">
        <f>(E68-D68)</f>
        <v>10.4</v>
      </c>
      <c r="F20" s="3">
        <f>E68</f>
        <v>3.4</v>
      </c>
      <c r="G20" s="3">
        <f>G68</f>
        <v>-23.8</v>
      </c>
      <c r="H20" s="25">
        <v>0</v>
      </c>
      <c r="I20" s="1"/>
      <c r="J20" s="1"/>
      <c r="K20" s="1"/>
    </row>
    <row r="21">
      <c r="A21" s="1"/>
      <c r="B21" s="1" t="s">
        <v>448</v>
      </c>
      <c r="C21" s="3">
        <f>(C69-C110)</f>
        <v>16.299999999999997</v>
      </c>
      <c r="D21" s="3">
        <f>(D69-C69)</f>
        <v>-60.9</v>
      </c>
      <c r="E21" s="3">
        <f>(E69-D69)</f>
        <v>4.2</v>
      </c>
      <c r="F21" s="3">
        <f>E69</f>
        <v>-3.7</v>
      </c>
      <c r="G21" s="3">
        <f>G69</f>
        <v>48</v>
      </c>
      <c r="H21" s="25">
        <v>10</v>
      </c>
      <c r="I21" s="1"/>
      <c r="J21" s="1"/>
      <c r="K21" s="1"/>
    </row>
    <row r="22" ht="54">
      <c r="A22" s="1"/>
      <c r="B22" s="1" t="s">
        <v>449</v>
      </c>
      <c r="C22" s="3">
        <f>(C70-C111)+(C71-C112)</f>
        <v>-15.100000000000001</v>
      </c>
      <c r="D22" s="3">
        <f>(D70-C70)+(D71-C71)</f>
        <v>-91.69999999999999</v>
      </c>
      <c r="E22" s="3">
        <f>(E70-D70)+(E71-D71)</f>
        <v>-20.400000000000006</v>
      </c>
      <c r="F22" s="3">
        <f>E70+E71</f>
        <v>-219.5</v>
      </c>
      <c r="G22" s="3">
        <f>G70+G71</f>
        <v>-7.2</v>
      </c>
      <c r="H22" s="25">
        <v>-20</v>
      </c>
      <c r="I22" s="1"/>
      <c r="J22" s="55" t="s">
        <v>450</v>
      </c>
      <c r="K22" s="1"/>
    </row>
    <row r="23" ht="41.25">
      <c r="A23" s="1"/>
      <c r="B23" s="55" t="s">
        <v>451</v>
      </c>
      <c r="C23" s="3">
        <f>(C72-C113)+(C58-C99)+(C62-C103)+(C65-C106)</f>
        <v>-122.39999999999999</v>
      </c>
      <c r="D23" s="3">
        <f>(D72-C72)+(D58-C58)+(D62-C62)+(D65-C65)</f>
        <v>8.2</v>
      </c>
      <c r="E23" s="3">
        <f>(E72-D72)+(E58-D58)+(E62-D62)+(E65-D65)</f>
        <v>-79.3</v>
      </c>
      <c r="F23" s="3">
        <f>E72</f>
        <v>-172.6</v>
      </c>
      <c r="G23" s="3">
        <f>G72+G58+G62+G65</f>
        <v>-12.3</v>
      </c>
      <c r="H23" s="25">
        <v>-33</v>
      </c>
      <c r="I23" s="1"/>
      <c r="J23" s="55" t="s">
        <v>452</v>
      </c>
      <c r="K23" s="1"/>
    </row>
    <row r="24">
      <c r="A24" s="1"/>
      <c r="B24" s="12" t="s">
        <v>453</v>
      </c>
      <c r="C24" s="22">
        <f>SUM(C11:C23)</f>
        <v>852.1000000000001</v>
      </c>
      <c r="D24" s="22">
        <f>SUM(D11:D23)</f>
        <v>616.8999999999999</v>
      </c>
      <c r="E24" s="22">
        <f>SUM(E11:E23)</f>
        <v>562.8000000000001</v>
      </c>
      <c r="F24" s="22">
        <f>SUM(F11:F23)</f>
        <v>2669</v>
      </c>
      <c r="G24" s="22">
        <f>SUM(G11:G23)</f>
        <v>661.8</v>
      </c>
      <c r="H24" s="42">
        <f>SUM(H11:H23)</f>
        <v>744.7068581900072</v>
      </c>
      <c r="I24" s="1"/>
      <c r="J24" s="1"/>
      <c r="K24" s="1"/>
    </row>
    <row r="25">
      <c r="A25" s="1"/>
      <c r="B25" s="1" t="s">
        <v>454</v>
      </c>
      <c r="C25" s="3">
        <f>ROUND(C24-((C73-C114)),1)</f>
        <v>0</v>
      </c>
      <c r="D25" s="3">
        <f>ROUND(D24-((D73-C73)),1)</f>
        <v>0</v>
      </c>
      <c r="E25" s="3">
        <f>ROUND(E24-((E73-D73)),1)</f>
        <v>0</v>
      </c>
      <c r="F25" s="3">
        <f>ROUND(F24-(E73),1)</f>
        <v>0</v>
      </c>
      <c r="G25" s="3">
        <f>ROUND(G24-(G73),1)</f>
        <v>0</v>
      </c>
      <c r="H25" s="25" t="s">
        <v>26</v>
      </c>
      <c r="I25" s="1"/>
      <c r="J25" s="1"/>
      <c r="K25" s="1"/>
    </row>
    <row r="26">
      <c r="A26" s="1"/>
      <c r="B26" s="1"/>
      <c r="C26" s="1"/>
      <c r="D26" s="1"/>
      <c r="E26" s="1"/>
      <c r="F26" s="1"/>
      <c r="G26" s="1"/>
      <c r="H26" s="23"/>
      <c r="I26" s="1"/>
      <c r="J26" s="1"/>
      <c r="K26" s="1"/>
    </row>
    <row r="27">
      <c r="A27" s="1"/>
      <c r="B27" s="27" t="s">
        <v>455</v>
      </c>
      <c r="C27" s="1"/>
      <c r="D27" s="1"/>
      <c r="E27" s="1"/>
      <c r="F27" s="1"/>
      <c r="G27" s="1"/>
      <c r="H27" s="23"/>
      <c r="I27" s="1"/>
      <c r="J27" s="1"/>
      <c r="K27" s="1"/>
    </row>
    <row r="28">
      <c r="A28" s="1"/>
      <c r="B28" s="1" t="s">
        <v>456</v>
      </c>
      <c r="C28" s="3">
        <f>(C74-C115)</f>
        <v>-217.3</v>
      </c>
      <c r="D28" s="3">
        <f>(D74-C74)</f>
        <v>-246</v>
      </c>
      <c r="E28" s="3">
        <f>(E74-D74)</f>
        <v>-218.89999999999998</v>
      </c>
      <c r="F28" s="3">
        <f>E74</f>
        <v>-875</v>
      </c>
      <c r="G28" s="3">
        <f>G74</f>
        <v>-177.2</v>
      </c>
      <c r="H28" s="25">
        <v>-210</v>
      </c>
      <c r="I28" s="1"/>
      <c r="J28" s="1"/>
      <c r="K28" s="1"/>
    </row>
    <row r="29">
      <c r="A29" s="1"/>
      <c r="B29" s="1" t="s">
        <v>457</v>
      </c>
      <c r="C29" s="3">
        <f>(C75-C116)</f>
        <v>0</v>
      </c>
      <c r="D29" s="3">
        <f>(D75-C75)</f>
        <v>0</v>
      </c>
      <c r="E29" s="3">
        <f>(E75-D75)</f>
        <v>0</v>
      </c>
      <c r="F29" s="3">
        <f>E75</f>
        <v>0</v>
      </c>
      <c r="G29" s="3">
        <f>G75</f>
        <v>-15.3</v>
      </c>
      <c r="H29" s="25">
        <v>0</v>
      </c>
      <c r="I29" s="1"/>
      <c r="J29" s="1"/>
      <c r="K29" s="1"/>
    </row>
    <row r="30">
      <c r="A30" s="1"/>
      <c r="B30" s="1" t="s">
        <v>458</v>
      </c>
      <c r="C30" s="3">
        <f>(C78-C119)</f>
        <v>851.1</v>
      </c>
      <c r="D30" s="3">
        <f>(D78-C78)</f>
        <v>-0.5</v>
      </c>
      <c r="E30" s="3">
        <f>(E78-D78)</f>
        <v>-0.10000000000002274</v>
      </c>
      <c r="F30" s="3">
        <f>E78</f>
        <v>850.5</v>
      </c>
      <c r="G30" s="3">
        <f>G78</f>
        <v>0</v>
      </c>
      <c r="H30" s="25">
        <v>0</v>
      </c>
      <c r="I30" s="1"/>
      <c r="J30" s="1"/>
      <c r="K30" s="1"/>
    </row>
    <row r="31">
      <c r="A31" s="1"/>
      <c r="B31" s="1" t="s">
        <v>459</v>
      </c>
      <c r="C31" s="3">
        <f>(C76-C117)+(C77-C118)+(C79-C120)</f>
        <v>27.1</v>
      </c>
      <c r="D31" s="3">
        <f>(D76-C76)+(D77-C77)+(D79-C79)</f>
        <v>11.8</v>
      </c>
      <c r="E31" s="3">
        <f>(E76-D76)+(E77-D77)+(E79-D79)</f>
        <v>5.399999999999999</v>
      </c>
      <c r="F31" s="3">
        <f>E76+E77+E79</f>
        <v>41</v>
      </c>
      <c r="G31" s="3">
        <f>G76+G77+G79</f>
        <v>-0.7</v>
      </c>
      <c r="H31" s="25">
        <v>0</v>
      </c>
      <c r="I31" s="1"/>
      <c r="J31" s="1"/>
      <c r="K31" s="1"/>
    </row>
    <row r="32">
      <c r="A32" s="1"/>
      <c r="B32" s="12" t="s">
        <v>460</v>
      </c>
      <c r="C32" s="22">
        <f>SUM(C28:C31)</f>
        <v>660.9000000000001</v>
      </c>
      <c r="D32" s="22">
        <f>SUM(D28:D31)</f>
        <v>-234.7</v>
      </c>
      <c r="E32" s="22">
        <f>SUM(E28:E31)</f>
        <v>-213.6</v>
      </c>
      <c r="F32" s="22">
        <f>SUM(F28:F31)</f>
        <v>16.5</v>
      </c>
      <c r="G32" s="22">
        <f>SUM(G28:G31)</f>
        <v>-193.2</v>
      </c>
      <c r="H32" s="42">
        <f>SUM(H28:H31)</f>
        <v>-210</v>
      </c>
      <c r="I32" s="1"/>
      <c r="J32" s="1"/>
      <c r="K32" s="1"/>
    </row>
    <row r="33">
      <c r="A33" s="1"/>
      <c r="B33" s="1" t="s">
        <v>461</v>
      </c>
      <c r="C33" s="3">
        <f>ROUND(C32-((C80-C121)),1)</f>
        <v>0</v>
      </c>
      <c r="D33" s="3">
        <f>ROUND(D32-((D80-C80)),1)</f>
        <v>0</v>
      </c>
      <c r="E33" s="3">
        <f>ROUND(E32-((E80-D80)),1)</f>
        <v>0</v>
      </c>
      <c r="F33" s="3">
        <f>ROUND(F32-(E80),1)</f>
        <v>0</v>
      </c>
      <c r="G33" s="3">
        <f>ROUND(G32-(G80),1)</f>
        <v>0</v>
      </c>
      <c r="H33" s="25" t="s">
        <v>26</v>
      </c>
      <c r="I33" s="1"/>
      <c r="J33" s="1"/>
      <c r="K33" s="1"/>
    </row>
    <row r="34">
      <c r="A34" s="1"/>
      <c r="B34" s="1"/>
      <c r="C34" s="1"/>
      <c r="D34" s="1"/>
      <c r="E34" s="1"/>
      <c r="F34" s="1"/>
      <c r="G34" s="1"/>
      <c r="H34" s="23"/>
      <c r="I34" s="1"/>
      <c r="J34" s="1"/>
      <c r="K34" s="1"/>
    </row>
    <row r="35">
      <c r="A35" s="1"/>
      <c r="B35" s="27" t="s">
        <v>462</v>
      </c>
      <c r="C35" s="1"/>
      <c r="D35" s="1"/>
      <c r="E35" s="1"/>
      <c r="F35" s="1"/>
      <c r="G35" s="1"/>
      <c r="H35" s="23"/>
      <c r="I35" s="1"/>
      <c r="J35" s="1"/>
      <c r="K35" s="1"/>
    </row>
    <row r="36">
      <c r="A36" s="1"/>
      <c r="B36" s="1" t="s">
        <v>463</v>
      </c>
      <c r="C36" s="3">
        <f>(C81-C122)</f>
        <v>0</v>
      </c>
      <c r="D36" s="3">
        <f>(D81-C81)</f>
        <v>498.6</v>
      </c>
      <c r="E36" s="3">
        <f>(E81-D81)</f>
        <v>0</v>
      </c>
      <c r="F36" s="3">
        <f>E81</f>
        <v>997.7</v>
      </c>
      <c r="G36" s="3">
        <f>G81</f>
        <v>499.7</v>
      </c>
      <c r="H36" s="25">
        <v>0</v>
      </c>
      <c r="I36" s="1"/>
      <c r="J36" s="1"/>
      <c r="K36" s="1"/>
    </row>
    <row r="37">
      <c r="A37" s="1"/>
      <c r="B37" s="1" t="s">
        <v>464</v>
      </c>
      <c r="C37" s="3">
        <f>(C82-C123)</f>
        <v>-901.1</v>
      </c>
      <c r="D37" s="3">
        <f>(D82-C82)</f>
        <v>-501.19999999999993</v>
      </c>
      <c r="E37" s="3">
        <f>(E82-D82)</f>
        <v>-1.1000000000001364</v>
      </c>
      <c r="F37" s="3">
        <f>E82</f>
        <v>-1404.4</v>
      </c>
      <c r="G37" s="3">
        <f>G82</f>
        <v>-601.1</v>
      </c>
      <c r="H37" s="25">
        <v>0</v>
      </c>
      <c r="I37" s="1"/>
      <c r="J37" s="1"/>
      <c r="K37" s="1"/>
    </row>
    <row r="38">
      <c r="A38" s="1"/>
      <c r="B38" s="1" t="s">
        <v>465</v>
      </c>
      <c r="C38" s="3">
        <f>(C83-C124)</f>
        <v>-125.00000000000006</v>
      </c>
      <c r="D38" s="3">
        <f>(D83-C83)</f>
        <v>122.20000000000005</v>
      </c>
      <c r="E38" s="3">
        <f>(E83-D83)</f>
        <v>-102.79999999999995</v>
      </c>
      <c r="F38" s="3">
        <f>E83</f>
        <v>-534.8</v>
      </c>
      <c r="G38" s="3">
        <f>G83</f>
        <v>64.4</v>
      </c>
      <c r="H38" s="25">
        <f>H51-H47-(H24+H32+H36+H37+H39+H40+H41+H42+H45)</f>
        <v>-157.45853733383788</v>
      </c>
      <c r="I38" s="1"/>
      <c r="J38" s="1" t="s">
        <v>466</v>
      </c>
      <c r="K38" s="1"/>
    </row>
    <row r="39">
      <c r="A39" s="1"/>
      <c r="B39" s="1" t="s">
        <v>467</v>
      </c>
      <c r="C39" s="3">
        <f>(C84-C125)</f>
        <v>-178.90000000000003</v>
      </c>
      <c r="D39" s="3">
        <f>(D84-C84)</f>
        <v>-177.69999999999993</v>
      </c>
      <c r="E39" s="3">
        <f>(E84-D84)</f>
        <v>-176.9000000000001</v>
      </c>
      <c r="F39" s="3">
        <f>E84</f>
        <v>-715.7</v>
      </c>
      <c r="G39" s="3">
        <f>G84</f>
        <v>-178.7</v>
      </c>
      <c r="H39" s="25">
        <f>-'Share Count'!H30*'Share Count'!H12</f>
        <v>-175.84832085616924</v>
      </c>
      <c r="I39" s="1"/>
      <c r="J39" s="1"/>
      <c r="K39" s="1"/>
    </row>
    <row r="40">
      <c r="A40" s="1"/>
      <c r="B40" s="1" t="s">
        <v>468</v>
      </c>
      <c r="C40" s="3">
        <f>(C85-C126)</f>
        <v>-297.9</v>
      </c>
      <c r="D40" s="3">
        <f>(D85-C85)</f>
        <v>-220.10000000000002</v>
      </c>
      <c r="E40" s="3">
        <f>(E85-D85)</f>
        <v>-100</v>
      </c>
      <c r="F40" s="3">
        <f>E85</f>
        <v>-924.1</v>
      </c>
      <c r="G40" s="3">
        <f>G85</f>
        <v>-223.8</v>
      </c>
      <c r="H40" s="25">
        <f>-'Share Count'!H26</f>
        <v>-175.00000000000006</v>
      </c>
      <c r="I40" s="1"/>
      <c r="J40" s="1"/>
      <c r="K40" s="1"/>
    </row>
    <row r="41">
      <c r="A41" s="1"/>
      <c r="B41" s="1" t="s">
        <v>469</v>
      </c>
      <c r="C41" s="3">
        <f>(C86-C127)+(C87-C128)+(C88-C129)+(C90-C131)</f>
        <v>-2.5999999999999996</v>
      </c>
      <c r="D41" s="3">
        <f>(D86-C86)+(D87-C87)+(D88-C88)+(D90-C90)</f>
        <v>-3.4000000000000004</v>
      </c>
      <c r="E41" s="3">
        <f>(E86-D86)+(E87-D87)+(E88-D88)+(E90-D90)</f>
        <v>4.5</v>
      </c>
      <c r="F41" s="3">
        <f>E86+E87+E88+E90</f>
        <v>-12.2</v>
      </c>
      <c r="G41" s="3">
        <f>G86+G87+G88+G90</f>
        <v>-9.5</v>
      </c>
      <c r="H41" s="25">
        <v>-3</v>
      </c>
      <c r="I41" s="1"/>
      <c r="J41" s="1"/>
      <c r="K41" s="1"/>
    </row>
    <row r="42">
      <c r="A42" s="1"/>
      <c r="B42" s="1" t="s">
        <v>470</v>
      </c>
      <c r="C42" s="3">
        <f>(C89-C130)</f>
        <v>-10</v>
      </c>
      <c r="D42" s="3">
        <f>(D89-C89)</f>
        <v>-20</v>
      </c>
      <c r="E42" s="3">
        <f>(E89-D89)</f>
        <v>-25</v>
      </c>
      <c r="F42" s="3">
        <f>E89</f>
        <v>-62.5</v>
      </c>
      <c r="G42" s="3">
        <f>G89</f>
        <v>-25</v>
      </c>
      <c r="H42" s="25">
        <v>-20</v>
      </c>
      <c r="I42" s="1"/>
      <c r="J42" s="1"/>
      <c r="K42" s="1"/>
    </row>
    <row r="43">
      <c r="A43" s="1"/>
      <c r="B43" s="12" t="s">
        <v>471</v>
      </c>
      <c r="C43" s="22">
        <f>SUM(C36:C42)</f>
        <v>-1515.5</v>
      </c>
      <c r="D43" s="22">
        <f>SUM(D36:D42)</f>
        <v>-301.5999999999998</v>
      </c>
      <c r="E43" s="22">
        <f>SUM(E36:E42)</f>
        <v>-401.3000000000002</v>
      </c>
      <c r="F43" s="22">
        <f>SUM(F36:F42)</f>
        <v>-2656</v>
      </c>
      <c r="G43" s="22">
        <f>SUM(G36:G42)</f>
        <v>-474</v>
      </c>
      <c r="H43" s="42">
        <f>SUM(H36:H42)</f>
        <v>-531.3068581900072</v>
      </c>
      <c r="I43" s="1"/>
      <c r="J43" s="1"/>
      <c r="K43" s="1"/>
    </row>
    <row r="44">
      <c r="A44" s="1"/>
      <c r="B44" s="1" t="s">
        <v>472</v>
      </c>
      <c r="C44" s="3">
        <f>ROUND(C43-((C91-C132)),1)</f>
        <v>0</v>
      </c>
      <c r="D44" s="3">
        <f>ROUND(D43-((D91-C91)),1)</f>
        <v>0</v>
      </c>
      <c r="E44" s="3">
        <f>ROUND(E43-((E91-D91)),1)</f>
        <v>0</v>
      </c>
      <c r="F44" s="3">
        <f>ROUND(F43-(E91),1)</f>
        <v>0</v>
      </c>
      <c r="G44" s="3">
        <f>ROUND(G43-(G91),1)</f>
        <v>0</v>
      </c>
      <c r="H44" s="25" t="s">
        <v>26</v>
      </c>
      <c r="I44" s="1"/>
      <c r="J44" s="1"/>
      <c r="K44" s="1"/>
    </row>
    <row r="45">
      <c r="A45" s="1"/>
      <c r="B45" s="1" t="s">
        <v>473</v>
      </c>
      <c r="C45" s="3">
        <f>(C92-C133)</f>
        <v>0.6000000000000001</v>
      </c>
      <c r="D45" s="3">
        <f>(D92-C92)</f>
        <v>-0.19999999999999973</v>
      </c>
      <c r="E45" s="3">
        <f>(E92-D92)</f>
        <v>2.0999999999999996</v>
      </c>
      <c r="F45" s="3">
        <f>E92</f>
        <v>4.8</v>
      </c>
      <c r="G45" s="3">
        <f>G92</f>
        <v>-0.4</v>
      </c>
      <c r="H45" s="25">
        <v>0</v>
      </c>
      <c r="I45" s="1"/>
      <c r="J45" s="1"/>
      <c r="K45" s="1"/>
    </row>
    <row r="46">
      <c r="A46" s="1"/>
      <c r="B46" s="12" t="s">
        <v>474</v>
      </c>
      <c r="C46" s="22">
        <f>C24+C32+C43+C45</f>
        <v>-1.8999999999997725</v>
      </c>
      <c r="D46" s="22">
        <f>D24+D32+D43+D45</f>
        <v>80.40000000000008</v>
      </c>
      <c r="E46" s="22">
        <f>E24+E32+E43+E45</f>
        <v>-50.000000000000135</v>
      </c>
      <c r="F46" s="22">
        <f>F24+F32+F43+F45</f>
        <v>34.3</v>
      </c>
      <c r="G46" s="22">
        <f>G24+G32+G43+G45</f>
        <v>-5.8000000000000345</v>
      </c>
      <c r="H46" s="42">
        <f>H24+H32+H43+H45</f>
        <v>3.3999999999999773</v>
      </c>
      <c r="I46" s="1"/>
      <c r="J46" s="1"/>
      <c r="K46" s="1"/>
    </row>
    <row r="47">
      <c r="A47" s="1"/>
      <c r="B47" s="1" t="s">
        <v>475</v>
      </c>
      <c r="C47" s="3">
        <f>C136</f>
        <v>73.9</v>
      </c>
      <c r="D47" s="3">
        <f>'Balance Sheet'!C11</f>
        <v>72</v>
      </c>
      <c r="E47" s="3">
        <f>'Balance Sheet'!D11</f>
        <v>152.4</v>
      </c>
      <c r="F47" s="3">
        <f>E94</f>
        <v>68.1</v>
      </c>
      <c r="G47" s="3">
        <f>'Balance Sheet'!E11</f>
        <v>102.4</v>
      </c>
      <c r="H47" s="25">
        <f>'Balance Sheet'!G11</f>
        <v>96.6</v>
      </c>
      <c r="I47" s="1"/>
      <c r="J47" s="1"/>
      <c r="K47" s="1"/>
    </row>
    <row r="48">
      <c r="A48" s="1"/>
      <c r="B48" s="12" t="s">
        <v>476</v>
      </c>
      <c r="C48" s="22">
        <f>C47+C46</f>
        <v>72.00000000000023</v>
      </c>
      <c r="D48" s="22">
        <f>D47+D46</f>
        <v>152.4000000000001</v>
      </c>
      <c r="E48" s="22">
        <f>E47+E46</f>
        <v>102.39999999999986</v>
      </c>
      <c r="F48" s="22">
        <f>F47+F46</f>
        <v>102.39999999999999</v>
      </c>
      <c r="G48" s="22">
        <f>G47+G46</f>
        <v>96.59999999999997</v>
      </c>
      <c r="H48" s="42">
        <f>H47+H46</f>
        <v>99.99999999999997</v>
      </c>
      <c r="I48" s="1"/>
      <c r="J48" s="1"/>
      <c r="K48" s="1"/>
    </row>
    <row r="49">
      <c r="A49" s="1"/>
      <c r="B49" s="1" t="s">
        <v>477</v>
      </c>
      <c r="C49" s="3">
        <f>'Balance Sheet'!C11</f>
        <v>72</v>
      </c>
      <c r="D49" s="3">
        <f>'Balance Sheet'!D11</f>
        <v>152.4</v>
      </c>
      <c r="E49" s="3">
        <f>'Balance Sheet'!E11</f>
        <v>102.4</v>
      </c>
      <c r="F49" s="3">
        <f>'Balance Sheet'!F11</f>
        <v>102.4</v>
      </c>
      <c r="G49" s="3">
        <f>'Balance Sheet'!G11</f>
        <v>96.6</v>
      </c>
      <c r="H49" s="25">
        <f>'Balance Sheet'!H11</f>
        <v>99.99999999999997</v>
      </c>
      <c r="I49" s="1"/>
      <c r="J49" s="1"/>
      <c r="K49" s="1"/>
    </row>
    <row r="50">
      <c r="A50" s="1"/>
      <c r="B50" s="1" t="s">
        <v>478</v>
      </c>
      <c r="C50" s="3">
        <f>ROUND(C48-C49,1)</f>
        <v>0</v>
      </c>
      <c r="D50" s="3">
        <f>ROUND(D48-D49,1)</f>
        <v>0</v>
      </c>
      <c r="E50" s="3">
        <f>ROUND(E48-E49,1)</f>
        <v>0</v>
      </c>
      <c r="F50" s="3">
        <f>ROUND(F48-F49,1)</f>
        <v>0</v>
      </c>
      <c r="G50" s="3">
        <f>ROUND(G48-G49,1)</f>
        <v>0</v>
      </c>
      <c r="H50" s="25">
        <f>ROUND(H48-H49,1)</f>
        <v>0</v>
      </c>
      <c r="I50" s="1"/>
      <c r="J50" s="1"/>
      <c r="K50" s="1"/>
    </row>
    <row r="51">
      <c r="A51" s="1"/>
      <c r="B51" s="1" t="s">
        <v>479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25">
        <v>100</v>
      </c>
      <c r="I51" s="1"/>
      <c r="J51" s="1"/>
      <c r="K51" s="1"/>
    </row>
    <row r="52">
      <c r="A52" s="1"/>
      <c r="B52" s="12" t="s">
        <v>480</v>
      </c>
      <c r="C52" s="22">
        <f>C24+C28</f>
        <v>634.8000000000002</v>
      </c>
      <c r="D52" s="22">
        <f>D24+D28</f>
        <v>370.89999999999986</v>
      </c>
      <c r="E52" s="22">
        <f>E24+E28</f>
        <v>343.9000000000001</v>
      </c>
      <c r="F52" s="22">
        <f>F24+F28</f>
        <v>1794</v>
      </c>
      <c r="G52" s="22">
        <f>G24+G28</f>
        <v>484.59999999999997</v>
      </c>
      <c r="H52" s="42">
        <f>H24+H28</f>
        <v>534.7068581900072</v>
      </c>
      <c r="I52" s="1"/>
      <c r="J52" s="1"/>
      <c r="K52" s="1"/>
    </row>
    <row r="53">
      <c r="A53" s="1"/>
      <c r="B53" s="1" t="s">
        <v>170</v>
      </c>
      <c r="C53" s="3" t="s">
        <v>26</v>
      </c>
      <c r="D53" s="3">
        <f>IF(AND(ISNUMBER(D52),ISNUMBER(C52)),D52-C52,"n/a")</f>
        <v>-263.9000000000003</v>
      </c>
      <c r="E53" s="3">
        <f>IF(AND(ISNUMBER(E52),ISNUMBER(D52)),E52-D52,"n/a")</f>
        <v>-26.999999999999773</v>
      </c>
      <c r="F53" s="3" t="s">
        <v>26</v>
      </c>
      <c r="G53" s="3">
        <f>IF(AND(ISNUMBER(G52),ISNUMBER(E52)),G52-E52,"n/a")</f>
        <v>140.69999999999987</v>
      </c>
      <c r="H53" s="25">
        <f>IF(AND(ISNUMBER(H52),ISNUMBER(G52)),H52-G52,"n/a")</f>
        <v>50.106858190007245</v>
      </c>
      <c r="I53" s="1"/>
      <c r="J53" s="1"/>
      <c r="K53" s="1"/>
    </row>
    <row r="54">
      <c r="A54" s="1"/>
      <c r="B54" s="1" t="s">
        <v>481</v>
      </c>
      <c r="C54" s="3">
        <f>ROUND(C11-'Income Statement'!C76,1)</f>
        <v>0</v>
      </c>
      <c r="D54" s="3">
        <f>ROUND(D11-'Income Statement'!D76,1)</f>
        <v>0</v>
      </c>
      <c r="E54" s="3">
        <f>ROUND(E11-'Income Statement'!E76,1)</f>
        <v>0</v>
      </c>
      <c r="F54" s="3">
        <f>ROUND(F11-'Income Statement'!F76,1)</f>
        <v>0</v>
      </c>
      <c r="G54" s="3">
        <f>ROUND(G11-'Income Statement'!G76,1)</f>
        <v>0</v>
      </c>
      <c r="H54" s="25">
        <f>ROUND(H11-'Income Statement'!H76,1)</f>
        <v>0</v>
      </c>
      <c r="I54" s="1"/>
      <c r="J54" s="1"/>
      <c r="K54" s="1"/>
    </row>
    <row r="55">
      <c r="A55" s="1"/>
      <c r="B55" s="1"/>
      <c r="C55" s="1"/>
      <c r="D55" s="1"/>
      <c r="E55" s="1"/>
      <c r="F55" s="1"/>
      <c r="G55" s="1"/>
      <c r="H55" s="23"/>
      <c r="I55" s="1"/>
      <c r="J55" s="1"/>
      <c r="K55" s="1"/>
    </row>
    <row r="56">
      <c r="A56" s="1"/>
      <c r="B56" s="27" t="s">
        <v>482</v>
      </c>
      <c r="C56" s="1"/>
      <c r="D56" s="1"/>
      <c r="E56" s="1"/>
      <c r="F56" s="1"/>
      <c r="G56" s="1"/>
      <c r="H56" s="23"/>
      <c r="I56" s="1"/>
      <c r="J56" s="1"/>
      <c r="K56" s="1"/>
    </row>
    <row r="57">
      <c r="A57" s="1"/>
      <c r="B57" s="1" t="s">
        <v>307</v>
      </c>
      <c r="C57" s="3">
        <v>1009.9</v>
      </c>
      <c r="D57" s="3">
        <v>1532.1</v>
      </c>
      <c r="E57" s="3">
        <v>1756.8</v>
      </c>
      <c r="F57" s="3"/>
      <c r="G57" s="3">
        <v>671.9</v>
      </c>
      <c r="H57" s="25"/>
      <c r="I57" s="1"/>
      <c r="J57" s="1" t="s">
        <v>483</v>
      </c>
      <c r="K57" s="1"/>
    </row>
    <row r="58">
      <c r="A58" s="1"/>
      <c r="B58" s="1" t="s">
        <v>484</v>
      </c>
      <c r="C58" s="3"/>
      <c r="D58" s="3"/>
      <c r="E58" s="3">
        <v>5</v>
      </c>
      <c r="F58" s="3"/>
      <c r="G58" s="3"/>
      <c r="H58" s="25"/>
      <c r="I58" s="1"/>
      <c r="J58" s="1" t="s">
        <v>483</v>
      </c>
      <c r="K58" s="1"/>
    </row>
    <row r="59">
      <c r="A59" s="1"/>
      <c r="B59" s="1" t="s">
        <v>441</v>
      </c>
      <c r="C59" s="3">
        <v>277.6</v>
      </c>
      <c r="D59" s="3">
        <v>311.7</v>
      </c>
      <c r="E59" s="3">
        <v>510.5</v>
      </c>
      <c r="F59" s="3"/>
      <c r="G59" s="3">
        <v>-78.4</v>
      </c>
      <c r="H59" s="25"/>
      <c r="I59" s="1"/>
      <c r="J59" s="1" t="s">
        <v>483</v>
      </c>
      <c r="K59" s="1"/>
    </row>
    <row r="60">
      <c r="A60" s="1"/>
      <c r="B60" s="1" t="s">
        <v>485</v>
      </c>
      <c r="C60" s="3">
        <v>207.9</v>
      </c>
      <c r="D60" s="3">
        <v>306.9</v>
      </c>
      <c r="E60" s="3">
        <v>418.7</v>
      </c>
      <c r="F60" s="3"/>
      <c r="G60" s="3">
        <v>97.6</v>
      </c>
      <c r="H60" s="25"/>
      <c r="I60" s="1"/>
      <c r="J60" s="1" t="s">
        <v>483</v>
      </c>
      <c r="K60" s="1"/>
    </row>
    <row r="61">
      <c r="A61" s="1"/>
      <c r="B61" s="1" t="s">
        <v>440</v>
      </c>
      <c r="C61" s="3">
        <v>32.1</v>
      </c>
      <c r="D61" s="3">
        <v>48</v>
      </c>
      <c r="E61" s="3">
        <v>67.7</v>
      </c>
      <c r="F61" s="3"/>
      <c r="G61" s="3">
        <v>15</v>
      </c>
      <c r="H61" s="25"/>
      <c r="I61" s="1"/>
      <c r="J61" s="1" t="s">
        <v>483</v>
      </c>
      <c r="K61" s="1"/>
    </row>
    <row r="62">
      <c r="A62" s="1"/>
      <c r="B62" s="1" t="s">
        <v>486</v>
      </c>
      <c r="C62" s="3"/>
      <c r="D62" s="3">
        <v>-21.2</v>
      </c>
      <c r="E62" s="3">
        <v>-1</v>
      </c>
      <c r="F62" s="3"/>
      <c r="G62" s="3"/>
      <c r="H62" s="25"/>
      <c r="I62" s="1"/>
      <c r="J62" s="1" t="s">
        <v>483</v>
      </c>
      <c r="K62" s="1"/>
    </row>
    <row r="63">
      <c r="A63" s="1"/>
      <c r="B63" s="1" t="s">
        <v>442</v>
      </c>
      <c r="C63" s="3">
        <v>62.6</v>
      </c>
      <c r="D63" s="3">
        <v>94.7</v>
      </c>
      <c r="E63" s="3">
        <v>127.4</v>
      </c>
      <c r="F63" s="3"/>
      <c r="G63" s="3">
        <v>33.5</v>
      </c>
      <c r="H63" s="25"/>
      <c r="I63" s="1"/>
      <c r="J63" s="1" t="s">
        <v>483</v>
      </c>
      <c r="K63" s="1"/>
    </row>
    <row r="64">
      <c r="A64" s="1"/>
      <c r="B64" s="1" t="s">
        <v>289</v>
      </c>
      <c r="C64" s="3">
        <v>52.1</v>
      </c>
      <c r="D64" s="3">
        <v>52.1</v>
      </c>
      <c r="E64" s="3">
        <v>109.8</v>
      </c>
      <c r="F64" s="3"/>
      <c r="G64" s="3">
        <v>18.3</v>
      </c>
      <c r="H64" s="25"/>
      <c r="I64" s="1"/>
      <c r="J64" s="1" t="s">
        <v>483</v>
      </c>
      <c r="K64" s="1"/>
    </row>
    <row r="65">
      <c r="A65" s="1"/>
      <c r="B65" s="1" t="s">
        <v>487</v>
      </c>
      <c r="C65" s="3"/>
      <c r="D65" s="3">
        <v>31.9</v>
      </c>
      <c r="E65" s="3">
        <v>31.9</v>
      </c>
      <c r="F65" s="3"/>
      <c r="G65" s="3"/>
      <c r="H65" s="25"/>
      <c r="I65" s="1"/>
      <c r="J65" s="1" t="s">
        <v>483</v>
      </c>
      <c r="K65" s="1"/>
    </row>
    <row r="66">
      <c r="A66" s="1"/>
      <c r="B66" s="1" t="s">
        <v>402</v>
      </c>
      <c r="C66" s="3">
        <v>72.2</v>
      </c>
      <c r="D66" s="3">
        <v>31.2</v>
      </c>
      <c r="E66" s="3">
        <v>82.9</v>
      </c>
      <c r="F66" s="3"/>
      <c r="G66" s="3">
        <v>-66.4</v>
      </c>
      <c r="H66" s="25"/>
      <c r="I66" s="1"/>
      <c r="J66" s="1" t="s">
        <v>483</v>
      </c>
      <c r="K66" s="1"/>
    </row>
    <row r="67">
      <c r="A67" s="1"/>
      <c r="B67" s="1" t="s">
        <v>403</v>
      </c>
      <c r="C67" s="3">
        <v>-48.3</v>
      </c>
      <c r="D67" s="3">
        <v>0.9</v>
      </c>
      <c r="E67" s="3">
        <v>-48.3</v>
      </c>
      <c r="F67" s="3"/>
      <c r="G67" s="3">
        <v>-34.4</v>
      </c>
      <c r="H67" s="25"/>
      <c r="I67" s="1"/>
      <c r="J67" s="1" t="s">
        <v>483</v>
      </c>
      <c r="K67" s="1"/>
    </row>
    <row r="68">
      <c r="A68" s="1"/>
      <c r="B68" s="1" t="s">
        <v>488</v>
      </c>
      <c r="C68" s="3">
        <v>-56.8</v>
      </c>
      <c r="D68" s="3">
        <v>-7</v>
      </c>
      <c r="E68" s="3">
        <v>3.4</v>
      </c>
      <c r="F68" s="3"/>
      <c r="G68" s="3">
        <v>-23.8</v>
      </c>
      <c r="H68" s="25"/>
      <c r="I68" s="1"/>
      <c r="J68" s="1" t="s">
        <v>483</v>
      </c>
      <c r="K68" s="1"/>
    </row>
    <row r="69">
      <c r="A69" s="1"/>
      <c r="B69" s="1" t="s">
        <v>417</v>
      </c>
      <c r="C69" s="3">
        <v>53</v>
      </c>
      <c r="D69" s="3">
        <v>-7.9</v>
      </c>
      <c r="E69" s="3">
        <v>-3.7</v>
      </c>
      <c r="F69" s="3"/>
      <c r="G69" s="3">
        <v>48</v>
      </c>
      <c r="H69" s="25"/>
      <c r="I69" s="1"/>
      <c r="J69" s="1" t="s">
        <v>483</v>
      </c>
      <c r="K69" s="1"/>
    </row>
    <row r="70">
      <c r="A70" s="1"/>
      <c r="B70" s="1" t="s">
        <v>489</v>
      </c>
      <c r="C70" s="3">
        <v>-50.4</v>
      </c>
      <c r="D70" s="3">
        <v>-66.6</v>
      </c>
      <c r="E70" s="3">
        <v>-71.5</v>
      </c>
      <c r="F70" s="3"/>
      <c r="G70" s="3"/>
      <c r="H70" s="25"/>
      <c r="I70" s="1"/>
      <c r="J70" s="1" t="s">
        <v>483</v>
      </c>
      <c r="K70" s="1"/>
    </row>
    <row r="71">
      <c r="A71" s="1"/>
      <c r="B71" s="1" t="s">
        <v>418</v>
      </c>
      <c r="C71" s="3">
        <v>-57</v>
      </c>
      <c r="D71" s="3">
        <v>-132.5</v>
      </c>
      <c r="E71" s="3">
        <v>-148</v>
      </c>
      <c r="F71" s="3"/>
      <c r="G71" s="3">
        <v>-7.2</v>
      </c>
      <c r="H71" s="25"/>
      <c r="I71" s="1"/>
      <c r="J71" s="1" t="s">
        <v>483</v>
      </c>
      <c r="K71" s="1"/>
    </row>
    <row r="72">
      <c r="A72" s="1"/>
      <c r="B72" s="1" t="s">
        <v>490</v>
      </c>
      <c r="C72" s="3">
        <v>-65.6</v>
      </c>
      <c r="D72" s="3">
        <v>-68.1</v>
      </c>
      <c r="E72" s="3">
        <v>-172.6</v>
      </c>
      <c r="F72" s="3"/>
      <c r="G72" s="3">
        <v>-12.3</v>
      </c>
      <c r="H72" s="25"/>
      <c r="I72" s="1"/>
      <c r="J72" s="1" t="s">
        <v>483</v>
      </c>
      <c r="K72" s="1"/>
    </row>
    <row r="73">
      <c r="A73" s="1"/>
      <c r="B73" s="12" t="s">
        <v>453</v>
      </c>
      <c r="C73" s="22">
        <v>1489.3</v>
      </c>
      <c r="D73" s="22">
        <v>2106.2</v>
      </c>
      <c r="E73" s="22">
        <v>2669</v>
      </c>
      <c r="F73" s="22"/>
      <c r="G73" s="22">
        <v>661.8</v>
      </c>
      <c r="H73" s="42"/>
      <c r="I73" s="1"/>
      <c r="J73" s="1" t="s">
        <v>483</v>
      </c>
      <c r="K73" s="1"/>
    </row>
    <row r="74">
      <c r="A74" s="1"/>
      <c r="B74" s="1" t="s">
        <v>456</v>
      </c>
      <c r="C74" s="3">
        <v>-410.1</v>
      </c>
      <c r="D74" s="3">
        <v>-656.1</v>
      </c>
      <c r="E74" s="3">
        <v>-875</v>
      </c>
      <c r="F74" s="3"/>
      <c r="G74" s="3">
        <v>-177.2</v>
      </c>
      <c r="H74" s="25"/>
      <c r="I74" s="1"/>
      <c r="J74" s="1" t="s">
        <v>483</v>
      </c>
      <c r="K74" s="1"/>
    </row>
    <row r="75">
      <c r="A75" s="1"/>
      <c r="B75" s="1" t="s">
        <v>457</v>
      </c>
      <c r="C75" s="3"/>
      <c r="D75" s="3"/>
      <c r="E75" s="3"/>
      <c r="F75" s="3"/>
      <c r="G75" s="3">
        <v>-15.3</v>
      </c>
      <c r="H75" s="25"/>
      <c r="I75" s="1"/>
      <c r="J75" s="1" t="s">
        <v>483</v>
      </c>
      <c r="K75" s="1"/>
    </row>
    <row r="76">
      <c r="A76" s="1"/>
      <c r="B76" s="1" t="s">
        <v>491</v>
      </c>
      <c r="C76" s="3">
        <v>-7</v>
      </c>
      <c r="D76" s="3">
        <v>-7</v>
      </c>
      <c r="E76" s="3">
        <v>-18</v>
      </c>
      <c r="F76" s="3"/>
      <c r="G76" s="3"/>
      <c r="H76" s="25"/>
      <c r="I76" s="1"/>
      <c r="J76" s="1" t="s">
        <v>483</v>
      </c>
      <c r="K76" s="1"/>
    </row>
    <row r="77">
      <c r="A77" s="1"/>
      <c r="B77" s="1" t="s">
        <v>492</v>
      </c>
      <c r="C77" s="3">
        <v>30.8</v>
      </c>
      <c r="D77" s="3">
        <v>42.6</v>
      </c>
      <c r="E77" s="3">
        <v>59</v>
      </c>
      <c r="F77" s="3"/>
      <c r="G77" s="3"/>
      <c r="H77" s="25"/>
      <c r="I77" s="1"/>
      <c r="J77" s="1" t="s">
        <v>483</v>
      </c>
      <c r="K77" s="1"/>
    </row>
    <row r="78">
      <c r="A78" s="1"/>
      <c r="B78" s="1" t="s">
        <v>458</v>
      </c>
      <c r="C78" s="3">
        <v>851.1</v>
      </c>
      <c r="D78" s="3">
        <v>850.6</v>
      </c>
      <c r="E78" s="3">
        <v>850.5</v>
      </c>
      <c r="F78" s="3"/>
      <c r="G78" s="3"/>
      <c r="H78" s="25"/>
      <c r="I78" s="1"/>
      <c r="J78" s="1" t="s">
        <v>483</v>
      </c>
      <c r="K78" s="1"/>
    </row>
    <row r="79">
      <c r="A79" s="1"/>
      <c r="B79" s="1" t="s">
        <v>493</v>
      </c>
      <c r="C79" s="3"/>
      <c r="D79" s="3"/>
      <c r="E79" s="3"/>
      <c r="F79" s="3"/>
      <c r="G79" s="3">
        <v>-0.7</v>
      </c>
      <c r="H79" s="25"/>
      <c r="I79" s="1"/>
      <c r="J79" s="1" t="s">
        <v>483</v>
      </c>
      <c r="K79" s="1"/>
    </row>
    <row r="80">
      <c r="A80" s="1"/>
      <c r="B80" s="12" t="s">
        <v>460</v>
      </c>
      <c r="C80" s="22">
        <v>464.8</v>
      </c>
      <c r="D80" s="22">
        <v>230.1</v>
      </c>
      <c r="E80" s="22">
        <v>16.5</v>
      </c>
      <c r="F80" s="22"/>
      <c r="G80" s="22">
        <v>-193.2</v>
      </c>
      <c r="H80" s="42"/>
      <c r="I80" s="1"/>
      <c r="J80" s="1" t="s">
        <v>483</v>
      </c>
      <c r="K80" s="1"/>
    </row>
    <row r="81">
      <c r="A81" s="1"/>
      <c r="B81" s="1" t="s">
        <v>463</v>
      </c>
      <c r="C81" s="3">
        <v>499.1</v>
      </c>
      <c r="D81" s="3">
        <v>997.7</v>
      </c>
      <c r="E81" s="3">
        <v>997.7</v>
      </c>
      <c r="F81" s="3"/>
      <c r="G81" s="3">
        <v>499.7</v>
      </c>
      <c r="H81" s="25"/>
      <c r="I81" s="1"/>
      <c r="J81" s="1" t="s">
        <v>483</v>
      </c>
      <c r="K81" s="1"/>
    </row>
    <row r="82">
      <c r="A82" s="1"/>
      <c r="B82" s="1" t="s">
        <v>464</v>
      </c>
      <c r="C82" s="3">
        <v>-902.1</v>
      </c>
      <c r="D82" s="3">
        <v>-1403.3</v>
      </c>
      <c r="E82" s="3">
        <v>-1404.4</v>
      </c>
      <c r="F82" s="3"/>
      <c r="G82" s="3">
        <v>-601.1</v>
      </c>
      <c r="H82" s="25"/>
      <c r="I82" s="1"/>
      <c r="J82" s="1" t="s">
        <v>483</v>
      </c>
      <c r="K82" s="1"/>
    </row>
    <row r="83">
      <c r="A83" s="1"/>
      <c r="B83" s="1" t="s">
        <v>465</v>
      </c>
      <c r="C83" s="3">
        <v>-554.2</v>
      </c>
      <c r="D83" s="3">
        <v>-432</v>
      </c>
      <c r="E83" s="3">
        <v>-534.8</v>
      </c>
      <c r="F83" s="3"/>
      <c r="G83" s="3">
        <v>64.4</v>
      </c>
      <c r="H83" s="25"/>
      <c r="I83" s="1"/>
      <c r="J83" s="1" t="s">
        <v>483</v>
      </c>
      <c r="K83" s="1"/>
    </row>
    <row r="84">
      <c r="A84" s="1"/>
      <c r="B84" s="1" t="s">
        <v>467</v>
      </c>
      <c r="C84" s="3">
        <v>-361.1</v>
      </c>
      <c r="D84" s="3">
        <v>-538.8</v>
      </c>
      <c r="E84" s="3">
        <v>-715.7</v>
      </c>
      <c r="F84" s="3"/>
      <c r="G84" s="3">
        <v>-178.7</v>
      </c>
      <c r="H84" s="25"/>
      <c r="I84" s="1"/>
      <c r="J84" s="1" t="s">
        <v>483</v>
      </c>
      <c r="K84" s="1"/>
    </row>
    <row r="85">
      <c r="A85" s="1"/>
      <c r="B85" s="1" t="s">
        <v>468</v>
      </c>
      <c r="C85" s="3">
        <v>-604</v>
      </c>
      <c r="D85" s="3">
        <v>-824.1</v>
      </c>
      <c r="E85" s="3">
        <v>-924.1</v>
      </c>
      <c r="F85" s="3"/>
      <c r="G85" s="3">
        <v>-223.8</v>
      </c>
      <c r="H85" s="25"/>
      <c r="I85" s="1"/>
      <c r="J85" s="1" t="s">
        <v>483</v>
      </c>
      <c r="K85" s="1"/>
    </row>
    <row r="86">
      <c r="A86" s="1"/>
      <c r="B86" s="1" t="s">
        <v>494</v>
      </c>
      <c r="C86" s="3">
        <v>3.1</v>
      </c>
      <c r="D86" s="3">
        <v>3.1</v>
      </c>
      <c r="E86" s="3">
        <v>7.7</v>
      </c>
      <c r="F86" s="3"/>
      <c r="G86" s="3">
        <v>3.9</v>
      </c>
      <c r="H86" s="25"/>
      <c r="I86" s="1"/>
      <c r="J86" s="1" t="s">
        <v>483</v>
      </c>
      <c r="K86" s="1"/>
    </row>
    <row r="87">
      <c r="A87" s="1"/>
      <c r="B87" s="1" t="s">
        <v>495</v>
      </c>
      <c r="C87" s="3">
        <v>-9.5</v>
      </c>
      <c r="D87" s="3">
        <v>-9.4</v>
      </c>
      <c r="E87" s="3">
        <v>-9.4</v>
      </c>
      <c r="F87" s="3"/>
      <c r="G87" s="3">
        <v>-10.2</v>
      </c>
      <c r="H87" s="25"/>
      <c r="I87" s="1"/>
      <c r="J87" s="1" t="s">
        <v>483</v>
      </c>
      <c r="K87" s="1"/>
    </row>
    <row r="88">
      <c r="A88" s="1"/>
      <c r="B88" s="1" t="s">
        <v>496</v>
      </c>
      <c r="C88" s="3">
        <v>-5.4</v>
      </c>
      <c r="D88" s="3">
        <v>-8.9</v>
      </c>
      <c r="E88" s="3">
        <v>-9</v>
      </c>
      <c r="F88" s="3"/>
      <c r="G88" s="3">
        <v>-2.9</v>
      </c>
      <c r="H88" s="25"/>
      <c r="I88" s="1"/>
      <c r="J88" s="1" t="s">
        <v>483</v>
      </c>
      <c r="K88" s="1"/>
    </row>
    <row r="89">
      <c r="A89" s="1"/>
      <c r="B89" s="1" t="s">
        <v>470</v>
      </c>
      <c r="C89" s="3">
        <v>-17.5</v>
      </c>
      <c r="D89" s="3">
        <v>-37.5</v>
      </c>
      <c r="E89" s="3">
        <v>-62.5</v>
      </c>
      <c r="F89" s="3"/>
      <c r="G89" s="3">
        <v>-25</v>
      </c>
      <c r="H89" s="25"/>
      <c r="I89" s="1"/>
      <c r="J89" s="1" t="s">
        <v>483</v>
      </c>
      <c r="K89" s="1"/>
    </row>
    <row r="90">
      <c r="A90" s="1"/>
      <c r="B90" s="1" t="s">
        <v>497</v>
      </c>
      <c r="C90" s="3">
        <v>-1.5</v>
      </c>
      <c r="D90" s="3">
        <v>-1.5</v>
      </c>
      <c r="E90" s="3">
        <v>-1.5</v>
      </c>
      <c r="F90" s="3"/>
      <c r="G90" s="3">
        <v>-0.3</v>
      </c>
      <c r="H90" s="25"/>
      <c r="I90" s="1"/>
      <c r="J90" s="1" t="s">
        <v>483</v>
      </c>
      <c r="K90" s="1"/>
    </row>
    <row r="91">
      <c r="A91" s="1"/>
      <c r="B91" s="12" t="s">
        <v>471</v>
      </c>
      <c r="C91" s="22">
        <v>-1953.1</v>
      </c>
      <c r="D91" s="22">
        <v>-2254.7</v>
      </c>
      <c r="E91" s="22">
        <v>-2656</v>
      </c>
      <c r="F91" s="22"/>
      <c r="G91" s="22">
        <v>-474</v>
      </c>
      <c r="H91" s="42"/>
      <c r="I91" s="1"/>
      <c r="J91" s="1" t="s">
        <v>483</v>
      </c>
      <c r="K91" s="1"/>
    </row>
    <row r="92">
      <c r="A92" s="1"/>
      <c r="B92" s="1" t="s">
        <v>473</v>
      </c>
      <c r="C92" s="3">
        <v>2.9</v>
      </c>
      <c r="D92" s="3">
        <v>2.7</v>
      </c>
      <c r="E92" s="3">
        <v>4.8</v>
      </c>
      <c r="F92" s="3"/>
      <c r="G92" s="3">
        <v>-0.4</v>
      </c>
      <c r="H92" s="25"/>
      <c r="I92" s="1"/>
      <c r="J92" s="1" t="s">
        <v>483</v>
      </c>
      <c r="K92" s="1"/>
    </row>
    <row r="93">
      <c r="A93" s="1"/>
      <c r="B93" s="12" t="s">
        <v>474</v>
      </c>
      <c r="C93" s="22">
        <v>3.9</v>
      </c>
      <c r="D93" s="22">
        <v>84.3</v>
      </c>
      <c r="E93" s="22">
        <v>34.3</v>
      </c>
      <c r="F93" s="22"/>
      <c r="G93" s="22">
        <v>-5.8</v>
      </c>
      <c r="H93" s="42"/>
      <c r="I93" s="1"/>
      <c r="J93" s="1" t="s">
        <v>483</v>
      </c>
      <c r="K93" s="1"/>
    </row>
    <row r="94">
      <c r="A94" s="1"/>
      <c r="B94" s="1" t="s">
        <v>475</v>
      </c>
      <c r="C94" s="3">
        <v>68.1</v>
      </c>
      <c r="D94" s="3">
        <v>68.1</v>
      </c>
      <c r="E94" s="3">
        <v>68.1</v>
      </c>
      <c r="F94" s="3"/>
      <c r="G94" s="3">
        <v>102.4</v>
      </c>
      <c r="H94" s="25"/>
      <c r="I94" s="1"/>
      <c r="J94" s="1" t="s">
        <v>483</v>
      </c>
      <c r="K94" s="1"/>
    </row>
    <row r="95">
      <c r="A95" s="1"/>
      <c r="B95" s="12" t="s">
        <v>476</v>
      </c>
      <c r="C95" s="22">
        <v>72</v>
      </c>
      <c r="D95" s="22">
        <v>152.4</v>
      </c>
      <c r="E95" s="22">
        <v>102.4</v>
      </c>
      <c r="F95" s="22"/>
      <c r="G95" s="22">
        <v>96.6</v>
      </c>
      <c r="H95" s="42"/>
      <c r="I95" s="1"/>
      <c r="J95" s="1" t="s">
        <v>483</v>
      </c>
      <c r="K95" s="1"/>
    </row>
    <row r="96">
      <c r="A96" s="1"/>
      <c r="B96" s="1"/>
      <c r="C96" s="1"/>
      <c r="D96" s="1"/>
      <c r="E96" s="1"/>
      <c r="F96" s="1"/>
      <c r="G96" s="1"/>
      <c r="H96" s="23"/>
      <c r="I96" s="1"/>
      <c r="J96" s="1"/>
      <c r="K96" s="1"/>
    </row>
    <row r="97">
      <c r="A97" s="1"/>
      <c r="B97" s="27" t="s">
        <v>498</v>
      </c>
      <c r="C97" s="1"/>
      <c r="D97" s="1"/>
      <c r="E97" s="1"/>
      <c r="F97" s="1"/>
      <c r="G97" s="1"/>
      <c r="H97" s="23"/>
      <c r="I97" s="1"/>
      <c r="J97" s="1"/>
      <c r="K97" s="1"/>
    </row>
    <row r="98">
      <c r="A98" s="1"/>
      <c r="B98" s="1" t="s">
        <v>499</v>
      </c>
      <c r="C98" s="3">
        <v>523.8</v>
      </c>
      <c r="D98" s="3"/>
      <c r="E98" s="3"/>
      <c r="F98" s="3"/>
      <c r="G98" s="3"/>
      <c r="H98" s="25"/>
      <c r="I98" s="1"/>
      <c r="J98" s="1" t="s">
        <v>500</v>
      </c>
      <c r="K98" s="1"/>
    </row>
    <row r="99">
      <c r="A99" s="1"/>
      <c r="B99" s="1" t="s">
        <v>501</v>
      </c>
      <c r="C99" s="3"/>
      <c r="D99" s="3"/>
      <c r="E99" s="3"/>
      <c r="F99" s="3"/>
      <c r="G99" s="3"/>
      <c r="H99" s="25"/>
      <c r="I99" s="1"/>
      <c r="J99" s="1" t="s">
        <v>500</v>
      </c>
      <c r="K99" s="1"/>
    </row>
    <row r="100">
      <c r="A100" s="1"/>
      <c r="B100" s="1" t="s">
        <v>502</v>
      </c>
      <c r="C100" s="3">
        <v>34</v>
      </c>
      <c r="D100" s="3"/>
      <c r="E100" s="3"/>
      <c r="F100" s="3"/>
      <c r="G100" s="3"/>
      <c r="H100" s="25"/>
      <c r="I100" s="1"/>
      <c r="J100" s="1" t="s">
        <v>500</v>
      </c>
      <c r="K100" s="1"/>
    </row>
    <row r="101">
      <c r="A101" s="1"/>
      <c r="B101" s="1" t="s">
        <v>503</v>
      </c>
      <c r="C101" s="3">
        <v>105.2</v>
      </c>
      <c r="D101" s="3"/>
      <c r="E101" s="3"/>
      <c r="F101" s="3"/>
      <c r="G101" s="3"/>
      <c r="H101" s="25"/>
      <c r="I101" s="1"/>
      <c r="J101" s="1" t="s">
        <v>500</v>
      </c>
      <c r="K101" s="1"/>
    </row>
    <row r="102">
      <c r="A102" s="1"/>
      <c r="B102" s="1" t="s">
        <v>504</v>
      </c>
      <c r="C102" s="3">
        <v>10.4</v>
      </c>
      <c r="D102" s="3"/>
      <c r="E102" s="3"/>
      <c r="F102" s="3"/>
      <c r="G102" s="3"/>
      <c r="H102" s="25"/>
      <c r="I102" s="1"/>
      <c r="J102" s="1" t="s">
        <v>500</v>
      </c>
      <c r="K102" s="1"/>
    </row>
    <row r="103">
      <c r="A103" s="1"/>
      <c r="B103" s="1" t="s">
        <v>505</v>
      </c>
      <c r="C103" s="3"/>
      <c r="D103" s="3"/>
      <c r="E103" s="3"/>
      <c r="F103" s="3"/>
      <c r="G103" s="3"/>
      <c r="H103" s="25"/>
      <c r="I103" s="1"/>
      <c r="J103" s="1" t="s">
        <v>500</v>
      </c>
      <c r="K103" s="1"/>
    </row>
    <row r="104">
      <c r="A104" s="1"/>
      <c r="B104" s="1" t="s">
        <v>506</v>
      </c>
      <c r="C104" s="3">
        <v>31</v>
      </c>
      <c r="D104" s="3"/>
      <c r="E104" s="3"/>
      <c r="F104" s="3"/>
      <c r="G104" s="3"/>
      <c r="H104" s="25"/>
      <c r="I104" s="1"/>
      <c r="J104" s="1" t="s">
        <v>500</v>
      </c>
      <c r="K104" s="1"/>
    </row>
    <row r="105">
      <c r="A105" s="1"/>
      <c r="B105" s="1" t="s">
        <v>507</v>
      </c>
      <c r="C105" s="3">
        <v>52.1</v>
      </c>
      <c r="D105" s="3"/>
      <c r="E105" s="3"/>
      <c r="F105" s="3"/>
      <c r="G105" s="3"/>
      <c r="H105" s="25"/>
      <c r="I105" s="1"/>
      <c r="J105" s="1" t="s">
        <v>500</v>
      </c>
      <c r="K105" s="1"/>
    </row>
    <row r="106">
      <c r="A106" s="1"/>
      <c r="B106" s="1" t="s">
        <v>508</v>
      </c>
      <c r="C106" s="3"/>
      <c r="D106" s="3"/>
      <c r="E106" s="3"/>
      <c r="F106" s="3"/>
      <c r="G106" s="3"/>
      <c r="H106" s="25"/>
      <c r="I106" s="1"/>
      <c r="J106" s="1" t="s">
        <v>500</v>
      </c>
      <c r="K106" s="1"/>
    </row>
    <row r="107">
      <c r="A107" s="1"/>
      <c r="B107" s="1" t="s">
        <v>509</v>
      </c>
      <c r="C107" s="3">
        <v>-73.9</v>
      </c>
      <c r="D107" s="3"/>
      <c r="E107" s="3"/>
      <c r="F107" s="3"/>
      <c r="G107" s="3"/>
      <c r="H107" s="25"/>
      <c r="I107" s="1"/>
      <c r="J107" s="1" t="s">
        <v>500</v>
      </c>
      <c r="K107" s="1"/>
    </row>
    <row r="108">
      <c r="A108" s="1"/>
      <c r="B108" s="1" t="s">
        <v>510</v>
      </c>
      <c r="C108" s="3">
        <v>-20.8</v>
      </c>
      <c r="D108" s="3"/>
      <c r="E108" s="3"/>
      <c r="F108" s="3"/>
      <c r="G108" s="3"/>
      <c r="H108" s="25"/>
      <c r="I108" s="1"/>
      <c r="J108" s="1" t="s">
        <v>500</v>
      </c>
      <c r="K108" s="1"/>
    </row>
    <row r="109">
      <c r="A109" s="1"/>
      <c r="B109" s="1" t="s">
        <v>511</v>
      </c>
      <c r="C109" s="3">
        <v>-25.8</v>
      </c>
      <c r="D109" s="3"/>
      <c r="E109" s="3"/>
      <c r="F109" s="3"/>
      <c r="G109" s="3"/>
      <c r="H109" s="25"/>
      <c r="I109" s="1"/>
      <c r="J109" s="1" t="s">
        <v>500</v>
      </c>
      <c r="K109" s="1"/>
    </row>
    <row r="110">
      <c r="A110" s="1"/>
      <c r="B110" s="1" t="s">
        <v>512</v>
      </c>
      <c r="C110" s="3">
        <v>36.7</v>
      </c>
      <c r="D110" s="3"/>
      <c r="E110" s="3"/>
      <c r="F110" s="3"/>
      <c r="G110" s="3"/>
      <c r="H110" s="25"/>
      <c r="I110" s="1"/>
      <c r="J110" s="1" t="s">
        <v>500</v>
      </c>
      <c r="K110" s="1"/>
    </row>
    <row r="111">
      <c r="A111" s="1"/>
      <c r="B111" s="1" t="s">
        <v>513</v>
      </c>
      <c r="C111" s="3"/>
      <c r="D111" s="3"/>
      <c r="E111" s="3"/>
      <c r="F111" s="3"/>
      <c r="G111" s="3"/>
      <c r="H111" s="25"/>
      <c r="I111" s="1"/>
      <c r="J111" s="1" t="s">
        <v>500</v>
      </c>
      <c r="K111" s="1"/>
    </row>
    <row r="112">
      <c r="A112" s="1"/>
      <c r="B112" s="1" t="s">
        <v>514</v>
      </c>
      <c r="C112" s="3">
        <v>-92.3</v>
      </c>
      <c r="D112" s="3"/>
      <c r="E112" s="3"/>
      <c r="F112" s="3"/>
      <c r="G112" s="3"/>
      <c r="H112" s="25"/>
      <c r="I112" s="1"/>
      <c r="J112" s="1" t="s">
        <v>500</v>
      </c>
      <c r="K112" s="1"/>
    </row>
    <row r="113">
      <c r="A113" s="1"/>
      <c r="B113" s="1" t="s">
        <v>515</v>
      </c>
      <c r="C113" s="3">
        <v>56.8</v>
      </c>
      <c r="D113" s="3"/>
      <c r="E113" s="3"/>
      <c r="F113" s="3"/>
      <c r="G113" s="3"/>
      <c r="H113" s="25"/>
      <c r="I113" s="1"/>
      <c r="J113" s="1" t="s">
        <v>500</v>
      </c>
      <c r="K113" s="1"/>
    </row>
    <row r="114">
      <c r="A114" s="1"/>
      <c r="B114" s="12" t="s">
        <v>516</v>
      </c>
      <c r="C114" s="22">
        <v>637.2</v>
      </c>
      <c r="D114" s="22"/>
      <c r="E114" s="22"/>
      <c r="F114" s="22"/>
      <c r="G114" s="22"/>
      <c r="H114" s="42"/>
      <c r="I114" s="1"/>
      <c r="J114" s="1" t="s">
        <v>500</v>
      </c>
      <c r="K114" s="1"/>
    </row>
    <row r="115">
      <c r="A115" s="1"/>
      <c r="B115" s="1" t="s">
        <v>517</v>
      </c>
      <c r="C115" s="3">
        <v>-192.8</v>
      </c>
      <c r="D115" s="3"/>
      <c r="E115" s="3"/>
      <c r="F115" s="3"/>
      <c r="G115" s="3"/>
      <c r="H115" s="25"/>
      <c r="I115" s="1"/>
      <c r="J115" s="1" t="s">
        <v>500</v>
      </c>
      <c r="K115" s="1"/>
    </row>
    <row r="116">
      <c r="A116" s="1"/>
      <c r="B116" s="1" t="s">
        <v>518</v>
      </c>
      <c r="C116" s="3"/>
      <c r="D116" s="3"/>
      <c r="E116" s="3"/>
      <c r="F116" s="3"/>
      <c r="G116" s="3"/>
      <c r="H116" s="25"/>
      <c r="I116" s="1"/>
      <c r="J116" s="1" t="s">
        <v>500</v>
      </c>
      <c r="K116" s="1"/>
    </row>
    <row r="117">
      <c r="A117" s="1"/>
      <c r="B117" s="1" t="s">
        <v>519</v>
      </c>
      <c r="C117" s="3"/>
      <c r="D117" s="3"/>
      <c r="E117" s="3"/>
      <c r="F117" s="3"/>
      <c r="G117" s="3"/>
      <c r="H117" s="25"/>
      <c r="I117" s="1"/>
      <c r="J117" s="1" t="s">
        <v>500</v>
      </c>
      <c r="K117" s="1"/>
    </row>
    <row r="118">
      <c r="A118" s="1"/>
      <c r="B118" s="1" t="s">
        <v>520</v>
      </c>
      <c r="C118" s="3"/>
      <c r="D118" s="3"/>
      <c r="E118" s="3"/>
      <c r="F118" s="3"/>
      <c r="G118" s="3"/>
      <c r="H118" s="25"/>
      <c r="I118" s="1"/>
      <c r="J118" s="1" t="s">
        <v>500</v>
      </c>
      <c r="K118" s="1"/>
    </row>
    <row r="119">
      <c r="A119" s="1"/>
      <c r="B119" s="1" t="s">
        <v>521</v>
      </c>
      <c r="C119" s="3"/>
      <c r="D119" s="3"/>
      <c r="E119" s="3"/>
      <c r="F119" s="3"/>
      <c r="G119" s="3"/>
      <c r="H119" s="25"/>
      <c r="I119" s="1"/>
      <c r="J119" s="1" t="s">
        <v>500</v>
      </c>
      <c r="K119" s="1"/>
    </row>
    <row r="120">
      <c r="A120" s="1"/>
      <c r="B120" s="1" t="s">
        <v>522</v>
      </c>
      <c r="C120" s="3">
        <v>-3.3</v>
      </c>
      <c r="D120" s="3"/>
      <c r="E120" s="3"/>
      <c r="F120" s="3"/>
      <c r="G120" s="3"/>
      <c r="H120" s="25"/>
      <c r="I120" s="1"/>
      <c r="J120" s="1" t="s">
        <v>500</v>
      </c>
      <c r="K120" s="1"/>
    </row>
    <row r="121">
      <c r="A121" s="1"/>
      <c r="B121" s="12" t="s">
        <v>523</v>
      </c>
      <c r="C121" s="22">
        <v>-196.1</v>
      </c>
      <c r="D121" s="22"/>
      <c r="E121" s="22"/>
      <c r="F121" s="22"/>
      <c r="G121" s="22"/>
      <c r="H121" s="42"/>
      <c r="I121" s="1"/>
      <c r="J121" s="1" t="s">
        <v>500</v>
      </c>
      <c r="K121" s="1"/>
    </row>
    <row r="122">
      <c r="A122" s="1"/>
      <c r="B122" s="1" t="s">
        <v>524</v>
      </c>
      <c r="C122" s="3">
        <v>499.1</v>
      </c>
      <c r="D122" s="3"/>
      <c r="E122" s="3"/>
      <c r="F122" s="3"/>
      <c r="G122" s="3"/>
      <c r="H122" s="25"/>
      <c r="I122" s="1"/>
      <c r="J122" s="1" t="s">
        <v>500</v>
      </c>
      <c r="K122" s="1"/>
    </row>
    <row r="123">
      <c r="A123" s="1"/>
      <c r="B123" s="1" t="s">
        <v>525</v>
      </c>
      <c r="C123" s="3">
        <v>-1</v>
      </c>
      <c r="D123" s="3"/>
      <c r="E123" s="3"/>
      <c r="F123" s="3"/>
      <c r="G123" s="3"/>
      <c r="H123" s="25"/>
      <c r="I123" s="1"/>
      <c r="J123" s="1" t="s">
        <v>500</v>
      </c>
      <c r="K123" s="1"/>
    </row>
    <row r="124">
      <c r="A124" s="1"/>
      <c r="B124" s="1" t="s">
        <v>526</v>
      </c>
      <c r="C124" s="3">
        <v>-429.2</v>
      </c>
      <c r="D124" s="3"/>
      <c r="E124" s="3"/>
      <c r="F124" s="3"/>
      <c r="G124" s="3"/>
      <c r="H124" s="25"/>
      <c r="I124" s="1"/>
      <c r="J124" s="1" t="s">
        <v>500</v>
      </c>
      <c r="K124" s="1"/>
    </row>
    <row r="125">
      <c r="A125" s="1"/>
      <c r="B125" s="1" t="s">
        <v>527</v>
      </c>
      <c r="C125" s="3">
        <v>-182.2</v>
      </c>
      <c r="D125" s="3"/>
      <c r="E125" s="3"/>
      <c r="F125" s="3"/>
      <c r="G125" s="3"/>
      <c r="H125" s="25"/>
      <c r="I125" s="1"/>
      <c r="J125" s="1" t="s">
        <v>500</v>
      </c>
      <c r="K125" s="1"/>
    </row>
    <row r="126">
      <c r="A126" s="1"/>
      <c r="B126" s="1" t="s">
        <v>528</v>
      </c>
      <c r="C126" s="3">
        <v>-306.1</v>
      </c>
      <c r="D126" s="3"/>
      <c r="E126" s="3"/>
      <c r="F126" s="3"/>
      <c r="G126" s="3"/>
      <c r="H126" s="25"/>
      <c r="I126" s="1"/>
      <c r="J126" s="1" t="s">
        <v>500</v>
      </c>
      <c r="K126" s="1"/>
    </row>
    <row r="127">
      <c r="A127" s="1"/>
      <c r="B127" s="1" t="s">
        <v>529</v>
      </c>
      <c r="C127" s="3">
        <v>5.3</v>
      </c>
      <c r="D127" s="3"/>
      <c r="E127" s="3"/>
      <c r="F127" s="3"/>
      <c r="G127" s="3"/>
      <c r="H127" s="25"/>
      <c r="I127" s="1"/>
      <c r="J127" s="1" t="s">
        <v>500</v>
      </c>
      <c r="K127" s="1"/>
    </row>
    <row r="128">
      <c r="A128" s="1"/>
      <c r="B128" s="1" t="s">
        <v>530</v>
      </c>
      <c r="C128" s="3">
        <v>-9.4</v>
      </c>
      <c r="D128" s="3"/>
      <c r="E128" s="3"/>
      <c r="F128" s="3"/>
      <c r="G128" s="3"/>
      <c r="H128" s="25"/>
      <c r="I128" s="1"/>
      <c r="J128" s="1" t="s">
        <v>500</v>
      </c>
      <c r="K128" s="1"/>
    </row>
    <row r="129">
      <c r="A129" s="1"/>
      <c r="B129" s="1" t="s">
        <v>531</v>
      </c>
      <c r="C129" s="3">
        <v>-5.2</v>
      </c>
      <c r="D129" s="3"/>
      <c r="E129" s="3"/>
      <c r="F129" s="3"/>
      <c r="G129" s="3"/>
      <c r="H129" s="25"/>
      <c r="I129" s="1"/>
      <c r="J129" s="1" t="s">
        <v>500</v>
      </c>
      <c r="K129" s="1"/>
    </row>
    <row r="130">
      <c r="A130" s="1"/>
      <c r="B130" s="1" t="s">
        <v>532</v>
      </c>
      <c r="C130" s="3">
        <v>-7.5</v>
      </c>
      <c r="D130" s="3"/>
      <c r="E130" s="3"/>
      <c r="F130" s="3"/>
      <c r="G130" s="3"/>
      <c r="H130" s="25"/>
      <c r="I130" s="1"/>
      <c r="J130" s="1" t="s">
        <v>500</v>
      </c>
      <c r="K130" s="1"/>
    </row>
    <row r="131">
      <c r="A131" s="1"/>
      <c r="B131" s="1" t="s">
        <v>533</v>
      </c>
      <c r="C131" s="3">
        <v>-1.4</v>
      </c>
      <c r="D131" s="3"/>
      <c r="E131" s="3"/>
      <c r="F131" s="3"/>
      <c r="G131" s="3"/>
      <c r="H131" s="25"/>
      <c r="I131" s="1"/>
      <c r="J131" s="1" t="s">
        <v>500</v>
      </c>
      <c r="K131" s="1"/>
    </row>
    <row r="132">
      <c r="A132" s="1"/>
      <c r="B132" s="12" t="s">
        <v>534</v>
      </c>
      <c r="C132" s="22">
        <v>-437.6</v>
      </c>
      <c r="D132" s="22"/>
      <c r="E132" s="22"/>
      <c r="F132" s="22"/>
      <c r="G132" s="22"/>
      <c r="H132" s="42"/>
      <c r="I132" s="1"/>
      <c r="J132" s="1" t="s">
        <v>500</v>
      </c>
      <c r="K132" s="1"/>
    </row>
    <row r="133">
      <c r="A133" s="1"/>
      <c r="B133" s="1" t="s">
        <v>535</v>
      </c>
      <c r="C133" s="3">
        <v>2.3</v>
      </c>
      <c r="D133" s="3"/>
      <c r="E133" s="3"/>
      <c r="F133" s="3"/>
      <c r="G133" s="3"/>
      <c r="H133" s="25"/>
      <c r="I133" s="1"/>
      <c r="J133" s="1" t="s">
        <v>500</v>
      </c>
      <c r="K133" s="1"/>
    </row>
    <row r="134">
      <c r="A134" s="1"/>
      <c r="B134" s="12" t="s">
        <v>536</v>
      </c>
      <c r="C134" s="22">
        <v>5.8</v>
      </c>
      <c r="D134" s="22"/>
      <c r="E134" s="22"/>
      <c r="F134" s="22"/>
      <c r="G134" s="22"/>
      <c r="H134" s="42"/>
      <c r="I134" s="1"/>
      <c r="J134" s="1" t="s">
        <v>500</v>
      </c>
      <c r="K134" s="1"/>
    </row>
    <row r="135">
      <c r="A135" s="1"/>
      <c r="B135" s="1" t="s">
        <v>537</v>
      </c>
      <c r="C135" s="3">
        <v>68.1</v>
      </c>
      <c r="D135" s="3"/>
      <c r="E135" s="3"/>
      <c r="F135" s="3"/>
      <c r="G135" s="3"/>
      <c r="H135" s="25"/>
      <c r="I135" s="1"/>
      <c r="J135" s="1" t="s">
        <v>500</v>
      </c>
      <c r="K135" s="1"/>
    </row>
    <row r="136">
      <c r="A136" s="1"/>
      <c r="B136" s="12" t="s">
        <v>538</v>
      </c>
      <c r="C136" s="22">
        <v>73.9</v>
      </c>
      <c r="D136" s="22"/>
      <c r="E136" s="22"/>
      <c r="F136" s="22"/>
      <c r="G136" s="22"/>
      <c r="H136" s="42"/>
      <c r="I136" s="1"/>
      <c r="J136" s="1" t="s">
        <v>500</v>
      </c>
      <c r="K136" s="1"/>
    </row>
    <row r="137">
      <c r="A137" s="1"/>
      <c r="B137" s="1"/>
      <c r="C137" s="1"/>
      <c r="D137" s="1"/>
      <c r="E137" s="1"/>
      <c r="F137" s="1"/>
      <c r="G137" s="1"/>
      <c r="H137" s="23"/>
      <c r="I137" s="1"/>
      <c r="J137" s="1"/>
      <c r="K137" s="1"/>
    </row>
    <row r="138">
      <c r="A138" s="1"/>
      <c r="B138" s="1"/>
      <c r="C138" s="1"/>
      <c r="D138" s="1"/>
      <c r="E138" s="1"/>
      <c r="F138" s="1"/>
      <c r="G138" s="1"/>
      <c r="H138" s="23"/>
      <c r="I138" s="1"/>
      <c r="J138" s="1"/>
      <c r="K138" s="1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5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539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26" t="s">
        <v>69</v>
      </c>
      <c r="C5" s="10" t="s">
        <v>58</v>
      </c>
      <c r="D5" s="10" t="s">
        <v>70</v>
      </c>
      <c r="E5" s="10" t="s">
        <v>71</v>
      </c>
      <c r="F5" s="10" t="s">
        <v>72</v>
      </c>
      <c r="G5" s="10" t="s">
        <v>73</v>
      </c>
      <c r="H5" s="36" t="s">
        <v>57</v>
      </c>
      <c r="I5" s="1"/>
      <c r="J5" s="9" t="s">
        <v>3</v>
      </c>
      <c r="K5" s="1"/>
    </row>
    <row r="6">
      <c r="A6" s="1"/>
      <c r="B6" s="18" t="s">
        <v>74</v>
      </c>
      <c r="C6" s="8">
        <v>45900</v>
      </c>
      <c r="D6" s="8">
        <v>45991</v>
      </c>
      <c r="E6" s="8">
        <v>46081</v>
      </c>
      <c r="F6" s="8">
        <v>46081</v>
      </c>
      <c r="G6" s="8">
        <v>46173</v>
      </c>
      <c r="H6" s="24">
        <v>46265</v>
      </c>
      <c r="I6" s="1"/>
      <c r="J6" s="1"/>
      <c r="K6" s="1"/>
    </row>
    <row r="7">
      <c r="A7" s="1"/>
      <c r="B7" s="11" t="s">
        <v>75</v>
      </c>
      <c r="C7" s="5">
        <v>92</v>
      </c>
      <c r="D7" s="5">
        <v>91</v>
      </c>
      <c r="E7" s="5">
        <v>90</v>
      </c>
      <c r="F7" s="5">
        <v>365</v>
      </c>
      <c r="G7" s="5">
        <v>92</v>
      </c>
      <c r="H7" s="13">
        <v>92</v>
      </c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"/>
      <c r="C9" s="1"/>
      <c r="D9" s="1"/>
      <c r="E9" s="1"/>
      <c r="F9" s="1"/>
      <c r="G9" s="1"/>
      <c r="H9" s="23"/>
      <c r="I9" s="1"/>
      <c r="J9" s="1"/>
      <c r="K9" s="1"/>
    </row>
    <row r="10">
      <c r="A10" s="1"/>
      <c r="B10" s="27" t="s">
        <v>540</v>
      </c>
      <c r="C10" s="1"/>
      <c r="D10" s="1"/>
      <c r="E10" s="1"/>
      <c r="F10" s="1"/>
      <c r="G10" s="1"/>
      <c r="H10" s="23"/>
      <c r="I10" s="1"/>
      <c r="J10" s="1"/>
      <c r="K10" s="1"/>
    </row>
    <row r="11">
      <c r="A11" s="1"/>
      <c r="B11" s="1" t="s">
        <v>541</v>
      </c>
      <c r="C11" s="29">
        <v>181.947</v>
      </c>
      <c r="D11" s="29">
        <v>181.243</v>
      </c>
      <c r="E11" s="29">
        <v>179.913</v>
      </c>
      <c r="F11" s="29">
        <v>181.476</v>
      </c>
      <c r="G11" s="29">
        <v>177.801</v>
      </c>
      <c r="H11" s="31">
        <f>C12</f>
        <v>175.821</v>
      </c>
      <c r="I11" s="1"/>
      <c r="J11" s="1" t="s">
        <v>160</v>
      </c>
      <c r="K11" s="1"/>
    </row>
    <row r="12">
      <c r="A12" s="1"/>
      <c r="B12" s="12" t="s">
        <v>542</v>
      </c>
      <c r="C12" s="32">
        <v>175.821</v>
      </c>
      <c r="D12" s="32">
        <v>174.515</v>
      </c>
      <c r="E12" s="32">
        <v>173.465</v>
      </c>
      <c r="F12" s="32">
        <v>175.414</v>
      </c>
      <c r="G12" s="32">
        <v>172.186</v>
      </c>
      <c r="H12" s="41">
        <f>H42-H37*H43-H40*H44+H45</f>
        <v>170.72652510307694</v>
      </c>
      <c r="I12" s="1"/>
      <c r="J12" s="1" t="s">
        <v>543</v>
      </c>
      <c r="K12" s="1"/>
    </row>
    <row r="13">
      <c r="A13" s="1"/>
      <c r="B13" s="7" t="s">
        <v>79</v>
      </c>
      <c r="C13" s="2">
        <f>IF(AND(ISNUMBER(C12),ISNUMBER(C11)),IF(C11&lt;=0,"n/m",C12/C11-1),"n/a")</f>
        <v>-0.03366914541047672</v>
      </c>
      <c r="D13" s="2">
        <f>IF(AND(ISNUMBER(D12),ISNUMBER(D11)),IF(D11&lt;=0,"n/m",D12/D11-1),"n/a")</f>
        <v>-0.037121433655368796</v>
      </c>
      <c r="E13" s="2">
        <f>IF(AND(ISNUMBER(E12),ISNUMBER(E11)),IF(E11&lt;=0,"n/m",E12/E11-1),"n/a")</f>
        <v>-0.03583954466881223</v>
      </c>
      <c r="F13" s="2">
        <f>IF(AND(ISNUMBER(F12),ISNUMBER(F11)),IF(F11&lt;=0,"n/m",F12/F11-1),"n/a")</f>
        <v>-0.033403866075955024</v>
      </c>
      <c r="G13" s="2">
        <f>IF(AND(ISNUMBER(G12),ISNUMBER(G11)),IF(G11&lt;=0,"n/m",G12/G11-1),"n/a")</f>
        <v>-0.03158024982986585</v>
      </c>
      <c r="H13" s="14">
        <f>IF(AND(ISNUMBER(H12),ISNUMBER(H11)),IF(H11&lt;=0,"n/m",H12/H11-1),"n/a")</f>
        <v>-0.028975349343497436</v>
      </c>
      <c r="I13" s="1"/>
      <c r="J13" s="1"/>
      <c r="K13" s="1"/>
    </row>
    <row r="14">
      <c r="A14" s="1"/>
      <c r="B14" s="1" t="s">
        <v>544</v>
      </c>
      <c r="C14" s="29" t="s">
        <v>26</v>
      </c>
      <c r="D14" s="29">
        <f>IF(AND(ISNUMBER(D12),ISNUMBER(C12)),D12-C12,"n/a")</f>
        <v>-1.3060000000000116</v>
      </c>
      <c r="E14" s="29">
        <f>IF(AND(ISNUMBER(E12),ISNUMBER(D12)),E12-D12,"n/a")</f>
        <v>-1.049999999999983</v>
      </c>
      <c r="F14" s="29" t="s">
        <v>26</v>
      </c>
      <c r="G14" s="29">
        <f>IF(AND(ISNUMBER(G12),ISNUMBER(E12)),G12-E12,"n/a")</f>
        <v>-1.2789999999999964</v>
      </c>
      <c r="H14" s="31">
        <f>IF(AND(ISNUMBER(H12),ISNUMBER(G12)),H12-G12,"n/a")</f>
        <v>-1.4594748969230693</v>
      </c>
      <c r="I14" s="1"/>
      <c r="J14" s="1"/>
      <c r="K14" s="1"/>
    </row>
    <row r="15">
      <c r="A15" s="1"/>
      <c r="B15" s="1" t="s">
        <v>545</v>
      </c>
      <c r="C15" s="29">
        <f>C19-C12</f>
        <v>0.11699999999999022</v>
      </c>
      <c r="D15" s="29">
        <f>D19-D12</f>
        <v>0.09900000000001796</v>
      </c>
      <c r="E15" s="29">
        <f>E19-E12</f>
        <v>0.21399999999999864</v>
      </c>
      <c r="F15" s="29">
        <f>F19-F12</f>
        <v>0.15400000000002478</v>
      </c>
      <c r="G15" s="29">
        <f>G19-G12</f>
        <v>0.22100000000000364</v>
      </c>
      <c r="H15" s="31">
        <v>0.22</v>
      </c>
      <c r="I15" s="1"/>
      <c r="J15" s="1"/>
      <c r="K15" s="1"/>
    </row>
    <row r="16">
      <c r="A16" s="1"/>
      <c r="B16" s="1" t="s">
        <v>546</v>
      </c>
      <c r="C16" s="29">
        <f>IF(AND(ISNUMBER(C15),ISNUMBER(C18)),C15-(C18-C11),"n/a")</f>
        <v>0.11699999999999022</v>
      </c>
      <c r="D16" s="29">
        <f>IF(AND(ISNUMBER(D15),ISNUMBER(D18)),D15-(D18-D11),"n/a")</f>
        <v>-0.41099999999997294</v>
      </c>
      <c r="E16" s="29">
        <f>IF(AND(ISNUMBER(E15),ISNUMBER(E18)),E15-(E18-E11),"n/a")</f>
        <v>0.21399999999999864</v>
      </c>
      <c r="F16" s="29">
        <f>IF(AND(ISNUMBER(F15),ISNUMBER(F18)),F15-(F18-F11),"n/a")</f>
        <v>0.15400000000002478</v>
      </c>
      <c r="G16" s="29">
        <f>IF(AND(ISNUMBER(G15),ISNUMBER(G18)),G15-(G18-G11),"n/a")</f>
        <v>0.03099999999997749</v>
      </c>
      <c r="H16" s="31">
        <f>IF(AND(ISNUMBER(H15),ISNUMBER(H18)),H15-(H18-H11),"n/a")</f>
        <v>0.10300000000000978</v>
      </c>
      <c r="I16" s="1"/>
      <c r="J16" s="1"/>
      <c r="K16" s="1"/>
    </row>
    <row r="17">
      <c r="A17" s="1"/>
      <c r="B17" s="1" t="s">
        <v>544</v>
      </c>
      <c r="C17" s="29" t="s">
        <v>26</v>
      </c>
      <c r="D17" s="29">
        <f>IF(AND(ISNUMBER(D15),ISNUMBER(C15)),D15-C15,"n/a")</f>
        <v>-0.01799999999997226</v>
      </c>
      <c r="E17" s="29">
        <f>IF(AND(ISNUMBER(E15),ISNUMBER(D15)),E15-D15,"n/a")</f>
        <v>0.11499999999998067</v>
      </c>
      <c r="F17" s="29" t="s">
        <v>26</v>
      </c>
      <c r="G17" s="29">
        <f>IF(AND(ISNUMBER(G15),ISNUMBER(E15)),G15-E15,"n/a")</f>
        <v>0.007000000000005002</v>
      </c>
      <c r="H17" s="31">
        <f>IF(AND(ISNUMBER(H15),ISNUMBER(G15)),H15-G15,"n/a")</f>
        <v>-0.0010000000000036369</v>
      </c>
      <c r="I17" s="1"/>
      <c r="J17" s="1"/>
      <c r="K17" s="1"/>
    </row>
    <row r="18">
      <c r="A18" s="1"/>
      <c r="B18" s="1" t="s">
        <v>547</v>
      </c>
      <c r="C18" s="29">
        <v>181.947</v>
      </c>
      <c r="D18" s="29">
        <v>181.753</v>
      </c>
      <c r="E18" s="29">
        <v>179.913</v>
      </c>
      <c r="F18" s="29">
        <v>181.476</v>
      </c>
      <c r="G18" s="29">
        <v>177.991</v>
      </c>
      <c r="H18" s="31">
        <f>C19</f>
        <v>175.938</v>
      </c>
      <c r="I18" s="1"/>
      <c r="J18" s="1" t="s">
        <v>160</v>
      </c>
      <c r="K18" s="1"/>
    </row>
    <row r="19">
      <c r="A19" s="1"/>
      <c r="B19" s="12" t="s">
        <v>548</v>
      </c>
      <c r="C19" s="35">
        <v>175.938</v>
      </c>
      <c r="D19" s="35">
        <v>174.614</v>
      </c>
      <c r="E19" s="35">
        <v>173.679</v>
      </c>
      <c r="F19" s="35">
        <v>175.568</v>
      </c>
      <c r="G19" s="35">
        <v>172.407</v>
      </c>
      <c r="H19" s="44">
        <f>H12+H15</f>
        <v>170.94652510307694</v>
      </c>
      <c r="I19" s="1"/>
      <c r="J19" s="1" t="s">
        <v>160</v>
      </c>
      <c r="K19" s="1"/>
    </row>
    <row r="20">
      <c r="A20" s="1"/>
      <c r="B20" s="7" t="s">
        <v>79</v>
      </c>
      <c r="C20" s="2">
        <f>IF(AND(ISNUMBER(C19),ISNUMBER(C18)),IF(C18&lt;=0,"n/m",C19/C18-1),"n/a")</f>
        <v>-0.033026101007436304</v>
      </c>
      <c r="D20" s="2">
        <f>IF(AND(ISNUMBER(D19),ISNUMBER(D18)),IF(D18&lt;=0,"n/m",D19/D18-1),"n/a")</f>
        <v>-0.039278581371421595</v>
      </c>
      <c r="E20" s="2">
        <f>IF(AND(ISNUMBER(E19),ISNUMBER(E18)),IF(E18&lt;=0,"n/m",E19/E18-1),"n/a")</f>
        <v>-0.03465008087242172</v>
      </c>
      <c r="F20" s="2">
        <f>IF(AND(ISNUMBER(F19),ISNUMBER(F18)),IF(F18&lt;=0,"n/m",F19/F18-1),"n/a")</f>
        <v>-0.03255526901628858</v>
      </c>
      <c r="G20" s="2">
        <f>IF(AND(ISNUMBER(G19),ISNUMBER(G18)),IF(G18&lt;=0,"n/m",G19/G18-1),"n/a")</f>
        <v>-0.031372372760420486</v>
      </c>
      <c r="H20" s="14">
        <f>IF(AND(ISNUMBER(H19),ISNUMBER(H18)),IF(H18&lt;=0,"n/m",H19/H18-1),"n/a")</f>
        <v>-0.02837064702862968</v>
      </c>
      <c r="I20" s="1"/>
      <c r="J20" s="1"/>
      <c r="K20" s="1"/>
    </row>
    <row r="21">
      <c r="A21" s="1"/>
      <c r="B21" s="1" t="s">
        <v>544</v>
      </c>
      <c r="C21" s="29" t="s">
        <v>26</v>
      </c>
      <c r="D21" s="29">
        <f>IF(AND(ISNUMBER(D19),ISNUMBER(C19)),D19-C19,"n/a")</f>
        <v>-1.3239999999999839</v>
      </c>
      <c r="E21" s="29">
        <f>IF(AND(ISNUMBER(E19),ISNUMBER(D19)),E19-D19,"n/a")</f>
        <v>-0.9350000000000023</v>
      </c>
      <c r="F21" s="29" t="s">
        <v>26</v>
      </c>
      <c r="G21" s="29">
        <f>IF(AND(ISNUMBER(G19),ISNUMBER(E19)),G19-E19,"n/a")</f>
        <v>-1.2719999999999914</v>
      </c>
      <c r="H21" s="31">
        <f>IF(AND(ISNUMBER(H19),ISNUMBER(G19)),H19-G19,"n/a")</f>
        <v>-1.460474896923074</v>
      </c>
      <c r="I21" s="1"/>
      <c r="J21" s="1"/>
      <c r="K21" s="1"/>
    </row>
    <row r="22">
      <c r="A22" s="1"/>
      <c r="B22" s="1"/>
      <c r="C22" s="1"/>
      <c r="D22" s="1"/>
      <c r="E22" s="1"/>
      <c r="F22" s="1"/>
      <c r="G22" s="1"/>
      <c r="H22" s="23"/>
      <c r="I22" s="1"/>
      <c r="J22" s="1"/>
      <c r="K22" s="1"/>
    </row>
    <row r="23">
      <c r="A23" s="1"/>
      <c r="B23" s="27" t="s">
        <v>549</v>
      </c>
      <c r="C23" s="1"/>
      <c r="D23" s="1"/>
      <c r="E23" s="1"/>
      <c r="F23" s="1"/>
      <c r="G23" s="1"/>
      <c r="H23" s="23"/>
      <c r="I23" s="1"/>
      <c r="J23" s="1"/>
      <c r="K23" s="1"/>
    </row>
    <row r="24">
      <c r="A24" s="1"/>
      <c r="B24" s="1" t="s">
        <v>550</v>
      </c>
      <c r="C24" s="29"/>
      <c r="D24" s="29"/>
      <c r="E24" s="29"/>
      <c r="F24" s="29">
        <v>1.634718</v>
      </c>
      <c r="G24" s="29"/>
      <c r="H24" s="31"/>
      <c r="I24" s="1"/>
      <c r="J24" s="1" t="s">
        <v>551</v>
      </c>
      <c r="K24" s="1"/>
    </row>
    <row r="25">
      <c r="A25" s="1"/>
      <c r="B25" s="1" t="s">
        <v>552</v>
      </c>
      <c r="C25" s="29">
        <v>1.740884</v>
      </c>
      <c r="D25" s="29">
        <v>1.629681</v>
      </c>
      <c r="E25" s="29">
        <v>0.646824</v>
      </c>
      <c r="F25" s="29">
        <f>F24+C25+D25+E25</f>
        <v>5.652106999999999</v>
      </c>
      <c r="G25" s="29">
        <v>1.465295</v>
      </c>
      <c r="H25" s="31">
        <f>H37+H40</f>
        <v>1.2913100769230774</v>
      </c>
      <c r="I25" s="1"/>
      <c r="J25" s="1" t="s">
        <v>553</v>
      </c>
      <c r="K25" s="1"/>
    </row>
    <row r="26">
      <c r="A26" s="1"/>
      <c r="B26" s="1" t="s">
        <v>554</v>
      </c>
      <c r="C26" s="3">
        <f>-'Cash Flow Statement'!C40</f>
        <v>297.9</v>
      </c>
      <c r="D26" s="3">
        <f>-'Cash Flow Statement'!D40</f>
        <v>220.10000000000002</v>
      </c>
      <c r="E26" s="3">
        <f>-'Cash Flow Statement'!E40</f>
        <v>100</v>
      </c>
      <c r="F26" s="3">
        <f>-'Cash Flow Statement'!F40</f>
        <v>924.1</v>
      </c>
      <c r="G26" s="3">
        <f>-'Cash Flow Statement'!G40</f>
        <v>223.8</v>
      </c>
      <c r="H26" s="25">
        <f>H36+H38</f>
        <v>175.00000000000006</v>
      </c>
      <c r="I26" s="1"/>
      <c r="J26" s="1" t="s">
        <v>555</v>
      </c>
      <c r="K26" s="1"/>
    </row>
    <row r="27">
      <c r="A27" s="1"/>
      <c r="B27" s="7" t="s">
        <v>79</v>
      </c>
      <c r="C27" s="2" t="s">
        <v>26</v>
      </c>
      <c r="D27" s="2" t="s">
        <v>26</v>
      </c>
      <c r="E27" s="2" t="s">
        <v>26</v>
      </c>
      <c r="F27" s="2" t="s">
        <v>26</v>
      </c>
      <c r="G27" s="2" t="s">
        <v>26</v>
      </c>
      <c r="H27" s="14">
        <f>IF(AND(ISNUMBER(H26),ISNUMBER(C26)),H26/C26-1,"n/a")</f>
        <v>-0.4125545485062099</v>
      </c>
      <c r="I27" s="1"/>
      <c r="J27" s="1"/>
      <c r="K27" s="1"/>
    </row>
    <row r="28">
      <c r="A28" s="1"/>
      <c r="B28" s="1" t="s">
        <v>81</v>
      </c>
      <c r="C28" s="3" t="s">
        <v>26</v>
      </c>
      <c r="D28" s="3">
        <f>IF(AND(ISNUMBER(D26),ISNUMBER(C26)),D26-C26,"n/a")</f>
        <v>-77.79999999999995</v>
      </c>
      <c r="E28" s="3">
        <f>IF(AND(ISNUMBER(E26),ISNUMBER(D26)),E26-D26,"n/a")</f>
        <v>-120.10000000000002</v>
      </c>
      <c r="F28" s="3" t="s">
        <v>26</v>
      </c>
      <c r="G28" s="3">
        <f>IF(AND(ISNUMBER(G26),ISNUMBER(E26)),G26-E26,"n/a")</f>
        <v>123.80000000000001</v>
      </c>
      <c r="H28" s="25">
        <f>IF(AND(ISNUMBER(H26),ISNUMBER(G26)),H26-G26,"n/a")</f>
        <v>-48.799999999999955</v>
      </c>
      <c r="I28" s="1"/>
      <c r="J28" s="1"/>
      <c r="K28" s="1"/>
    </row>
    <row r="29">
      <c r="A29" s="1"/>
      <c r="B29" s="1" t="s">
        <v>556</v>
      </c>
      <c r="C29" s="29">
        <f>IF(AND(ISNUMBER(C26),ISNUMBER(C25)),IF(C25=0,"n/a",C26/C25),"n/a")</f>
        <v>171.1199597445895</v>
      </c>
      <c r="D29" s="29">
        <f>IF(AND(ISNUMBER(D26),ISNUMBER(D25)),IF(D25=0,"n/a",D26/D25),"n/a")</f>
        <v>135.05710626803653</v>
      </c>
      <c r="E29" s="29">
        <f>IF(AND(ISNUMBER(E26),ISNUMBER(E25)),IF(E25=0,"n/a",E26/E25),"n/a")</f>
        <v>154.60156085735844</v>
      </c>
      <c r="F29" s="29">
        <f>IF(AND(ISNUMBER(F26),ISNUMBER(F25)),IF(F25=0,"n/a",F26/F25),"n/a")</f>
        <v>163.4965509322453</v>
      </c>
      <c r="G29" s="29">
        <f>IF(AND(ISNUMBER(G26),ISNUMBER(G25)),IF(G25=0,"n/a",G26/G25),"n/a")</f>
        <v>152.73374985924337</v>
      </c>
      <c r="H29" s="31">
        <f>IF(AND(ISNUMBER(H26),ISNUMBER(H25)),IF(H25=0,"n/a",H26/H25),"n/a")</f>
        <v>135.52128425806802</v>
      </c>
      <c r="I29" s="1"/>
      <c r="J29" s="1"/>
      <c r="K29" s="1"/>
    </row>
    <row r="30">
      <c r="A30" s="1"/>
      <c r="B30" s="1" t="s">
        <v>557</v>
      </c>
      <c r="C30" s="4">
        <v>1.02</v>
      </c>
      <c r="D30" s="4">
        <v>1.02</v>
      </c>
      <c r="E30" s="4">
        <v>1.02</v>
      </c>
      <c r="F30" s="4">
        <v>4.08</v>
      </c>
      <c r="G30" s="4">
        <v>1.03</v>
      </c>
      <c r="H30" s="38">
        <v>1.03</v>
      </c>
      <c r="I30" s="1"/>
      <c r="J30" s="1" t="s">
        <v>558</v>
      </c>
      <c r="K30" s="1"/>
    </row>
    <row r="31">
      <c r="A31" s="1"/>
      <c r="B31" s="1" t="s">
        <v>559</v>
      </c>
      <c r="C31" s="3">
        <f>-'Cash Flow Statement'!C39</f>
        <v>178.90000000000003</v>
      </c>
      <c r="D31" s="3">
        <f>-'Cash Flow Statement'!D39</f>
        <v>177.69999999999993</v>
      </c>
      <c r="E31" s="3">
        <f>-'Cash Flow Statement'!E39</f>
        <v>176.9000000000001</v>
      </c>
      <c r="F31" s="3">
        <f>-'Cash Flow Statement'!F39</f>
        <v>715.7</v>
      </c>
      <c r="G31" s="3">
        <f>-'Cash Flow Statement'!G39</f>
        <v>178.7</v>
      </c>
      <c r="H31" s="25">
        <f>-'Cash Flow Statement'!H39</f>
        <v>175.84832085616924</v>
      </c>
      <c r="I31" s="1"/>
      <c r="J31" s="1"/>
      <c r="K31" s="1"/>
    </row>
    <row r="32">
      <c r="A32" s="1"/>
      <c r="B32" s="1"/>
      <c r="C32" s="1"/>
      <c r="D32" s="1"/>
      <c r="E32" s="1"/>
      <c r="F32" s="1"/>
      <c r="G32" s="1"/>
      <c r="H32" s="23"/>
      <c r="I32" s="1"/>
      <c r="J32" s="1"/>
      <c r="K32" s="1"/>
    </row>
    <row r="33">
      <c r="A33" s="1"/>
      <c r="B33" s="27" t="s">
        <v>560</v>
      </c>
      <c r="C33" s="1"/>
      <c r="D33" s="1"/>
      <c r="E33" s="1"/>
      <c r="F33" s="1"/>
      <c r="G33" s="1"/>
      <c r="H33" s="23"/>
      <c r="I33" s="1"/>
      <c r="J33" s="1"/>
      <c r="K33" s="1"/>
    </row>
    <row r="34">
      <c r="A34" s="1"/>
      <c r="B34" s="1" t="s">
        <v>561</v>
      </c>
      <c r="C34" s="3"/>
      <c r="D34" s="3"/>
      <c r="E34" s="3"/>
      <c r="F34" s="3"/>
      <c r="G34" s="3"/>
      <c r="H34" s="25">
        <v>1247.9</v>
      </c>
      <c r="I34" s="1"/>
      <c r="J34" s="1" t="s">
        <v>562</v>
      </c>
      <c r="K34" s="1"/>
    </row>
    <row r="35">
      <c r="A35" s="1"/>
      <c r="B35" s="1" t="s">
        <v>563</v>
      </c>
      <c r="C35" s="29"/>
      <c r="D35" s="29"/>
      <c r="E35" s="29"/>
      <c r="F35" s="29"/>
      <c r="G35" s="29"/>
      <c r="H35" s="31">
        <v>7.831789</v>
      </c>
      <c r="I35" s="1"/>
      <c r="J35" s="1" t="s">
        <v>564</v>
      </c>
      <c r="K35" s="1"/>
    </row>
    <row r="36" ht="54">
      <c r="A36" s="1"/>
      <c r="B36" s="1" t="s">
        <v>565</v>
      </c>
      <c r="C36" s="3"/>
      <c r="D36" s="3"/>
      <c r="E36" s="3"/>
      <c r="F36" s="3"/>
      <c r="G36" s="3"/>
      <c r="H36" s="25">
        <f>H34-F26-G26</f>
        <v>100.00000000000006</v>
      </c>
      <c r="I36" s="1"/>
      <c r="J36" s="55" t="s">
        <v>566</v>
      </c>
      <c r="K36" s="1"/>
    </row>
    <row r="37">
      <c r="A37" s="1"/>
      <c r="B37" s="1" t="s">
        <v>567</v>
      </c>
      <c r="C37" s="29"/>
      <c r="D37" s="29"/>
      <c r="E37" s="29"/>
      <c r="F37" s="29"/>
      <c r="G37" s="29"/>
      <c r="H37" s="31">
        <f>H35-F25-G25</f>
        <v>0.7143870000000005</v>
      </c>
      <c r="I37" s="1"/>
      <c r="J37" s="1"/>
      <c r="K37" s="1"/>
    </row>
    <row r="38">
      <c r="A38" s="1"/>
      <c r="B38" s="1" t="s">
        <v>568</v>
      </c>
      <c r="C38" s="3"/>
      <c r="D38" s="3"/>
      <c r="E38" s="3"/>
      <c r="F38" s="3"/>
      <c r="G38" s="3"/>
      <c r="H38" s="25">
        <v>75</v>
      </c>
      <c r="I38" s="1"/>
      <c r="J38" s="1"/>
      <c r="K38" s="1"/>
    </row>
    <row r="39" ht="54">
      <c r="A39" s="1"/>
      <c r="B39" s="1" t="s">
        <v>569</v>
      </c>
      <c r="C39" s="29"/>
      <c r="D39" s="29"/>
      <c r="E39" s="29"/>
      <c r="F39" s="29"/>
      <c r="G39" s="29"/>
      <c r="H39" s="31">
        <v>130</v>
      </c>
      <c r="I39" s="1"/>
      <c r="J39" s="55" t="s">
        <v>570</v>
      </c>
      <c r="K39" s="1"/>
    </row>
    <row r="40">
      <c r="A40" s="1"/>
      <c r="B40" s="1" t="s">
        <v>571</v>
      </c>
      <c r="C40" s="29"/>
      <c r="D40" s="29"/>
      <c r="E40" s="29"/>
      <c r="F40" s="29"/>
      <c r="G40" s="29"/>
      <c r="H40" s="31">
        <f>H38/H39</f>
        <v>0.5769230769230769</v>
      </c>
      <c r="I40" s="1"/>
      <c r="J40" s="1"/>
      <c r="K40" s="1"/>
    </row>
    <row r="41">
      <c r="A41" s="1"/>
      <c r="B41" s="1" t="s">
        <v>572</v>
      </c>
      <c r="C41" s="29"/>
      <c r="D41" s="29"/>
      <c r="E41" s="29"/>
      <c r="F41" s="29"/>
      <c r="G41" s="29"/>
      <c r="H41" s="31">
        <f>G48</f>
        <v>170.778434</v>
      </c>
      <c r="I41" s="1"/>
      <c r="J41" s="1" t="s">
        <v>573</v>
      </c>
      <c r="K41" s="1"/>
    </row>
    <row r="42">
      <c r="A42" s="1"/>
      <c r="B42" s="1" t="s">
        <v>574</v>
      </c>
      <c r="C42" s="29"/>
      <c r="D42" s="29"/>
      <c r="E42" s="29"/>
      <c r="F42" s="29"/>
      <c r="G42" s="29"/>
      <c r="H42" s="31">
        <f>H41+H37</f>
        <v>171.492821</v>
      </c>
      <c r="I42" s="1"/>
      <c r="J42" s="1"/>
      <c r="K42" s="1"/>
    </row>
    <row r="43">
      <c r="A43" s="1"/>
      <c r="B43" s="1" t="s">
        <v>575</v>
      </c>
      <c r="C43" s="29"/>
      <c r="D43" s="29"/>
      <c r="E43" s="29"/>
      <c r="F43" s="29"/>
      <c r="G43" s="29"/>
      <c r="H43" s="31">
        <v>0.86</v>
      </c>
      <c r="I43" s="1"/>
      <c r="J43" s="1" t="s">
        <v>576</v>
      </c>
      <c r="K43" s="1"/>
    </row>
    <row r="44">
      <c r="A44" s="1"/>
      <c r="B44" s="1" t="s">
        <v>577</v>
      </c>
      <c r="C44" s="29"/>
      <c r="D44" s="29"/>
      <c r="E44" s="29"/>
      <c r="F44" s="29"/>
      <c r="G44" s="29"/>
      <c r="H44" s="31">
        <v>0.35</v>
      </c>
      <c r="I44" s="1"/>
      <c r="J44" s="1" t="s">
        <v>578</v>
      </c>
      <c r="K44" s="1"/>
    </row>
    <row r="45">
      <c r="A45" s="1"/>
      <c r="B45" s="1" t="s">
        <v>579</v>
      </c>
      <c r="C45" s="29"/>
      <c r="D45" s="29"/>
      <c r="E45" s="29"/>
      <c r="F45" s="29"/>
      <c r="G45" s="29"/>
      <c r="H45" s="31">
        <v>0.05</v>
      </c>
      <c r="I45" s="1"/>
      <c r="J45" s="1"/>
      <c r="K45" s="1"/>
    </row>
    <row r="46">
      <c r="A46" s="1"/>
      <c r="B46" s="1"/>
      <c r="C46" s="1"/>
      <c r="D46" s="1"/>
      <c r="E46" s="1"/>
      <c r="F46" s="1"/>
      <c r="G46" s="1"/>
      <c r="H46" s="23"/>
      <c r="I46" s="1"/>
      <c r="J46" s="1"/>
      <c r="K46" s="1"/>
    </row>
    <row r="47">
      <c r="A47" s="1"/>
      <c r="B47" s="27" t="s">
        <v>580</v>
      </c>
      <c r="C47" s="1"/>
      <c r="D47" s="1"/>
      <c r="E47" s="1"/>
      <c r="F47" s="1"/>
      <c r="G47" s="1"/>
      <c r="H47" s="23"/>
      <c r="I47" s="1"/>
      <c r="J47" s="1"/>
      <c r="K47" s="1"/>
    </row>
    <row r="48">
      <c r="A48" s="1"/>
      <c r="B48" s="1" t="s">
        <v>581</v>
      </c>
      <c r="C48" s="29">
        <v>175.040503</v>
      </c>
      <c r="D48" s="29">
        <v>173.410822</v>
      </c>
      <c r="E48" s="29">
        <v>172.198467</v>
      </c>
      <c r="F48" s="29">
        <f>E48</f>
        <v>172.198467</v>
      </c>
      <c r="G48" s="29">
        <v>170.778434</v>
      </c>
      <c r="H48" s="31" t="s">
        <v>26</v>
      </c>
      <c r="I48" s="1"/>
      <c r="J48" s="1" t="s">
        <v>582</v>
      </c>
      <c r="K48" s="1"/>
    </row>
    <row r="49">
      <c r="A49" s="1"/>
      <c r="B49" s="12" t="s">
        <v>583</v>
      </c>
      <c r="C49" s="32" t="s">
        <v>26</v>
      </c>
      <c r="D49" s="32" t="s">
        <v>26</v>
      </c>
      <c r="E49" s="32" t="s">
        <v>26</v>
      </c>
      <c r="F49" s="32" t="s">
        <v>26</v>
      </c>
      <c r="G49" s="32" t="s">
        <v>26</v>
      </c>
      <c r="H49" s="41">
        <f>H19</f>
        <v>170.94652510307694</v>
      </c>
      <c r="I49" s="1"/>
      <c r="J49" s="1"/>
      <c r="K49" s="1"/>
    </row>
    <row r="50">
      <c r="A50" s="1"/>
      <c r="B50" s="7" t="s">
        <v>584</v>
      </c>
      <c r="C50" s="2" t="s">
        <v>26</v>
      </c>
      <c r="D50" s="2" t="s">
        <v>26</v>
      </c>
      <c r="E50" s="2" t="s">
        <v>26</v>
      </c>
      <c r="F50" s="2" t="s">
        <v>26</v>
      </c>
      <c r="G50" s="2" t="s">
        <v>26</v>
      </c>
      <c r="H50" s="14">
        <v>0.03</v>
      </c>
      <c r="I50" s="1"/>
      <c r="J50" s="1"/>
      <c r="K50" s="1"/>
    </row>
    <row r="51">
      <c r="A51" s="1"/>
      <c r="B51" s="1" t="s">
        <v>585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25">
        <f>IF(ABS(H19/G19-1)&lt;=H50,0,1)</f>
        <v>0</v>
      </c>
      <c r="I51" s="1"/>
      <c r="J51" s="1" t="s">
        <v>586</v>
      </c>
      <c r="K51" s="1"/>
    </row>
    <row r="52">
      <c r="A52" s="1"/>
      <c r="B52" s="1"/>
      <c r="C52" s="1"/>
      <c r="D52" s="1"/>
      <c r="E52" s="1"/>
      <c r="F52" s="1"/>
      <c r="G52" s="1"/>
      <c r="H52" s="23"/>
      <c r="I52" s="1"/>
      <c r="J52" s="1"/>
      <c r="K52" s="1"/>
    </row>
    <row r="53">
      <c r="A53" s="1"/>
      <c r="B53" s="1"/>
      <c r="C53" s="1"/>
      <c r="D53" s="1"/>
      <c r="E53" s="1"/>
      <c r="F53" s="1"/>
      <c r="G53" s="1"/>
      <c r="H53" s="23"/>
      <c r="I53" s="1"/>
      <c r="J53" s="1"/>
      <c r="K53" s="1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0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587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I5" s="1"/>
      <c r="K5" s="1"/>
    </row>
    <row r="6">
      <c r="A6" s="1"/>
      <c r="I6" s="1"/>
      <c r="J6" s="1"/>
      <c r="K6" s="1"/>
    </row>
    <row r="7">
      <c r="A7" s="1"/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ht="45">
      <c r="A9" s="1"/>
      <c r="B9" s="34" t="s">
        <v>588</v>
      </c>
      <c r="C9" s="6" t="s">
        <v>589</v>
      </c>
      <c r="D9" s="6" t="s">
        <v>69</v>
      </c>
      <c r="E9" s="6" t="s">
        <v>590</v>
      </c>
      <c r="F9" s="6" t="s">
        <v>591</v>
      </c>
      <c r="G9" s="6" t="s">
        <v>592</v>
      </c>
      <c r="H9" s="6" t="s">
        <v>593</v>
      </c>
      <c r="I9" s="51" t="s">
        <v>594</v>
      </c>
      <c r="J9" s="51" t="s">
        <v>38</v>
      </c>
      <c r="K9" s="1"/>
    </row>
    <row r="10">
      <c r="A10" s="1"/>
      <c r="B10" s="1" t="s">
        <v>595</v>
      </c>
      <c r="C10" s="4" t="s">
        <v>596</v>
      </c>
      <c r="D10" s="4" t="s">
        <v>597</v>
      </c>
      <c r="E10" s="4">
        <v>12.6</v>
      </c>
      <c r="F10" s="4">
        <v>12.9</v>
      </c>
      <c r="G10" s="4">
        <f>IF(AND(ISNUMBER(E10),ISNUMBER(F10)),AVERAGE(E10,F10),E10)</f>
        <v>12.75</v>
      </c>
      <c r="H10" s="4">
        <f>'Income Statement'!F159</f>
        <v>11.82</v>
      </c>
      <c r="I10" s="1" t="str">
        <f>IF(ISNUMBER(H10),IF(H10&gt;MAX(E10:F10)+1E-9,"Beat (above range)",IF(H10&lt;E10-1E-9,"Miss (below range)","In range")),"Pending")</f>
        <v>Miss (below range)</v>
      </c>
      <c r="J10" s="1" t="s">
        <v>598</v>
      </c>
      <c r="K10" s="1"/>
    </row>
    <row r="11">
      <c r="A11" s="1"/>
      <c r="B11" s="1" t="s">
        <v>599</v>
      </c>
      <c r="C11" s="4" t="s">
        <v>596</v>
      </c>
      <c r="D11" s="4" t="s">
        <v>597</v>
      </c>
      <c r="E11" s="4">
        <v>12.33</v>
      </c>
      <c r="F11" s="4">
        <v>12.63</v>
      </c>
      <c r="G11" s="4">
        <f>IF(AND(ISNUMBER(E11),ISNUMBER(F11)),AVERAGE(E11,F11),E11)</f>
        <v>12.48</v>
      </c>
      <c r="H11" s="4">
        <f>'Income Statement'!F91</f>
        <v>9.61</v>
      </c>
      <c r="I11" s="1" t="str">
        <f>IF(ISNUMBER(H11),IF(H11&gt;MAX(E11:F11)+1E-9,"Beat (above range)",IF(H11&lt;E11-1E-9,"Miss (below range)","In range")),"Pending")</f>
        <v>Miss (below range)</v>
      </c>
      <c r="J11" s="1" t="s">
        <v>598</v>
      </c>
      <c r="K11" s="1"/>
    </row>
    <row r="12">
      <c r="A12" s="1"/>
      <c r="B12" s="7" t="s">
        <v>600</v>
      </c>
      <c r="C12" s="2" t="s">
        <v>596</v>
      </c>
      <c r="D12" s="2" t="s">
        <v>597</v>
      </c>
      <c r="E12" s="2">
        <v>0</v>
      </c>
      <c r="F12" s="2">
        <v>0.03</v>
      </c>
      <c r="G12" s="2">
        <f>IF(AND(ISNUMBER(E12),ISNUMBER(F12)),AVERAGE(E12,F12),E12)</f>
        <v>0.015</v>
      </c>
      <c r="H12" s="2">
        <f>'Segment - Beer'!F66</f>
        <v>-0.026300381741961032</v>
      </c>
      <c r="I12" s="1" t="str">
        <f>IF(ISNUMBER(H12),IF(H12&gt;MAX(E12:F12)+1E-9,"Beat (above range)",IF(H12&lt;E12-1E-9,"Miss (below range)","In range")),"Pending")</f>
        <v>Miss (below range)</v>
      </c>
      <c r="J12" s="1" t="s">
        <v>598</v>
      </c>
      <c r="K12" s="1"/>
    </row>
    <row r="13">
      <c r="A13" s="1"/>
      <c r="B13" s="7" t="s">
        <v>601</v>
      </c>
      <c r="C13" s="2" t="s">
        <v>596</v>
      </c>
      <c r="D13" s="2" t="s">
        <v>597</v>
      </c>
      <c r="E13" s="2">
        <v>-0.02</v>
      </c>
      <c r="F13" s="2">
        <v>0.01</v>
      </c>
      <c r="G13" s="2">
        <f>IF(AND(ISNUMBER(E13),ISNUMBER(F13)),AVERAGE(E13,F13),E13)</f>
        <v>-0.005</v>
      </c>
      <c r="H13" s="2">
        <f>'Revenue summary'!F46</f>
        <v>-0.037746775467228044</v>
      </c>
      <c r="I13" s="1" t="str">
        <f>IF(ISNUMBER(H13),IF(H13&gt;MAX(E13:F13)+1E-9,"Beat (above range)",IF(H13&lt;E13-1E-9,"Miss (below range)","In range")),"Pending")</f>
        <v>Miss (below range)</v>
      </c>
      <c r="J13" s="1" t="s">
        <v>598</v>
      </c>
      <c r="K13" s="1"/>
    </row>
    <row r="14">
      <c r="A14" s="1"/>
      <c r="B14" s="1" t="s">
        <v>602</v>
      </c>
      <c r="C14" s="4" t="s">
        <v>603</v>
      </c>
      <c r="D14" s="4" t="s">
        <v>597</v>
      </c>
      <c r="E14" s="4">
        <v>12.07</v>
      </c>
      <c r="F14" s="4">
        <v>12.37</v>
      </c>
      <c r="G14" s="4">
        <f>IF(AND(ISNUMBER(E14),ISNUMBER(F14)),AVERAGE(E14,F14),E14)</f>
        <v>12.219999999999999</v>
      </c>
      <c r="H14" s="4">
        <f>'Income Statement'!F91</f>
        <v>9.61</v>
      </c>
      <c r="I14" s="1" t="str">
        <f>IF(ISNUMBER(H14),IF(H14&gt;MAX(E14:F14)+1E-9,"Beat (above range)",IF(H14&lt;E14-1E-9,"Miss (below range)","In range")),"Pending")</f>
        <v>Miss (below range)</v>
      </c>
      <c r="J14" s="1" t="s">
        <v>604</v>
      </c>
      <c r="K14" s="1"/>
    </row>
    <row r="15">
      <c r="A15" s="1"/>
      <c r="B15" s="1" t="s">
        <v>595</v>
      </c>
      <c r="C15" s="4" t="s">
        <v>605</v>
      </c>
      <c r="D15" s="4" t="s">
        <v>597</v>
      </c>
      <c r="E15" s="4">
        <v>11.3</v>
      </c>
      <c r="F15" s="4">
        <v>11.6</v>
      </c>
      <c r="G15" s="4">
        <f>IF(AND(ISNUMBER(E15),ISNUMBER(F15)),AVERAGE(E15,F15),E15)</f>
        <v>11.45</v>
      </c>
      <c r="H15" s="4">
        <f>'Income Statement'!F159</f>
        <v>11.82</v>
      </c>
      <c r="I15" s="1" t="str">
        <f>IF(ISNUMBER(H15),IF(H15&gt;MAX(E15:F15)+1E-9,"Beat (above range)",IF(H15&lt;E15-1E-9,"Miss (below range)","In range")),"Pending")</f>
        <v>Beat (above range)</v>
      </c>
      <c r="J15" s="1" t="s">
        <v>604</v>
      </c>
      <c r="K15" s="1"/>
    </row>
    <row r="16">
      <c r="A16" s="1"/>
      <c r="B16" s="1" t="s">
        <v>599</v>
      </c>
      <c r="C16" s="4" t="s">
        <v>605</v>
      </c>
      <c r="D16" s="4" t="s">
        <v>597</v>
      </c>
      <c r="E16" s="4">
        <v>10.77</v>
      </c>
      <c r="F16" s="4">
        <v>11.07</v>
      </c>
      <c r="G16" s="4">
        <f>IF(AND(ISNUMBER(E16),ISNUMBER(F16)),AVERAGE(E16,F16),E16)</f>
        <v>10.92</v>
      </c>
      <c r="H16" s="4">
        <f>'Income Statement'!F91</f>
        <v>9.61</v>
      </c>
      <c r="I16" s="1" t="str">
        <f>IF(ISNUMBER(H16),IF(H16&gt;MAX(E16:F16)+1E-9,"Beat (above range)",IF(H16&lt;E16-1E-9,"Miss (below range)","In range")),"Pending")</f>
        <v>Miss (below range)</v>
      </c>
      <c r="J16" s="1" t="s">
        <v>604</v>
      </c>
      <c r="K16" s="1"/>
    </row>
    <row r="17">
      <c r="A17" s="1"/>
      <c r="B17" s="7" t="s">
        <v>600</v>
      </c>
      <c r="C17" s="2" t="s">
        <v>605</v>
      </c>
      <c r="D17" s="2" t="s">
        <v>597</v>
      </c>
      <c r="E17" s="2">
        <v>-0.04</v>
      </c>
      <c r="F17" s="2">
        <v>-0.02</v>
      </c>
      <c r="G17" s="2">
        <f>IF(AND(ISNUMBER(E17),ISNUMBER(F17)),AVERAGE(E17,F17),E17)</f>
        <v>-0.03</v>
      </c>
      <c r="H17" s="2">
        <f>'Segment - Beer'!F66</f>
        <v>-0.026300381741961032</v>
      </c>
      <c r="I17" s="1" t="str">
        <f>IF(ISNUMBER(H17),IF(H17&gt;MAX(E17:F17)+1E-9,"Beat (above range)",IF(H17&lt;E17-1E-9,"Miss (below range)","In range")),"Pending")</f>
        <v>In range</v>
      </c>
      <c r="J17" s="1" t="s">
        <v>604</v>
      </c>
      <c r="K17" s="1"/>
    </row>
    <row r="18">
      <c r="A18" s="1"/>
      <c r="B18" s="7" t="s">
        <v>601</v>
      </c>
      <c r="C18" s="2" t="s">
        <v>605</v>
      </c>
      <c r="D18" s="2" t="s">
        <v>597</v>
      </c>
      <c r="E18" s="2">
        <v>-0.06</v>
      </c>
      <c r="F18" s="2">
        <v>-0.04</v>
      </c>
      <c r="G18" s="2">
        <f>IF(AND(ISNUMBER(E18),ISNUMBER(F18)),AVERAGE(E18,F18),E18)</f>
        <v>-0.05</v>
      </c>
      <c r="H18" s="2">
        <f>'Revenue summary'!F46</f>
        <v>-0.037746775467228044</v>
      </c>
      <c r="I18" s="1" t="str">
        <f>IF(ISNUMBER(H18),IF(H18&gt;MAX(E18:F18)+1E-9,"Beat (above range)",IF(H18&lt;E18-1E-9,"Miss (below range)","In range")),"Pending")</f>
        <v>Beat (above range)</v>
      </c>
      <c r="J18" s="1" t="s">
        <v>604</v>
      </c>
      <c r="K18" s="1"/>
    </row>
    <row r="19">
      <c r="A19" s="1"/>
      <c r="B19" s="7" t="s">
        <v>606</v>
      </c>
      <c r="C19" s="2" t="s">
        <v>605</v>
      </c>
      <c r="D19" s="2" t="s">
        <v>597</v>
      </c>
      <c r="E19" s="2">
        <v>-0.09</v>
      </c>
      <c r="F19" s="2">
        <v>-0.07</v>
      </c>
      <c r="G19" s="2">
        <f>IF(AND(ISNUMBER(E19),ISNUMBER(F19)),AVERAGE(E19,F19),E19)</f>
        <v>-0.08</v>
      </c>
      <c r="H19" s="2">
        <f>'Segment - Beer'!F108</f>
        <v>-0.0687603111006364</v>
      </c>
      <c r="I19" s="1" t="str">
        <f>IF(ISNUMBER(H19),IF(H19&gt;MAX(E19:F19)+1E-9,"Beat (above range)",IF(H19&lt;E19-1E-9,"Miss (below range)","In range")),"Pending")</f>
        <v>Beat (above range)</v>
      </c>
      <c r="J19" s="1" t="s">
        <v>604</v>
      </c>
      <c r="K19" s="1"/>
    </row>
    <row r="20">
      <c r="A20" s="1"/>
      <c r="B20" s="1" t="s">
        <v>607</v>
      </c>
      <c r="C20" s="3" t="s">
        <v>605</v>
      </c>
      <c r="D20" s="3" t="s">
        <v>597</v>
      </c>
      <c r="E20" s="3">
        <v>225</v>
      </c>
      <c r="F20" s="3">
        <v>225</v>
      </c>
      <c r="G20" s="3">
        <f>IF(AND(ISNUMBER(E20),ISNUMBER(F20)),AVERAGE(E20,F20),E20)</f>
        <v>225</v>
      </c>
      <c r="H20" s="3">
        <f>-'Income Statement'!F103</f>
        <v>228.3</v>
      </c>
      <c r="I20" s="1" t="str">
        <f>IF(ISNUMBER(H20),IF(H20&lt;E20-1E-9,"Beat (below guide)",IF(H20&gt;MAX(E20:F20)+1E-9,"Miss (above guide)","In line")),"Pending")</f>
        <v>Miss (above guide)</v>
      </c>
      <c r="J20" s="1" t="s">
        <v>604</v>
      </c>
      <c r="K20" s="1"/>
    </row>
    <row r="21">
      <c r="A21" s="1"/>
      <c r="B21" s="7" t="s">
        <v>66</v>
      </c>
      <c r="C21" s="2" t="s">
        <v>605</v>
      </c>
      <c r="D21" s="2" t="s">
        <v>597</v>
      </c>
      <c r="E21" s="2">
        <v>0.19</v>
      </c>
      <c r="F21" s="2">
        <v>0.19</v>
      </c>
      <c r="G21" s="2">
        <f>IF(AND(ISNUMBER(E21),ISNUMBER(F21)),AVERAGE(E21,F21),E21)</f>
        <v>0.19</v>
      </c>
      <c r="H21" s="2">
        <f>'Income Statement'!F183</f>
        <v>0.17861929011754796</v>
      </c>
      <c r="I21" s="1" t="str">
        <f>IF(ISNUMBER(H21),IF(H21&lt;E21-1E-9,"Beat (below guide)",IF(H21&gt;MAX(E21:F21)+1E-9,"Miss (above guide)","In line")),"Pending")</f>
        <v>Beat (below guide)</v>
      </c>
      <c r="J21" s="1" t="s">
        <v>604</v>
      </c>
      <c r="K21" s="1"/>
    </row>
    <row r="22">
      <c r="A22" s="1"/>
      <c r="B22" s="1" t="s">
        <v>608</v>
      </c>
      <c r="C22" s="3" t="s">
        <v>605</v>
      </c>
      <c r="D22" s="3" t="s">
        <v>597</v>
      </c>
      <c r="E22" s="3">
        <v>370</v>
      </c>
      <c r="F22" s="3">
        <v>370</v>
      </c>
      <c r="G22" s="3">
        <f>IF(AND(ISNUMBER(E22),ISNUMBER(F22)),AVERAGE(E22,F22),E22)</f>
        <v>370</v>
      </c>
      <c r="H22" s="3">
        <f>-'Income Statement'!F172</f>
        <v>350.6</v>
      </c>
      <c r="I22" s="1" t="str">
        <f>IF(ISNUMBER(H22),IF(H22&lt;E22-1E-9,"Beat (below guide)",IF(H22&gt;MAX(E22:F22)+1E-9,"Miss (above guide)","In line")),"Pending")</f>
        <v>Beat (below guide)</v>
      </c>
      <c r="J22" s="1" t="s">
        <v>604</v>
      </c>
      <c r="K22" s="1"/>
    </row>
    <row r="23">
      <c r="A23" s="1"/>
      <c r="B23" s="7" t="s">
        <v>609</v>
      </c>
      <c r="C23" s="2" t="s">
        <v>605</v>
      </c>
      <c r="D23" s="2" t="s">
        <v>610</v>
      </c>
      <c r="E23" s="2">
        <v>-0.07</v>
      </c>
      <c r="F23" s="2">
        <v>-0.06</v>
      </c>
      <c r="G23" s="2">
        <f>IF(AND(ISNUMBER(E23),ISNUMBER(F23)),AVERAGE(E23,F23),E23)</f>
        <v>-0.065</v>
      </c>
      <c r="H23" s="2">
        <f>'Segment - Beer'!C30</f>
        <v>-0.060091757387247174</v>
      </c>
      <c r="I23" s="1" t="str">
        <f>IF(ISNUMBER(H23),IF(H23&gt;MAX(E23:F23)+1E-9,"Beat (above range)",IF(H23&lt;E23-1E-9,"Miss (below range)","In range")),"Pending")</f>
        <v>In range</v>
      </c>
      <c r="J23" s="1" t="s">
        <v>604</v>
      </c>
      <c r="K23" s="1"/>
    </row>
    <row r="24">
      <c r="A24" s="1"/>
      <c r="B24" s="1" t="s">
        <v>611</v>
      </c>
      <c r="C24" s="3" t="s">
        <v>605</v>
      </c>
      <c r="D24" s="3" t="s">
        <v>597</v>
      </c>
      <c r="E24" s="3">
        <v>2500</v>
      </c>
      <c r="F24" s="3">
        <v>2600</v>
      </c>
      <c r="G24" s="3">
        <f>IF(AND(ISNUMBER(E24),ISNUMBER(F24)),AVERAGE(E24,F24),E24)</f>
        <v>2550</v>
      </c>
      <c r="H24" s="3">
        <f>'Cash Flow Statement'!F24</f>
        <v>2669</v>
      </c>
      <c r="I24" s="1" t="str">
        <f>IF(ISNUMBER(H24),IF(H24&gt;MAX(E24:F24)+1E-9,"Beat (above range)",IF(H24&lt;E24-1E-9,"Miss (below range)","In range")),"Pending")</f>
        <v>Beat (above range)</v>
      </c>
      <c r="J24" s="1" t="s">
        <v>604</v>
      </c>
      <c r="K24" s="1"/>
    </row>
    <row r="25">
      <c r="A25" s="1"/>
      <c r="B25" s="1" t="s">
        <v>612</v>
      </c>
      <c r="C25" s="3" t="s">
        <v>605</v>
      </c>
      <c r="D25" s="3" t="s">
        <v>597</v>
      </c>
      <c r="E25" s="3">
        <v>1300</v>
      </c>
      <c r="F25" s="3">
        <v>1400</v>
      </c>
      <c r="G25" s="3">
        <f>IF(AND(ISNUMBER(E25),ISNUMBER(F25)),AVERAGE(E25,F25),E25)</f>
        <v>1350</v>
      </c>
      <c r="H25" s="3">
        <f>'Cash Flow Statement'!F52</f>
        <v>1794</v>
      </c>
      <c r="I25" s="1" t="str">
        <f>IF(ISNUMBER(H25),IF(H25&gt;MAX(E25:F25)+1E-9,"Beat (above range)",IF(H25&lt;E25-1E-9,"Miss (below range)","In range")),"Pending")</f>
        <v>Beat (above range)</v>
      </c>
      <c r="J25" s="1" t="s">
        <v>604</v>
      </c>
      <c r="K25" s="1"/>
    </row>
    <row r="26">
      <c r="A26" s="1"/>
      <c r="B26" s="1" t="s">
        <v>599</v>
      </c>
      <c r="C26" s="4" t="s">
        <v>613</v>
      </c>
      <c r="D26" s="4" t="s">
        <v>597</v>
      </c>
      <c r="E26" s="4">
        <v>9.86</v>
      </c>
      <c r="F26" s="4">
        <v>10.16</v>
      </c>
      <c r="G26" s="4">
        <f>IF(AND(ISNUMBER(E26),ISNUMBER(F26)),AVERAGE(E26,F26),E26)</f>
        <v>10.01</v>
      </c>
      <c r="H26" s="4">
        <f>'Income Statement'!F91</f>
        <v>9.61</v>
      </c>
      <c r="I26" s="1" t="str">
        <f>IF(ISNUMBER(H26),IF(H26&gt;MAX(E26:F26)+1E-9,"Beat (above range)",IF(H26&lt;E26-1E-9,"Miss (below range)","In range")),"Pending")</f>
        <v>Miss (below range)</v>
      </c>
      <c r="J26" s="1" t="s">
        <v>614</v>
      </c>
      <c r="K26" s="1"/>
    </row>
    <row r="27">
      <c r="A27" s="1"/>
      <c r="B27" s="1" t="s">
        <v>615</v>
      </c>
      <c r="C27" s="4" t="s">
        <v>613</v>
      </c>
      <c r="D27" s="4" t="s">
        <v>597</v>
      </c>
      <c r="E27" s="4">
        <v>11.3</v>
      </c>
      <c r="F27" s="4">
        <v>11.6</v>
      </c>
      <c r="G27" s="4">
        <f>IF(AND(ISNUMBER(E27),ISNUMBER(F27)),AVERAGE(E27,F27),E27)</f>
        <v>11.45</v>
      </c>
      <c r="H27" s="4">
        <f>'Income Statement'!F159</f>
        <v>11.82</v>
      </c>
      <c r="I27" s="1" t="str">
        <f>IF(ISNUMBER(H27),IF(H27&gt;MAX(E27:F27)+1E-9,"Beat (above range)",IF(H27&lt;E27-1E-9,"Miss (below range)","In range")),"Pending")</f>
        <v>Beat (above range)</v>
      </c>
      <c r="J27" s="1" t="s">
        <v>614</v>
      </c>
      <c r="K27" s="1"/>
    </row>
    <row r="28">
      <c r="A28" s="1"/>
      <c r="B28" s="1" t="s">
        <v>599</v>
      </c>
      <c r="C28" s="4" t="s">
        <v>616</v>
      </c>
      <c r="D28" s="4" t="s">
        <v>597</v>
      </c>
      <c r="E28" s="4">
        <v>9.72</v>
      </c>
      <c r="F28" s="4">
        <v>10.02</v>
      </c>
      <c r="G28" s="4">
        <f>IF(AND(ISNUMBER(E28),ISNUMBER(F28)),AVERAGE(E28,F28),E28)</f>
        <v>9.870000000000001</v>
      </c>
      <c r="H28" s="4">
        <f>'Income Statement'!F91</f>
        <v>9.61</v>
      </c>
      <c r="I28" s="1" t="str">
        <f>IF(ISNUMBER(H28),IF(H28&gt;MAX(E28:F28)+1E-9,"Beat (above range)",IF(H28&lt;E28-1E-9,"Miss (below range)","In range")),"Pending")</f>
        <v>Miss (below range)</v>
      </c>
      <c r="J28" s="1" t="s">
        <v>617</v>
      </c>
      <c r="K28" s="1"/>
    </row>
    <row r="29">
      <c r="A29" s="1"/>
      <c r="B29" s="1" t="s">
        <v>615</v>
      </c>
      <c r="C29" s="4" t="s">
        <v>616</v>
      </c>
      <c r="D29" s="4" t="s">
        <v>597</v>
      </c>
      <c r="E29" s="4">
        <v>11.3</v>
      </c>
      <c r="F29" s="4">
        <v>11.6</v>
      </c>
      <c r="G29" s="4">
        <f>IF(AND(ISNUMBER(E29),ISNUMBER(F29)),AVERAGE(E29,F29),E29)</f>
        <v>11.45</v>
      </c>
      <c r="H29" s="4">
        <f>'Income Statement'!F159</f>
        <v>11.82</v>
      </c>
      <c r="I29" s="1" t="str">
        <f>IF(ISNUMBER(H29),IF(H29&gt;MAX(E29:F29)+1E-9,"Beat (above range)",IF(H29&lt;E29-1E-9,"Miss (below range)","In range")),"Pending")</f>
        <v>Beat (above range)</v>
      </c>
      <c r="J29" s="1" t="s">
        <v>617</v>
      </c>
      <c r="K29" s="1"/>
    </row>
    <row r="30">
      <c r="A30" s="1"/>
      <c r="B30" s="1" t="s">
        <v>595</v>
      </c>
      <c r="C30" s="4" t="s">
        <v>618</v>
      </c>
      <c r="D30" s="4" t="s">
        <v>619</v>
      </c>
      <c r="E30" s="4">
        <v>11.2</v>
      </c>
      <c r="F30" s="4">
        <v>11.9</v>
      </c>
      <c r="G30" s="4">
        <f>IF(AND(ISNUMBER(E30),ISNUMBER(F30)),AVERAGE(E30,F30),E30)</f>
        <v>11.55</v>
      </c>
      <c r="H30" s="4" t="s">
        <v>620</v>
      </c>
      <c r="I30" s="1" t="str">
        <f>IF(ISNUMBER(H30),IF(H30&gt;MAX(E30:F30)+1E-9,"Beat (above range)",IF(H30&lt;E30-1E-9,"Miss (below range)","In range")),"Pending")</f>
        <v>Pending</v>
      </c>
      <c r="J30" s="1" t="s">
        <v>621</v>
      </c>
      <c r="K30" s="1"/>
    </row>
    <row r="31">
      <c r="A31" s="1"/>
      <c r="B31" s="1" t="s">
        <v>599</v>
      </c>
      <c r="C31" s="4" t="s">
        <v>618</v>
      </c>
      <c r="D31" s="4" t="s">
        <v>619</v>
      </c>
      <c r="E31" s="4">
        <v>11.1</v>
      </c>
      <c r="F31" s="4">
        <v>11.8</v>
      </c>
      <c r="G31" s="4">
        <f>IF(AND(ISNUMBER(E31),ISNUMBER(F31)),AVERAGE(E31,F31),E31)</f>
        <v>11.45</v>
      </c>
      <c r="H31" s="4" t="s">
        <v>620</v>
      </c>
      <c r="I31" s="1" t="str">
        <f>IF(ISNUMBER(H31),IF(H31&gt;MAX(E31:F31)+1E-9,"Beat (above range)",IF(H31&lt;E31-1E-9,"Miss (below range)","In range")),"Pending")</f>
        <v>Pending</v>
      </c>
      <c r="J31" s="1" t="s">
        <v>621</v>
      </c>
      <c r="K31" s="1"/>
    </row>
    <row r="32">
      <c r="A32" s="1"/>
      <c r="B32" s="1" t="s">
        <v>615</v>
      </c>
      <c r="C32" s="4" t="s">
        <v>622</v>
      </c>
      <c r="D32" s="4" t="s">
        <v>619</v>
      </c>
      <c r="E32" s="4">
        <v>11.2</v>
      </c>
      <c r="F32" s="4">
        <v>11.9</v>
      </c>
      <c r="G32" s="4">
        <f>IF(AND(ISNUMBER(E32),ISNUMBER(F32)),AVERAGE(E32,F32),E32)</f>
        <v>11.55</v>
      </c>
      <c r="H32" s="4" t="s">
        <v>620</v>
      </c>
      <c r="I32" s="1" t="str">
        <f>IF(ISNUMBER(H32),IF(H32&gt;MAX(E32:F32)+1E-9,"Beat (above range)",IF(H32&lt;E32-1E-9,"Miss (below range)","In range")),"Pending")</f>
        <v>Pending</v>
      </c>
      <c r="J32" s="1" t="s">
        <v>226</v>
      </c>
      <c r="K32" s="1"/>
    </row>
    <row r="33">
      <c r="A33" s="1"/>
      <c r="B33" s="1" t="s">
        <v>623</v>
      </c>
      <c r="C33" s="4" t="s">
        <v>622</v>
      </c>
      <c r="D33" s="4" t="s">
        <v>619</v>
      </c>
      <c r="E33" s="4">
        <v>11.5</v>
      </c>
      <c r="F33" s="4">
        <v>12.2</v>
      </c>
      <c r="G33" s="4">
        <f>IF(AND(ISNUMBER(E33),ISNUMBER(F33)),AVERAGE(E33,F33),E33)</f>
        <v>11.85</v>
      </c>
      <c r="H33" s="4" t="s">
        <v>620</v>
      </c>
      <c r="I33" s="1" t="str">
        <f>IF(ISNUMBER(H33),IF(H33&gt;MAX(E33:F33)+1E-9,"Beat (above range)",IF(H33&lt;E33-1E-9,"Miss (below range)","In range")),"Pending")</f>
        <v>Pending</v>
      </c>
      <c r="J33" s="1" t="s">
        <v>226</v>
      </c>
      <c r="K33" s="1"/>
    </row>
    <row r="34">
      <c r="A34" s="1"/>
      <c r="B34" s="1" t="s">
        <v>624</v>
      </c>
      <c r="C34" s="3" t="s">
        <v>622</v>
      </c>
      <c r="D34" s="3" t="s">
        <v>619</v>
      </c>
      <c r="E34" s="3">
        <v>8910</v>
      </c>
      <c r="F34" s="3">
        <v>9090</v>
      </c>
      <c r="G34" s="3">
        <f>IF(AND(ISNUMBER(E34),ISNUMBER(F34)),AVERAGE(E34,F34),E34)</f>
        <v>9000</v>
      </c>
      <c r="H34" s="3" t="s">
        <v>620</v>
      </c>
      <c r="I34" s="1" t="str">
        <f>IF(ISNUMBER(H34),IF(H34&gt;MAX(E34:F34)+1E-9,"Beat (above range)",IF(H34&lt;E34-1E-9,"Miss (below range)","In range")),"Pending")</f>
        <v>Pending</v>
      </c>
      <c r="J34" s="1" t="s">
        <v>226</v>
      </c>
      <c r="K34" s="1"/>
    </row>
    <row r="35">
      <c r="A35" s="1"/>
      <c r="B35" s="7" t="s">
        <v>601</v>
      </c>
      <c r="C35" s="2" t="s">
        <v>622</v>
      </c>
      <c r="D35" s="2" t="s">
        <v>619</v>
      </c>
      <c r="E35" s="2">
        <v>-0.01</v>
      </c>
      <c r="F35" s="2">
        <v>0.01</v>
      </c>
      <c r="G35" s="2">
        <f>IF(AND(ISNUMBER(E35),ISNUMBER(F35)),AVERAGE(E35,F35),E35)</f>
        <v>0</v>
      </c>
      <c r="H35" s="2" t="s">
        <v>620</v>
      </c>
      <c r="I35" s="1" t="str">
        <f>IF(ISNUMBER(H35),IF(H35&gt;MAX(E35:F35)+1E-9,"Beat (above range)",IF(H35&lt;E35-1E-9,"Miss (below range)","In range")),"Pending")</f>
        <v>Pending</v>
      </c>
      <c r="J35" s="1" t="s">
        <v>226</v>
      </c>
      <c r="K35" s="1"/>
    </row>
    <row r="36">
      <c r="A36" s="1"/>
      <c r="B36" s="7" t="s">
        <v>600</v>
      </c>
      <c r="C36" s="2" t="s">
        <v>622</v>
      </c>
      <c r="D36" s="2" t="s">
        <v>619</v>
      </c>
      <c r="E36" s="2">
        <v>-0.01</v>
      </c>
      <c r="F36" s="2">
        <v>0.01</v>
      </c>
      <c r="G36" s="2">
        <f>IF(AND(ISNUMBER(E36),ISNUMBER(F36)),AVERAGE(E36,F36),E36)</f>
        <v>0</v>
      </c>
      <c r="H36" s="2" t="s">
        <v>620</v>
      </c>
      <c r="I36" s="1" t="str">
        <f>IF(ISNUMBER(H36),IF(H36&gt;MAX(E36:F36)+1E-9,"Beat (above range)",IF(H36&lt;E36-1E-9,"Miss (below range)","In range")),"Pending")</f>
        <v>Pending</v>
      </c>
      <c r="J36" s="1" t="s">
        <v>226</v>
      </c>
      <c r="K36" s="1"/>
    </row>
    <row r="37">
      <c r="A37" s="1"/>
      <c r="B37" s="7" t="s">
        <v>625</v>
      </c>
      <c r="C37" s="2" t="s">
        <v>622</v>
      </c>
      <c r="D37" s="2" t="s">
        <v>619</v>
      </c>
      <c r="E37" s="2">
        <v>-0.01</v>
      </c>
      <c r="F37" s="2">
        <v>0.01</v>
      </c>
      <c r="G37" s="2">
        <f>IF(AND(ISNUMBER(E37),ISNUMBER(F37)),AVERAGE(E37,F37),E37)</f>
        <v>0</v>
      </c>
      <c r="H37" s="2" t="s">
        <v>620</v>
      </c>
      <c r="I37" s="1" t="str">
        <f>IF(ISNUMBER(H37),IF(H37&gt;MAX(E37:F37)+1E-9,"Beat (above range)",IF(H37&lt;E37-1E-9,"Miss (below range)","In range")),"Pending")</f>
        <v>Pending</v>
      </c>
      <c r="J37" s="1" t="s">
        <v>226</v>
      </c>
      <c r="K37" s="1"/>
    </row>
    <row r="38">
      <c r="A38" s="1"/>
      <c r="B38" s="7" t="s">
        <v>626</v>
      </c>
      <c r="C38" s="2" t="s">
        <v>622</v>
      </c>
      <c r="D38" s="2" t="s">
        <v>619</v>
      </c>
      <c r="E38" s="2">
        <v>0.32</v>
      </c>
      <c r="F38" s="2">
        <v>0.33</v>
      </c>
      <c r="G38" s="2">
        <f>IF(AND(ISNUMBER(E38),ISNUMBER(F38)),AVERAGE(E38,F38),E38)</f>
        <v>0.325</v>
      </c>
      <c r="H38" s="2" t="s">
        <v>620</v>
      </c>
      <c r="I38" s="1" t="str">
        <f>IF(ISNUMBER(H38),IF(H38&gt;MAX(E38:F38)+1E-9,"Beat (above range)",IF(H38&lt;E38-1E-9,"Miss (below range)","In range")),"Pending")</f>
        <v>Pending</v>
      </c>
      <c r="J38" s="1" t="s">
        <v>226</v>
      </c>
      <c r="K38" s="1"/>
    </row>
    <row r="39">
      <c r="A39" s="1"/>
      <c r="B39" s="7" t="s">
        <v>65</v>
      </c>
      <c r="C39" s="2" t="s">
        <v>622</v>
      </c>
      <c r="D39" s="2" t="s">
        <v>619</v>
      </c>
      <c r="E39" s="2">
        <v>0.37</v>
      </c>
      <c r="F39" s="2">
        <v>0.38</v>
      </c>
      <c r="G39" s="2">
        <f>IF(AND(ISNUMBER(E39),ISNUMBER(F39)),AVERAGE(E39,F39),E39)</f>
        <v>0.375</v>
      </c>
      <c r="H39" s="2" t="s">
        <v>620</v>
      </c>
      <c r="I39" s="1" t="str">
        <f>IF(ISNUMBER(H39),IF(H39&gt;MAX(E39:F39)+1E-9,"Beat (above range)",IF(H39&lt;E39-1E-9,"Miss (below range)","In range")),"Pending")</f>
        <v>Pending</v>
      </c>
      <c r="J39" s="1" t="s">
        <v>226</v>
      </c>
      <c r="K39" s="1"/>
    </row>
    <row r="40">
      <c r="A40" s="1"/>
      <c r="B40" s="7" t="s">
        <v>627</v>
      </c>
      <c r="C40" s="2" t="s">
        <v>622</v>
      </c>
      <c r="D40" s="2" t="s">
        <v>619</v>
      </c>
      <c r="E40" s="2">
        <v>0.05</v>
      </c>
      <c r="F40" s="2">
        <v>0.06</v>
      </c>
      <c r="G40" s="2">
        <f>IF(AND(ISNUMBER(E40),ISNUMBER(F40)),AVERAGE(E40,F40),E40)</f>
        <v>0.055</v>
      </c>
      <c r="H40" s="2" t="s">
        <v>620</v>
      </c>
      <c r="I40" s="1" t="str">
        <f>IF(ISNUMBER(H40),IF(H40&gt;MAX(E40:F40)+1E-9,"Beat (above range)",IF(H40&lt;E40-1E-9,"Miss (below range)","In range")),"Pending")</f>
        <v>Pending</v>
      </c>
      <c r="J40" s="1" t="s">
        <v>226</v>
      </c>
      <c r="K40" s="1"/>
    </row>
    <row r="41">
      <c r="A41" s="1"/>
      <c r="B41" s="7" t="s">
        <v>66</v>
      </c>
      <c r="C41" s="2" t="s">
        <v>622</v>
      </c>
      <c r="D41" s="2" t="s">
        <v>619</v>
      </c>
      <c r="E41" s="2">
        <v>0.2</v>
      </c>
      <c r="F41" s="2">
        <v>0.2</v>
      </c>
      <c r="G41" s="2">
        <f>IF(AND(ISNUMBER(E41),ISNUMBER(F41)),AVERAGE(E41,F41),E41)</f>
        <v>0.2</v>
      </c>
      <c r="H41" s="2" t="s">
        <v>620</v>
      </c>
      <c r="I41" s="1" t="str">
        <f>IF(ISNUMBER(H41),IF(H41&lt;E41-1E-9,"Beat (below guide)",IF(H41&gt;MAX(E41:F41)+1E-9,"Miss (above guide)","In line")),"Pending")</f>
        <v>Pending</v>
      </c>
      <c r="J41" s="1" t="s">
        <v>226</v>
      </c>
      <c r="K41" s="1"/>
    </row>
    <row r="42">
      <c r="A42" s="1"/>
      <c r="B42" s="1" t="s">
        <v>611</v>
      </c>
      <c r="C42" s="3" t="s">
        <v>622</v>
      </c>
      <c r="D42" s="3" t="s">
        <v>619</v>
      </c>
      <c r="E42" s="3">
        <v>2400</v>
      </c>
      <c r="F42" s="3">
        <v>2500</v>
      </c>
      <c r="G42" s="3">
        <f>IF(AND(ISNUMBER(E42),ISNUMBER(F42)),AVERAGE(E42,F42),E42)</f>
        <v>2450</v>
      </c>
      <c r="H42" s="3" t="s">
        <v>620</v>
      </c>
      <c r="I42" s="1" t="str">
        <f>IF(ISNUMBER(H42),IF(H42&gt;MAX(E42:F42)+1E-9,"Beat (above range)",IF(H42&lt;E42-1E-9,"Miss (below range)","In range")),"Pending")</f>
        <v>Pending</v>
      </c>
      <c r="J42" s="1" t="s">
        <v>226</v>
      </c>
      <c r="K42" s="1"/>
    </row>
    <row r="43">
      <c r="A43" s="1"/>
      <c r="B43" s="1" t="s">
        <v>628</v>
      </c>
      <c r="C43" s="3" t="s">
        <v>622</v>
      </c>
      <c r="D43" s="3" t="s">
        <v>619</v>
      </c>
      <c r="E43" s="3">
        <v>800</v>
      </c>
      <c r="F43" s="3">
        <v>800</v>
      </c>
      <c r="G43" s="3">
        <f>IF(AND(ISNUMBER(E43),ISNUMBER(F43)),AVERAGE(E43,F43),E43)</f>
        <v>800</v>
      </c>
      <c r="H43" s="3" t="s">
        <v>620</v>
      </c>
      <c r="I43" s="1" t="str">
        <f>IF(ISNUMBER(H43),IF(H43&lt;E43-1E-9,"Beat (below guide)",IF(H43&gt;MAX(E43:F43)+1E-9,"Miss (above guide)","In line")),"Pending")</f>
        <v>Pending</v>
      </c>
      <c r="J43" s="1" t="s">
        <v>226</v>
      </c>
      <c r="K43" s="1"/>
    </row>
    <row r="44">
      <c r="A44" s="1"/>
      <c r="B44" s="1" t="s">
        <v>612</v>
      </c>
      <c r="C44" s="3" t="s">
        <v>622</v>
      </c>
      <c r="D44" s="3" t="s">
        <v>619</v>
      </c>
      <c r="E44" s="3">
        <v>1600</v>
      </c>
      <c r="F44" s="3">
        <v>1700</v>
      </c>
      <c r="G44" s="3">
        <f>IF(AND(ISNUMBER(E44),ISNUMBER(F44)),AVERAGE(E44,F44),E44)</f>
        <v>1650</v>
      </c>
      <c r="H44" s="3" t="s">
        <v>620</v>
      </c>
      <c r="I44" s="1" t="str">
        <f>IF(ISNUMBER(H44),IF(H44&gt;MAX(E44:F44)+1E-9,"Beat (above range)",IF(H44&lt;E44-1E-9,"Miss (below range)","In range")),"Pending")</f>
        <v>Pending</v>
      </c>
      <c r="J44" s="1" t="s">
        <v>226</v>
      </c>
      <c r="K44" s="1"/>
    </row>
    <row r="45">
      <c r="A45" s="1"/>
      <c r="B45" s="7" t="s">
        <v>629</v>
      </c>
      <c r="C45" s="2" t="s">
        <v>630</v>
      </c>
      <c r="D45" s="2" t="s">
        <v>631</v>
      </c>
      <c r="E45" s="2">
        <v>0.1</v>
      </c>
      <c r="F45" s="2" t="s">
        <v>26</v>
      </c>
      <c r="G45" s="2">
        <f>IF(AND(ISNUMBER(E45),ISNUMBER(F45)),AVERAGE(E45,F45),E45)</f>
        <v>0.1</v>
      </c>
      <c r="H45" s="2">
        <f>'Segment - Beer'!H92</f>
        <v>0.102</v>
      </c>
      <c r="I45" s="1" t="str">
        <f>IF(ISNUMBER(H45),IF(H45&gt;E45,"Consistent","Below guide"),"Pending")</f>
        <v>Consistent</v>
      </c>
      <c r="J45" s="1" t="s">
        <v>632</v>
      </c>
      <c r="K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K4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2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633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I5" s="1"/>
      <c r="K5" s="1"/>
    </row>
    <row r="6">
      <c r="A6" s="1"/>
      <c r="I6" s="1"/>
      <c r="J6" s="1"/>
      <c r="K6" s="1"/>
    </row>
    <row r="7">
      <c r="A7" s="1"/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ht="45">
      <c r="A9" s="1"/>
      <c r="B9" s="34" t="s">
        <v>634</v>
      </c>
      <c r="C9" s="6" t="s">
        <v>635</v>
      </c>
      <c r="D9" s="6" t="s">
        <v>636</v>
      </c>
      <c r="E9" s="51" t="s">
        <v>637</v>
      </c>
      <c r="F9" s="6"/>
      <c r="G9" s="6"/>
      <c r="H9" s="6"/>
      <c r="I9" s="6"/>
      <c r="J9" s="51" t="s">
        <v>638</v>
      </c>
      <c r="K9" s="1"/>
    </row>
    <row r="10">
      <c r="A10" s="1"/>
      <c r="B10" s="1" t="s">
        <v>55</v>
      </c>
      <c r="C10" s="43" t="s">
        <v>639</v>
      </c>
      <c r="D10" s="15" t="s">
        <v>640</v>
      </c>
      <c r="E10" s="1" t="s">
        <v>641</v>
      </c>
      <c r="F10" s="1"/>
      <c r="G10" s="1"/>
      <c r="H10" s="1"/>
      <c r="I10" s="1"/>
      <c r="J10" s="1" t="s">
        <v>642</v>
      </c>
      <c r="K10" s="1"/>
    </row>
    <row r="11">
      <c r="A11" s="1"/>
      <c r="B11" s="1" t="s">
        <v>40</v>
      </c>
      <c r="C11" s="43" t="s">
        <v>639</v>
      </c>
      <c r="D11" s="15" t="s">
        <v>640</v>
      </c>
      <c r="E11" s="1" t="s">
        <v>643</v>
      </c>
      <c r="F11" s="1"/>
      <c r="G11" s="1"/>
      <c r="H11" s="1"/>
      <c r="I11" s="1"/>
      <c r="J11" s="1" t="s">
        <v>644</v>
      </c>
      <c r="K11" s="1"/>
    </row>
    <row r="12">
      <c r="A12" s="1"/>
      <c r="B12" s="1" t="s">
        <v>614</v>
      </c>
      <c r="C12" s="43" t="s">
        <v>613</v>
      </c>
      <c r="D12" s="15" t="s">
        <v>645</v>
      </c>
      <c r="E12" s="1" t="s">
        <v>646</v>
      </c>
      <c r="F12" s="1"/>
      <c r="G12" s="1"/>
      <c r="H12" s="1"/>
      <c r="I12" s="1"/>
      <c r="J12" s="1" t="s">
        <v>647</v>
      </c>
      <c r="K12" s="1"/>
    </row>
    <row r="13">
      <c r="A13" s="1"/>
      <c r="B13" s="1" t="s">
        <v>617</v>
      </c>
      <c r="C13" s="43" t="s">
        <v>616</v>
      </c>
      <c r="D13" s="15" t="s">
        <v>645</v>
      </c>
      <c r="E13" s="1" t="s">
        <v>648</v>
      </c>
      <c r="F13" s="1"/>
      <c r="G13" s="1"/>
      <c r="H13" s="1"/>
      <c r="I13" s="1"/>
      <c r="J13" s="1" t="s">
        <v>649</v>
      </c>
      <c r="K13" s="1"/>
    </row>
    <row r="14">
      <c r="A14" s="1"/>
      <c r="B14" s="1" t="s">
        <v>621</v>
      </c>
      <c r="C14" s="43" t="s">
        <v>618</v>
      </c>
      <c r="D14" s="15" t="s">
        <v>650</v>
      </c>
      <c r="E14" s="1" t="s">
        <v>651</v>
      </c>
      <c r="F14" s="1"/>
      <c r="G14" s="1"/>
      <c r="H14" s="1"/>
      <c r="I14" s="1"/>
      <c r="J14" s="1" t="s">
        <v>652</v>
      </c>
      <c r="K14" s="1"/>
    </row>
    <row r="15">
      <c r="A15" s="1"/>
      <c r="B15" s="1" t="s">
        <v>226</v>
      </c>
      <c r="C15" s="43" t="s">
        <v>622</v>
      </c>
      <c r="D15" s="15" t="s">
        <v>650</v>
      </c>
      <c r="E15" s="1" t="s">
        <v>653</v>
      </c>
      <c r="F15" s="1"/>
      <c r="G15" s="1"/>
      <c r="H15" s="1"/>
      <c r="I15" s="1"/>
      <c r="J15" s="1" t="s">
        <v>654</v>
      </c>
      <c r="K15" s="1"/>
    </row>
    <row r="16">
      <c r="A16" s="1"/>
      <c r="B16" s="1" t="s">
        <v>655</v>
      </c>
      <c r="C16" s="43" t="s">
        <v>656</v>
      </c>
      <c r="D16" s="15" t="s">
        <v>657</v>
      </c>
      <c r="E16" s="1" t="s">
        <v>658</v>
      </c>
      <c r="F16" s="1"/>
      <c r="G16" s="1"/>
      <c r="H16" s="1"/>
      <c r="I16" s="1"/>
      <c r="J16" s="1" t="s">
        <v>659</v>
      </c>
      <c r="K16" s="1"/>
    </row>
    <row r="17">
      <c r="A17" s="1"/>
      <c r="B17" s="1" t="s">
        <v>177</v>
      </c>
      <c r="C17" s="43" t="s">
        <v>660</v>
      </c>
      <c r="D17" s="15" t="s">
        <v>657</v>
      </c>
      <c r="E17" s="1" t="s">
        <v>661</v>
      </c>
      <c r="F17" s="1"/>
      <c r="G17" s="1"/>
      <c r="H17" s="1"/>
      <c r="I17" s="1"/>
      <c r="J17" s="1" t="s">
        <v>662</v>
      </c>
      <c r="K17" s="1"/>
    </row>
    <row r="18">
      <c r="A18" s="1"/>
      <c r="B18" s="1" t="s">
        <v>663</v>
      </c>
      <c r="C18" s="43" t="s">
        <v>664</v>
      </c>
      <c r="D18" s="15" t="s">
        <v>665</v>
      </c>
      <c r="E18" s="1" t="s">
        <v>666</v>
      </c>
      <c r="F18" s="1"/>
      <c r="G18" s="1"/>
      <c r="H18" s="1"/>
      <c r="I18" s="1"/>
      <c r="J18" s="1" t="s">
        <v>667</v>
      </c>
      <c r="K18" s="1"/>
    </row>
    <row r="19">
      <c r="A19" s="1"/>
      <c r="B19" s="1" t="s">
        <v>564</v>
      </c>
      <c r="C19" s="43" t="s">
        <v>630</v>
      </c>
      <c r="D19" s="15" t="s">
        <v>657</v>
      </c>
      <c r="E19" s="1" t="s">
        <v>668</v>
      </c>
      <c r="F19" s="1"/>
      <c r="G19" s="1"/>
      <c r="H19" s="1"/>
      <c r="I19" s="1"/>
      <c r="J19" s="1" t="s">
        <v>669</v>
      </c>
      <c r="K19" s="1"/>
    </row>
    <row r="20">
      <c r="A20" s="1"/>
      <c r="B20" s="1" t="s">
        <v>604</v>
      </c>
      <c r="C20" s="43" t="s">
        <v>605</v>
      </c>
      <c r="D20" s="15" t="s">
        <v>670</v>
      </c>
      <c r="E20" s="1" t="s">
        <v>671</v>
      </c>
      <c r="F20" s="1"/>
      <c r="G20" s="1"/>
      <c r="H20" s="1"/>
      <c r="I20" s="1"/>
      <c r="J20" s="1" t="s">
        <v>672</v>
      </c>
      <c r="K20" s="1"/>
    </row>
    <row r="21">
      <c r="A21" s="1"/>
      <c r="B21" s="1" t="s">
        <v>598</v>
      </c>
      <c r="C21" s="43" t="s">
        <v>596</v>
      </c>
      <c r="D21" s="15" t="s">
        <v>670</v>
      </c>
      <c r="E21" s="1" t="s">
        <v>673</v>
      </c>
      <c r="F21" s="1"/>
      <c r="G21" s="1"/>
      <c r="H21" s="1"/>
      <c r="I21" s="1"/>
      <c r="J21" s="1" t="s">
        <v>674</v>
      </c>
      <c r="K21" s="1"/>
    </row>
    <row r="22">
      <c r="A22" s="1"/>
      <c r="B22" s="1" t="s">
        <v>675</v>
      </c>
      <c r="C22" s="43" t="s">
        <v>630</v>
      </c>
      <c r="D22" s="15" t="s">
        <v>676</v>
      </c>
      <c r="E22" s="1" t="s">
        <v>677</v>
      </c>
      <c r="F22" s="1"/>
      <c r="G22" s="1"/>
      <c r="H22" s="1"/>
      <c r="I22" s="1"/>
      <c r="J22" s="1" t="s">
        <v>678</v>
      </c>
      <c r="K22" s="1"/>
    </row>
    <row r="23">
      <c r="A23" s="1"/>
      <c r="B23" s="1" t="s">
        <v>679</v>
      </c>
      <c r="C23" s="43" t="s">
        <v>680</v>
      </c>
      <c r="D23" s="15" t="s">
        <v>676</v>
      </c>
      <c r="E23" s="1" t="s">
        <v>681</v>
      </c>
      <c r="F23" s="1"/>
      <c r="G23" s="1"/>
      <c r="H23" s="1"/>
      <c r="I23" s="1"/>
      <c r="J23" s="1" t="s">
        <v>682</v>
      </c>
      <c r="K23" s="1"/>
    </row>
    <row r="24">
      <c r="A24" s="1"/>
      <c r="B24" s="1" t="s">
        <v>683</v>
      </c>
      <c r="C24" s="43" t="s">
        <v>680</v>
      </c>
      <c r="D24" s="15" t="s">
        <v>684</v>
      </c>
      <c r="E24" s="1" t="s">
        <v>685</v>
      </c>
      <c r="F24" s="1"/>
      <c r="G24" s="1"/>
      <c r="H24" s="1"/>
      <c r="I24" s="1"/>
      <c r="J24" s="1" t="s">
        <v>686</v>
      </c>
      <c r="K24" s="1"/>
    </row>
    <row r="25">
      <c r="A25" s="1"/>
      <c r="B25" s="1" t="s">
        <v>687</v>
      </c>
      <c r="C25" s="43" t="s">
        <v>688</v>
      </c>
      <c r="D25" s="15" t="s">
        <v>684</v>
      </c>
      <c r="E25" s="1" t="s">
        <v>689</v>
      </c>
      <c r="F25" s="1"/>
      <c r="G25" s="1"/>
      <c r="H25" s="1"/>
      <c r="I25" s="1"/>
      <c r="J25" s="1" t="s">
        <v>690</v>
      </c>
      <c r="K25" s="1"/>
    </row>
    <row r="26">
      <c r="A26" s="1"/>
      <c r="B26" s="1" t="s">
        <v>691</v>
      </c>
      <c r="C26" s="43" t="s">
        <v>692</v>
      </c>
      <c r="D26" s="15" t="s">
        <v>684</v>
      </c>
      <c r="E26" s="1" t="s">
        <v>693</v>
      </c>
      <c r="F26" s="1"/>
      <c r="G26" s="1"/>
      <c r="H26" s="1"/>
      <c r="I26" s="1"/>
      <c r="J26" s="1" t="s">
        <v>694</v>
      </c>
      <c r="K26" s="1"/>
    </row>
    <row r="27">
      <c r="A27" s="1"/>
      <c r="B27" s="1" t="s">
        <v>695</v>
      </c>
      <c r="C27" s="43" t="s">
        <v>696</v>
      </c>
      <c r="D27" s="15" t="s">
        <v>684</v>
      </c>
      <c r="E27" s="1" t="s">
        <v>697</v>
      </c>
      <c r="F27" s="1"/>
      <c r="G27" s="1"/>
      <c r="H27" s="1"/>
      <c r="I27" s="1"/>
      <c r="J27" s="1" t="s">
        <v>698</v>
      </c>
      <c r="K27" s="1"/>
    </row>
    <row r="28">
      <c r="A28" s="1"/>
      <c r="B28" s="1" t="s">
        <v>699</v>
      </c>
      <c r="C28" s="43" t="s">
        <v>700</v>
      </c>
      <c r="D28" s="15" t="s">
        <v>684</v>
      </c>
      <c r="E28" s="1" t="s">
        <v>701</v>
      </c>
      <c r="F28" s="1"/>
      <c r="G28" s="1"/>
      <c r="H28" s="1"/>
      <c r="I28" s="1"/>
      <c r="J28" s="1" t="s">
        <v>702</v>
      </c>
      <c r="K28" s="1"/>
    </row>
    <row r="29">
      <c r="A29" s="1"/>
      <c r="B29" s="1" t="s">
        <v>703</v>
      </c>
      <c r="C29" s="43" t="s">
        <v>704</v>
      </c>
      <c r="D29" s="15" t="s">
        <v>705</v>
      </c>
      <c r="E29" s="1" t="s">
        <v>706</v>
      </c>
      <c r="F29" s="1"/>
      <c r="G29" s="1"/>
      <c r="H29" s="1"/>
      <c r="I29" s="1"/>
      <c r="J29" s="1" t="s">
        <v>707</v>
      </c>
      <c r="K29" s="1"/>
    </row>
    <row r="30">
      <c r="A30" s="1"/>
      <c r="B30" s="1" t="s">
        <v>708</v>
      </c>
      <c r="C30" s="43" t="s">
        <v>709</v>
      </c>
      <c r="D30" s="15" t="s">
        <v>676</v>
      </c>
      <c r="E30" s="1" t="s">
        <v>710</v>
      </c>
      <c r="F30" s="1"/>
      <c r="G30" s="1"/>
      <c r="H30" s="1"/>
      <c r="I30" s="1"/>
      <c r="J30" s="1" t="s">
        <v>711</v>
      </c>
      <c r="K30" s="1"/>
    </row>
    <row r="31">
      <c r="A31" s="1"/>
      <c r="B31" s="1" t="s">
        <v>712</v>
      </c>
      <c r="C31" s="43" t="s">
        <v>713</v>
      </c>
      <c r="D31" s="15" t="s">
        <v>684</v>
      </c>
      <c r="E31" s="1" t="s">
        <v>714</v>
      </c>
      <c r="F31" s="1"/>
      <c r="G31" s="1"/>
      <c r="H31" s="1"/>
      <c r="I31" s="1"/>
      <c r="J31" s="1" t="s">
        <v>715</v>
      </c>
      <c r="K31" s="1"/>
    </row>
    <row r="32">
      <c r="A32" s="1"/>
      <c r="B32" s="1" t="s">
        <v>716</v>
      </c>
      <c r="C32" s="43" t="s">
        <v>704</v>
      </c>
      <c r="D32" s="15" t="s">
        <v>684</v>
      </c>
      <c r="E32" s="1" t="s">
        <v>717</v>
      </c>
      <c r="F32" s="1"/>
      <c r="G32" s="1"/>
      <c r="H32" s="1"/>
      <c r="I32" s="1"/>
      <c r="J32" s="1" t="s">
        <v>718</v>
      </c>
      <c r="K32" s="1"/>
    </row>
    <row r="33">
      <c r="A33" s="1"/>
      <c r="B33" s="1" t="s">
        <v>50</v>
      </c>
      <c r="C33" s="43" t="s">
        <v>719</v>
      </c>
      <c r="D33" s="15" t="s">
        <v>684</v>
      </c>
      <c r="E33" s="1" t="s">
        <v>720</v>
      </c>
      <c r="F33" s="1"/>
      <c r="G33" s="1"/>
      <c r="H33" s="1"/>
      <c r="I33" s="1"/>
      <c r="J33" s="1" t="s">
        <v>721</v>
      </c>
      <c r="K33" s="1"/>
    </row>
    <row r="34">
      <c r="A34" s="1"/>
      <c r="B34" s="1" t="s">
        <v>722</v>
      </c>
      <c r="C34" s="43" t="s">
        <v>723</v>
      </c>
      <c r="D34" s="15" t="s">
        <v>684</v>
      </c>
      <c r="E34" s="1" t="s">
        <v>724</v>
      </c>
      <c r="F34" s="1"/>
      <c r="G34" s="1"/>
      <c r="H34" s="1"/>
      <c r="I34" s="1"/>
      <c r="J34" s="1" t="s">
        <v>725</v>
      </c>
      <c r="K34" s="1"/>
    </row>
    <row r="35">
      <c r="A35" s="1"/>
      <c r="B35" s="1" t="s">
        <v>47</v>
      </c>
      <c r="C35" s="43" t="s">
        <v>726</v>
      </c>
      <c r="D35" s="15" t="s">
        <v>676</v>
      </c>
      <c r="E35" s="1" t="s">
        <v>727</v>
      </c>
      <c r="F35" s="1"/>
      <c r="G35" s="1"/>
      <c r="H35" s="1"/>
      <c r="I35" s="1"/>
      <c r="J35" s="1" t="s">
        <v>728</v>
      </c>
      <c r="K35" s="1"/>
    </row>
    <row r="36">
      <c r="A36" s="1"/>
      <c r="B36" s="1" t="s">
        <v>52</v>
      </c>
      <c r="C36" s="43" t="s">
        <v>719</v>
      </c>
      <c r="D36" s="15" t="s">
        <v>684</v>
      </c>
      <c r="E36" s="1" t="s">
        <v>729</v>
      </c>
      <c r="F36" s="1"/>
      <c r="G36" s="1"/>
      <c r="H36" s="1"/>
      <c r="I36" s="1"/>
      <c r="J36" s="1" t="s">
        <v>730</v>
      </c>
      <c r="K36" s="1"/>
    </row>
    <row r="37">
      <c r="A37" s="1"/>
      <c r="B37" s="1" t="s">
        <v>731</v>
      </c>
      <c r="C37" s="43" t="s">
        <v>719</v>
      </c>
      <c r="D37" s="15" t="s">
        <v>684</v>
      </c>
      <c r="E37" s="1" t="s">
        <v>732</v>
      </c>
      <c r="F37" s="1"/>
      <c r="G37" s="1"/>
      <c r="H37" s="1"/>
      <c r="I37" s="1"/>
      <c r="J37" s="1" t="s">
        <v>733</v>
      </c>
      <c r="K37" s="1"/>
    </row>
    <row r="38">
      <c r="A38" s="1"/>
      <c r="B38" s="1" t="s">
        <v>734</v>
      </c>
      <c r="C38" s="43" t="s">
        <v>735</v>
      </c>
      <c r="D38" s="15" t="s">
        <v>684</v>
      </c>
      <c r="E38" s="1" t="s">
        <v>736</v>
      </c>
      <c r="F38" s="1"/>
      <c r="G38" s="1"/>
      <c r="H38" s="1"/>
      <c r="I38" s="1"/>
      <c r="J38" s="1" t="s">
        <v>737</v>
      </c>
      <c r="K38" s="1"/>
    </row>
    <row r="39">
      <c r="A39" s="1"/>
      <c r="B39" s="1" t="s">
        <v>738</v>
      </c>
      <c r="C39" s="43" t="s">
        <v>739</v>
      </c>
      <c r="D39" s="15" t="s">
        <v>684</v>
      </c>
      <c r="E39" s="1" t="s">
        <v>740</v>
      </c>
      <c r="F39" s="1"/>
      <c r="G39" s="1"/>
      <c r="H39" s="1"/>
      <c r="I39" s="1"/>
      <c r="J39" s="1" t="s">
        <v>741</v>
      </c>
      <c r="K39" s="1"/>
    </row>
    <row r="40">
      <c r="A40" s="1"/>
      <c r="B40" s="1" t="s">
        <v>742</v>
      </c>
      <c r="C40" s="43" t="s">
        <v>743</v>
      </c>
      <c r="D40" s="15" t="s">
        <v>684</v>
      </c>
      <c r="E40" s="1" t="s">
        <v>744</v>
      </c>
      <c r="F40" s="1"/>
      <c r="G40" s="1"/>
      <c r="H40" s="1"/>
      <c r="I40" s="1"/>
      <c r="J40" s="1" t="s">
        <v>745</v>
      </c>
      <c r="K40" s="1"/>
    </row>
    <row r="41">
      <c r="A41" s="1"/>
      <c r="B41" s="1" t="s">
        <v>746</v>
      </c>
      <c r="C41" s="43" t="s">
        <v>639</v>
      </c>
      <c r="D41" s="15" t="s">
        <v>640</v>
      </c>
      <c r="E41" s="1" t="s">
        <v>747</v>
      </c>
      <c r="F41" s="1"/>
      <c r="G41" s="1"/>
      <c r="H41" s="1"/>
      <c r="I41" s="1"/>
      <c r="J41" s="1" t="s">
        <v>748</v>
      </c>
      <c r="K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>
      <c r="A43" s="1"/>
      <c r="B43" s="1" t="s">
        <v>749</v>
      </c>
      <c r="C43" s="15"/>
      <c r="D43" s="15"/>
      <c r="E43" s="15"/>
      <c r="F43" s="15"/>
      <c r="G43" s="15"/>
      <c r="H43" s="15"/>
      <c r="I43" s="1"/>
      <c r="J43" s="1"/>
      <c r="K43" s="1"/>
    </row>
    <row r="44">
      <c r="A44" s="1"/>
      <c r="B44" s="1" t="s">
        <v>750</v>
      </c>
      <c r="C44" s="15"/>
      <c r="D44" s="15"/>
      <c r="E44" s="15"/>
      <c r="F44" s="15"/>
      <c r="G44" s="15"/>
      <c r="H44" s="15"/>
      <c r="I44" s="1"/>
      <c r="J44" s="1"/>
      <c r="K44" s="1"/>
    </row>
    <row r="45">
      <c r="A45" s="1"/>
      <c r="B45" s="1" t="s">
        <v>751</v>
      </c>
      <c r="C45" s="15"/>
      <c r="D45" s="15"/>
      <c r="E45" s="15"/>
      <c r="F45" s="15"/>
      <c r="G45" s="15"/>
      <c r="H45" s="15"/>
      <c r="I45" s="1"/>
      <c r="J45" s="1"/>
      <c r="K45" s="1"/>
    </row>
    <row r="46">
      <c r="A46" s="1"/>
      <c r="B46" s="1" t="s">
        <v>752</v>
      </c>
      <c r="C46" s="15"/>
      <c r="D46" s="15"/>
      <c r="E46" s="15"/>
      <c r="F46" s="15"/>
      <c r="G46" s="15"/>
      <c r="H46" s="15"/>
      <c r="I46" s="1"/>
      <c r="J46" s="1"/>
      <c r="K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K13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42" customWidth="1"/>
  </cols>
  <sheetData>
    <row r="1">
      <c r="A1" s="1"/>
      <c r="B1" s="20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2" t="s">
        <v>753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I5" s="1"/>
      <c r="J5" s="52" t="s">
        <v>3</v>
      </c>
      <c r="K5" s="1"/>
    </row>
    <row r="6">
      <c r="A6" s="1"/>
      <c r="I6" s="1"/>
      <c r="J6" s="1"/>
      <c r="K6" s="1"/>
    </row>
    <row r="7">
      <c r="A7" s="1"/>
      <c r="I7" s="1"/>
      <c r="J7" s="1"/>
      <c r="K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7" t="s">
        <v>754</v>
      </c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1" t="s">
        <v>755</v>
      </c>
      <c r="C11" s="1" t="s">
        <v>756</v>
      </c>
      <c r="D11" s="1"/>
      <c r="E11" s="1"/>
      <c r="F11" s="1"/>
      <c r="G11" s="1"/>
      <c r="H11" s="1"/>
      <c r="I11" s="1"/>
      <c r="J11" s="1" t="s">
        <v>40</v>
      </c>
      <c r="K11" s="1"/>
    </row>
    <row r="12">
      <c r="A12" s="1"/>
      <c r="B12" s="1" t="s">
        <v>757</v>
      </c>
      <c r="C12" s="1" t="s">
        <v>758</v>
      </c>
      <c r="D12" s="1"/>
      <c r="E12" s="1"/>
      <c r="F12" s="1"/>
      <c r="G12" s="1"/>
      <c r="H12" s="1"/>
      <c r="I12" s="1"/>
      <c r="J12" s="1" t="s">
        <v>40</v>
      </c>
      <c r="K12" s="1"/>
    </row>
    <row r="13">
      <c r="A13" s="1"/>
      <c r="B13" s="1" t="s">
        <v>759</v>
      </c>
      <c r="C13" s="1" t="s">
        <v>760</v>
      </c>
      <c r="D13" s="1"/>
      <c r="E13" s="1"/>
      <c r="F13" s="1"/>
      <c r="G13" s="1"/>
      <c r="H13" s="1"/>
      <c r="I13" s="1"/>
      <c r="J13" s="1" t="s">
        <v>40</v>
      </c>
      <c r="K13" s="1"/>
    </row>
    <row r="14">
      <c r="A14" s="1"/>
      <c r="B14" s="1" t="s">
        <v>761</v>
      </c>
      <c r="C14" s="1" t="s">
        <v>762</v>
      </c>
      <c r="D14" s="1"/>
      <c r="E14" s="1"/>
      <c r="F14" s="1"/>
      <c r="G14" s="1"/>
      <c r="H14" s="1"/>
      <c r="I14" s="1"/>
      <c r="J14" s="1" t="s">
        <v>40</v>
      </c>
      <c r="K14" s="1"/>
    </row>
    <row r="15">
      <c r="A15" s="1"/>
      <c r="B15" s="1" t="s">
        <v>763</v>
      </c>
      <c r="C15" s="45" t="s">
        <v>764</v>
      </c>
      <c r="D15" s="1"/>
      <c r="E15" s="1"/>
      <c r="F15" s="1"/>
      <c r="G15" s="1"/>
      <c r="H15" s="1"/>
      <c r="I15" s="1"/>
      <c r="J15" s="1" t="s">
        <v>40</v>
      </c>
      <c r="K15" s="1"/>
    </row>
    <row r="16">
      <c r="A16" s="1"/>
      <c r="B16" s="1" t="s">
        <v>765</v>
      </c>
      <c r="C16" s="45" t="s">
        <v>639</v>
      </c>
      <c r="D16" s="1"/>
      <c r="E16" s="1"/>
      <c r="F16" s="1"/>
      <c r="G16" s="1"/>
      <c r="H16" s="1"/>
      <c r="I16" s="1"/>
      <c r="J16" s="1" t="s">
        <v>40</v>
      </c>
      <c r="K16" s="1"/>
    </row>
    <row r="17">
      <c r="A17" s="1"/>
      <c r="B17" s="1" t="s">
        <v>766</v>
      </c>
      <c r="C17" s="1">
        <v>19</v>
      </c>
      <c r="D17" s="1"/>
      <c r="E17" s="1"/>
      <c r="F17" s="1"/>
      <c r="G17" s="1"/>
      <c r="H17" s="1"/>
      <c r="I17" s="1"/>
      <c r="J17" s="1" t="s">
        <v>40</v>
      </c>
      <c r="K17" s="1"/>
    </row>
    <row r="18">
      <c r="A18" s="1"/>
      <c r="B18" s="1" t="s">
        <v>767</v>
      </c>
      <c r="C18" s="1">
        <v>3.55</v>
      </c>
      <c r="D18" s="1"/>
      <c r="E18" s="1"/>
      <c r="F18" s="1"/>
      <c r="G18" s="1"/>
      <c r="H18" s="1"/>
      <c r="I18" s="1"/>
      <c r="J18" s="1" t="s">
        <v>40</v>
      </c>
      <c r="K18" s="1"/>
    </row>
    <row r="19">
      <c r="A19" s="1"/>
      <c r="B19" s="1" t="s">
        <v>768</v>
      </c>
      <c r="C19" s="1" t="s">
        <v>769</v>
      </c>
      <c r="D19" s="1"/>
      <c r="E19" s="1"/>
      <c r="F19" s="1"/>
      <c r="G19" s="1"/>
      <c r="H19" s="1"/>
      <c r="I19" s="1"/>
      <c r="J19" s="1" t="s">
        <v>40</v>
      </c>
      <c r="K19" s="1"/>
    </row>
    <row r="20">
      <c r="A20" s="1"/>
      <c r="B20" s="1" t="s">
        <v>770</v>
      </c>
      <c r="C20" s="1">
        <v>2539.1</v>
      </c>
      <c r="D20" s="1"/>
      <c r="E20" s="1"/>
      <c r="F20" s="1"/>
      <c r="G20" s="1"/>
      <c r="H20" s="1"/>
      <c r="I20" s="1"/>
      <c r="J20" s="1" t="s">
        <v>40</v>
      </c>
      <c r="K20" s="1"/>
    </row>
    <row r="21">
      <c r="A21" s="1"/>
      <c r="B21" s="1" t="s">
        <v>771</v>
      </c>
      <c r="C21" s="1" t="s">
        <v>772</v>
      </c>
      <c r="D21" s="1"/>
      <c r="E21" s="1"/>
      <c r="F21" s="1"/>
      <c r="G21" s="1"/>
      <c r="H21" s="1"/>
      <c r="I21" s="1"/>
      <c r="J21" s="1" t="s">
        <v>40</v>
      </c>
      <c r="K21" s="1"/>
    </row>
    <row r="22">
      <c r="A22" s="1"/>
      <c r="B22" s="1" t="s">
        <v>773</v>
      </c>
      <c r="C22" s="1" t="s">
        <v>774</v>
      </c>
      <c r="D22" s="1"/>
      <c r="E22" s="1"/>
      <c r="F22" s="1"/>
      <c r="G22" s="1"/>
      <c r="H22" s="1"/>
      <c r="I22" s="1"/>
      <c r="J22" s="1" t="s">
        <v>40</v>
      </c>
      <c r="K22" s="1"/>
    </row>
    <row r="23">
      <c r="A23" s="1"/>
      <c r="B23" s="1" t="s">
        <v>775</v>
      </c>
      <c r="C23" s="1" t="s">
        <v>776</v>
      </c>
      <c r="D23" s="1"/>
      <c r="E23" s="1"/>
      <c r="F23" s="1"/>
      <c r="G23" s="1"/>
      <c r="H23" s="1"/>
      <c r="I23" s="1"/>
      <c r="J23" s="1" t="s">
        <v>40</v>
      </c>
      <c r="K23" s="1"/>
    </row>
    <row r="24">
      <c r="A24" s="1"/>
      <c r="B24" s="1" t="s">
        <v>777</v>
      </c>
      <c r="C24" s="1" t="s">
        <v>778</v>
      </c>
      <c r="D24" s="1"/>
      <c r="E24" s="1"/>
      <c r="F24" s="1"/>
      <c r="G24" s="1"/>
      <c r="H24" s="1"/>
      <c r="I24" s="1"/>
      <c r="J24" s="1" t="s">
        <v>40</v>
      </c>
      <c r="K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>
      <c r="A26" s="1"/>
      <c r="B26" s="27" t="s">
        <v>779</v>
      </c>
      <c r="C26" s="1"/>
      <c r="D26" s="1"/>
      <c r="E26" s="1"/>
      <c r="F26" s="1"/>
      <c r="G26" s="1"/>
      <c r="H26" s="1"/>
      <c r="I26" s="1"/>
      <c r="J26" s="1"/>
      <c r="K26" s="1"/>
    </row>
    <row r="27">
      <c r="A27" s="1"/>
      <c r="B27" s="1" t="s">
        <v>757</v>
      </c>
      <c r="C27" s="1" t="s">
        <v>758</v>
      </c>
      <c r="D27" s="1"/>
      <c r="E27" s="1"/>
      <c r="F27" s="1"/>
      <c r="G27" s="1"/>
      <c r="H27" s="1"/>
      <c r="I27" s="1"/>
      <c r="J27" s="1" t="s">
        <v>40</v>
      </c>
      <c r="K27" s="1"/>
    </row>
    <row r="28">
      <c r="A28" s="1"/>
      <c r="B28" s="1" t="s">
        <v>780</v>
      </c>
      <c r="C28" s="1" t="s">
        <v>760</v>
      </c>
      <c r="D28" s="1"/>
      <c r="E28" s="1"/>
      <c r="F28" s="1"/>
      <c r="G28" s="1"/>
      <c r="H28" s="1"/>
      <c r="I28" s="1"/>
      <c r="J28" s="1" t="s">
        <v>40</v>
      </c>
      <c r="K28" s="1"/>
    </row>
    <row r="29">
      <c r="A29" s="1"/>
      <c r="B29" s="1" t="s">
        <v>781</v>
      </c>
      <c r="C29" s="1" t="s">
        <v>782</v>
      </c>
      <c r="D29" s="1"/>
      <c r="E29" s="1"/>
      <c r="F29" s="1"/>
      <c r="G29" s="1"/>
      <c r="H29" s="1"/>
      <c r="I29" s="1"/>
      <c r="J29" s="1" t="s">
        <v>40</v>
      </c>
      <c r="K29" s="1"/>
    </row>
    <row r="30">
      <c r="A30" s="1"/>
      <c r="B30" s="1" t="s">
        <v>783</v>
      </c>
      <c r="C30" s="15" t="s">
        <v>784</v>
      </c>
      <c r="D30" s="15"/>
      <c r="E30" s="15"/>
      <c r="F30" s="15"/>
      <c r="G30" s="15"/>
      <c r="H30" s="15"/>
      <c r="I30" s="1"/>
      <c r="J30" s="1" t="s">
        <v>40</v>
      </c>
      <c r="K30" s="1"/>
    </row>
    <row r="31">
      <c r="A31" s="1"/>
      <c r="B31" s="1" t="s">
        <v>785</v>
      </c>
      <c r="C31" s="1" t="s">
        <v>786</v>
      </c>
      <c r="D31" s="1"/>
      <c r="E31" s="1"/>
      <c r="F31" s="1"/>
      <c r="G31" s="1"/>
      <c r="H31" s="1"/>
      <c r="I31" s="1"/>
      <c r="J31" s="1" t="s">
        <v>40</v>
      </c>
      <c r="K31" s="1"/>
    </row>
    <row r="32">
      <c r="A32" s="1"/>
      <c r="B32" s="1" t="s">
        <v>787</v>
      </c>
      <c r="C32" s="1"/>
      <c r="D32" s="1"/>
      <c r="E32" s="1"/>
      <c r="F32" s="1"/>
      <c r="G32" s="1"/>
      <c r="H32" s="1"/>
      <c r="I32" s="1"/>
      <c r="J32" s="1" t="s">
        <v>40</v>
      </c>
      <c r="K32" s="1"/>
    </row>
    <row r="33">
      <c r="A33" s="1"/>
      <c r="B33" s="1" t="s">
        <v>788</v>
      </c>
      <c r="C33" s="1" t="s">
        <v>789</v>
      </c>
      <c r="D33" s="1"/>
      <c r="E33" s="1"/>
      <c r="F33" s="1"/>
      <c r="G33" s="1"/>
      <c r="H33" s="1"/>
      <c r="I33" s="1"/>
      <c r="J33" s="1" t="s">
        <v>40</v>
      </c>
      <c r="K33" s="1"/>
    </row>
    <row r="34">
      <c r="A34" s="1"/>
      <c r="B34" s="1" t="s">
        <v>790</v>
      </c>
      <c r="C34" s="45" t="s">
        <v>764</v>
      </c>
      <c r="D34" s="1"/>
      <c r="E34" s="1"/>
      <c r="F34" s="1"/>
      <c r="G34" s="1"/>
      <c r="H34" s="1"/>
      <c r="I34" s="1"/>
      <c r="J34" s="1" t="s">
        <v>40</v>
      </c>
      <c r="K34" s="1"/>
    </row>
    <row r="35">
      <c r="A35" s="1"/>
      <c r="B35" s="1" t="s">
        <v>791</v>
      </c>
      <c r="C35" s="45" t="s">
        <v>792</v>
      </c>
      <c r="D35" s="1"/>
      <c r="E35" s="1"/>
      <c r="F35" s="1"/>
      <c r="G35" s="1"/>
      <c r="H35" s="1"/>
      <c r="I35" s="1"/>
      <c r="J35" s="1" t="s">
        <v>40</v>
      </c>
      <c r="K35" s="1"/>
    </row>
    <row r="36">
      <c r="A36" s="1"/>
      <c r="B36" s="1" t="s">
        <v>793</v>
      </c>
      <c r="C36" s="1" t="s">
        <v>794</v>
      </c>
      <c r="D36" s="1"/>
      <c r="E36" s="1"/>
      <c r="F36" s="1"/>
      <c r="G36" s="1"/>
      <c r="H36" s="1"/>
      <c r="I36" s="1"/>
      <c r="J36" s="1" t="s">
        <v>40</v>
      </c>
      <c r="K36" s="1"/>
    </row>
    <row r="37">
      <c r="A37" s="1"/>
      <c r="B37" s="1" t="s">
        <v>795</v>
      </c>
      <c r="C37" s="1">
        <v>25</v>
      </c>
      <c r="D37" s="1"/>
      <c r="E37" s="1"/>
      <c r="F37" s="1"/>
      <c r="G37" s="1"/>
      <c r="H37" s="1"/>
      <c r="I37" s="1"/>
      <c r="J37" s="1" t="s">
        <v>40</v>
      </c>
      <c r="K37" s="1"/>
    </row>
    <row r="38">
      <c r="A38" s="1"/>
      <c r="B38" s="1" t="s">
        <v>796</v>
      </c>
      <c r="C38" s="1">
        <v>3.55</v>
      </c>
      <c r="D38" s="1"/>
      <c r="E38" s="1"/>
      <c r="F38" s="1"/>
      <c r="G38" s="1"/>
      <c r="H38" s="1"/>
      <c r="I38" s="1"/>
      <c r="J38" s="1" t="s">
        <v>40</v>
      </c>
      <c r="K38" s="1"/>
    </row>
    <row r="39">
      <c r="A39" s="1"/>
      <c r="B39" s="1" t="s">
        <v>797</v>
      </c>
      <c r="C39" s="1">
        <v>3.56</v>
      </c>
      <c r="D39" s="1"/>
      <c r="E39" s="1"/>
      <c r="F39" s="1"/>
      <c r="G39" s="1"/>
      <c r="H39" s="1"/>
      <c r="I39" s="1"/>
      <c r="J39" s="1" t="s">
        <v>40</v>
      </c>
      <c r="K39" s="1"/>
    </row>
    <row r="40">
      <c r="A40" s="1"/>
      <c r="B40" s="1" t="s">
        <v>798</v>
      </c>
      <c r="C40" s="1">
        <v>3.88</v>
      </c>
      <c r="D40" s="1"/>
      <c r="E40" s="1"/>
      <c r="F40" s="1"/>
      <c r="G40" s="1"/>
      <c r="H40" s="1"/>
      <c r="I40" s="1"/>
      <c r="J40" s="1" t="s">
        <v>40</v>
      </c>
      <c r="K40" s="1"/>
    </row>
    <row r="41">
      <c r="A41" s="1"/>
      <c r="B41" s="1" t="s">
        <v>799</v>
      </c>
      <c r="C41" s="1">
        <v>3.25</v>
      </c>
      <c r="D41" s="1"/>
      <c r="E41" s="1"/>
      <c r="F41" s="1"/>
      <c r="G41" s="1"/>
      <c r="H41" s="1"/>
      <c r="I41" s="1"/>
      <c r="J41" s="1" t="s">
        <v>40</v>
      </c>
      <c r="K41" s="1"/>
    </row>
    <row r="42">
      <c r="A42" s="1"/>
      <c r="B42" s="1" t="s">
        <v>800</v>
      </c>
      <c r="C42" s="1">
        <v>0.16</v>
      </c>
      <c r="D42" s="1"/>
      <c r="E42" s="1"/>
      <c r="F42" s="1"/>
      <c r="G42" s="1"/>
      <c r="H42" s="1"/>
      <c r="I42" s="1"/>
      <c r="J42" s="1" t="s">
        <v>40</v>
      </c>
      <c r="K42" s="1"/>
    </row>
    <row r="43">
      <c r="A43" s="1"/>
      <c r="B43" s="1" t="s">
        <v>801</v>
      </c>
      <c r="C43" s="1">
        <v>19</v>
      </c>
      <c r="D43" s="1"/>
      <c r="E43" s="1"/>
      <c r="F43" s="1"/>
      <c r="G43" s="1"/>
      <c r="H43" s="1"/>
      <c r="I43" s="1"/>
      <c r="J43" s="1" t="s">
        <v>40</v>
      </c>
      <c r="K43" s="1"/>
    </row>
    <row r="44">
      <c r="A44" s="1"/>
      <c r="B44" s="1" t="s">
        <v>802</v>
      </c>
      <c r="C44" s="1"/>
      <c r="D44" s="1"/>
      <c r="E44" s="1"/>
      <c r="F44" s="1"/>
      <c r="G44" s="1"/>
      <c r="H44" s="1"/>
      <c r="I44" s="1"/>
      <c r="J44" s="1" t="s">
        <v>40</v>
      </c>
      <c r="K44" s="1"/>
    </row>
    <row r="45">
      <c r="A45" s="1"/>
      <c r="B45" s="1" t="s">
        <v>803</v>
      </c>
      <c r="C45" s="1"/>
      <c r="D45" s="1"/>
      <c r="E45" s="1"/>
      <c r="F45" s="1"/>
      <c r="G45" s="1"/>
      <c r="H45" s="1"/>
      <c r="I45" s="1"/>
      <c r="J45" s="1" t="s">
        <v>40</v>
      </c>
      <c r="K45" s="1"/>
    </row>
    <row r="46">
      <c r="A46" s="1"/>
      <c r="B46" s="1" t="s">
        <v>804</v>
      </c>
      <c r="C46" s="1"/>
      <c r="D46" s="1"/>
      <c r="E46" s="1"/>
      <c r="F46" s="1"/>
      <c r="G46" s="1"/>
      <c r="H46" s="1"/>
      <c r="I46" s="1"/>
      <c r="J46" s="1" t="s">
        <v>40</v>
      </c>
      <c r="K46" s="1"/>
    </row>
    <row r="47">
      <c r="A47" s="1"/>
      <c r="B47" s="1" t="s">
        <v>805</v>
      </c>
      <c r="C47" s="1">
        <v>3.55</v>
      </c>
      <c r="D47" s="1"/>
      <c r="E47" s="1"/>
      <c r="F47" s="1"/>
      <c r="G47" s="1"/>
      <c r="H47" s="1"/>
      <c r="I47" s="1"/>
      <c r="J47" s="1" t="s">
        <v>40</v>
      </c>
      <c r="K47" s="1"/>
    </row>
    <row r="48">
      <c r="A48" s="1"/>
      <c r="B48" s="1" t="s">
        <v>806</v>
      </c>
      <c r="C48" s="1">
        <v>3.53</v>
      </c>
      <c r="D48" s="1"/>
      <c r="E48" s="1"/>
      <c r="F48" s="1"/>
      <c r="G48" s="1"/>
      <c r="H48" s="1"/>
      <c r="I48" s="1"/>
      <c r="J48" s="1" t="s">
        <v>40</v>
      </c>
      <c r="K48" s="1"/>
    </row>
    <row r="49">
      <c r="A49" s="1"/>
      <c r="B49" s="1" t="s">
        <v>807</v>
      </c>
      <c r="C49" s="1">
        <v>3.66</v>
      </c>
      <c r="D49" s="1"/>
      <c r="E49" s="1"/>
      <c r="F49" s="1"/>
      <c r="G49" s="1"/>
      <c r="H49" s="1"/>
      <c r="I49" s="1"/>
      <c r="J49" s="1" t="s">
        <v>40</v>
      </c>
      <c r="K49" s="1"/>
    </row>
    <row r="50">
      <c r="A50" s="1"/>
      <c r="B50" s="1" t="s">
        <v>808</v>
      </c>
      <c r="C50" s="1">
        <v>3.47</v>
      </c>
      <c r="D50" s="1"/>
      <c r="E50" s="1"/>
      <c r="F50" s="1"/>
      <c r="G50" s="1"/>
      <c r="H50" s="1"/>
      <c r="I50" s="1"/>
      <c r="J50" s="1" t="s">
        <v>40</v>
      </c>
      <c r="K50" s="1"/>
    </row>
    <row r="51">
      <c r="A51" s="1"/>
      <c r="B51" s="1" t="s">
        <v>809</v>
      </c>
      <c r="C51" s="1">
        <v>0.07</v>
      </c>
      <c r="D51" s="1"/>
      <c r="E51" s="1"/>
      <c r="F51" s="1"/>
      <c r="G51" s="1"/>
      <c r="H51" s="1"/>
      <c r="I51" s="1"/>
      <c r="J51" s="1" t="s">
        <v>40</v>
      </c>
      <c r="K51" s="1"/>
    </row>
    <row r="52">
      <c r="A52" s="1"/>
      <c r="B52" s="1" t="s">
        <v>810</v>
      </c>
      <c r="C52" s="1">
        <v>5</v>
      </c>
      <c r="D52" s="1"/>
      <c r="E52" s="1"/>
      <c r="F52" s="1"/>
      <c r="G52" s="1"/>
      <c r="H52" s="1"/>
      <c r="I52" s="1"/>
      <c r="J52" s="1" t="s">
        <v>40</v>
      </c>
      <c r="K52" s="1"/>
    </row>
    <row r="53">
      <c r="A53" s="1"/>
      <c r="B53" s="1" t="s">
        <v>811</v>
      </c>
      <c r="C53" s="1"/>
      <c r="D53" s="1"/>
      <c r="E53" s="1"/>
      <c r="F53" s="1"/>
      <c r="G53" s="1"/>
      <c r="H53" s="1"/>
      <c r="I53" s="1"/>
      <c r="J53" s="1" t="s">
        <v>40</v>
      </c>
      <c r="K53" s="1"/>
    </row>
    <row r="54">
      <c r="A54" s="1"/>
      <c r="B54" s="1" t="s">
        <v>812</v>
      </c>
      <c r="C54" s="1">
        <v>2539.1</v>
      </c>
      <c r="D54" s="1"/>
      <c r="E54" s="1"/>
      <c r="F54" s="1"/>
      <c r="G54" s="1"/>
      <c r="H54" s="1"/>
      <c r="I54" s="1"/>
      <c r="J54" s="1" t="s">
        <v>40</v>
      </c>
      <c r="K54" s="1"/>
    </row>
    <row r="55">
      <c r="A55" s="1"/>
      <c r="B55" s="1" t="s">
        <v>813</v>
      </c>
      <c r="C55" s="1">
        <v>2544.99</v>
      </c>
      <c r="D55" s="1"/>
      <c r="E55" s="1"/>
      <c r="F55" s="1"/>
      <c r="G55" s="1"/>
      <c r="H55" s="1"/>
      <c r="I55" s="1"/>
      <c r="J55" s="1" t="s">
        <v>40</v>
      </c>
      <c r="K55" s="1"/>
    </row>
    <row r="56">
      <c r="A56" s="1"/>
      <c r="B56" s="1" t="s">
        <v>814</v>
      </c>
      <c r="C56" s="1">
        <v>2614.9</v>
      </c>
      <c r="D56" s="1"/>
      <c r="E56" s="1"/>
      <c r="F56" s="1"/>
      <c r="G56" s="1"/>
      <c r="H56" s="1"/>
      <c r="I56" s="1"/>
      <c r="J56" s="1" t="s">
        <v>40</v>
      </c>
      <c r="K56" s="1"/>
    </row>
    <row r="57">
      <c r="A57" s="1"/>
      <c r="B57" s="1" t="s">
        <v>815</v>
      </c>
      <c r="C57" s="1">
        <v>2467.92</v>
      </c>
      <c r="D57" s="1"/>
      <c r="E57" s="1"/>
      <c r="F57" s="1"/>
      <c r="G57" s="1"/>
      <c r="H57" s="1"/>
      <c r="I57" s="1"/>
      <c r="J57" s="1" t="s">
        <v>40</v>
      </c>
      <c r="K57" s="1"/>
    </row>
    <row r="58">
      <c r="A58" s="1"/>
      <c r="B58" s="1" t="s">
        <v>816</v>
      </c>
      <c r="C58" s="1">
        <v>37.2</v>
      </c>
      <c r="D58" s="1"/>
      <c r="E58" s="1"/>
      <c r="F58" s="1"/>
      <c r="G58" s="1"/>
      <c r="H58" s="1"/>
      <c r="I58" s="1"/>
      <c r="J58" s="1" t="s">
        <v>40</v>
      </c>
      <c r="K58" s="1"/>
    </row>
    <row r="59">
      <c r="A59" s="1"/>
      <c r="B59" s="1" t="s">
        <v>817</v>
      </c>
      <c r="C59" s="1">
        <v>16</v>
      </c>
      <c r="D59" s="1"/>
      <c r="E59" s="1"/>
      <c r="F59" s="1"/>
      <c r="G59" s="1"/>
      <c r="H59" s="1"/>
      <c r="I59" s="1"/>
      <c r="J59" s="1" t="s">
        <v>40</v>
      </c>
      <c r="K59" s="1"/>
    </row>
    <row r="60">
      <c r="A60" s="1"/>
      <c r="B60" s="1" t="s">
        <v>818</v>
      </c>
      <c r="C60" s="1"/>
      <c r="D60" s="1"/>
      <c r="E60" s="1"/>
      <c r="F60" s="1"/>
      <c r="G60" s="1"/>
      <c r="H60" s="1"/>
      <c r="I60" s="1"/>
      <c r="J60" s="1" t="s">
        <v>40</v>
      </c>
      <c r="K60" s="1"/>
    </row>
    <row r="61">
      <c r="A61" s="1"/>
      <c r="B61" s="1" t="s">
        <v>819</v>
      </c>
      <c r="C61" s="1"/>
      <c r="D61" s="1"/>
      <c r="E61" s="1"/>
      <c r="F61" s="1"/>
      <c r="G61" s="1"/>
      <c r="H61" s="1"/>
      <c r="I61" s="1"/>
      <c r="J61" s="1" t="s">
        <v>40</v>
      </c>
      <c r="K61" s="1"/>
    </row>
    <row r="62">
      <c r="A62" s="1"/>
      <c r="B62" s="1" t="s">
        <v>820</v>
      </c>
      <c r="C62" s="1"/>
      <c r="D62" s="1"/>
      <c r="E62" s="1"/>
      <c r="F62" s="1"/>
      <c r="G62" s="1"/>
      <c r="H62" s="1"/>
      <c r="I62" s="1"/>
      <c r="J62" s="1" t="s">
        <v>40</v>
      </c>
      <c r="K62" s="1"/>
    </row>
    <row r="63">
      <c r="A63" s="1"/>
      <c r="B63" s="1" t="s">
        <v>821</v>
      </c>
      <c r="C63" s="1">
        <v>984.72</v>
      </c>
      <c r="D63" s="1"/>
      <c r="E63" s="1"/>
      <c r="F63" s="1"/>
      <c r="G63" s="1"/>
      <c r="H63" s="1"/>
      <c r="I63" s="1"/>
      <c r="J63" s="1" t="s">
        <v>40</v>
      </c>
      <c r="K63" s="1"/>
    </row>
    <row r="64">
      <c r="A64" s="1"/>
      <c r="B64" s="1" t="s">
        <v>822</v>
      </c>
      <c r="C64" s="1">
        <v>870.72</v>
      </c>
      <c r="D64" s="1"/>
      <c r="E64" s="1"/>
      <c r="F64" s="1"/>
      <c r="G64" s="1"/>
      <c r="H64" s="1"/>
      <c r="I64" s="1"/>
      <c r="J64" s="1" t="s">
        <v>40</v>
      </c>
      <c r="K64" s="1"/>
    </row>
    <row r="65">
      <c r="A65" s="1"/>
      <c r="B65" s="1" t="s">
        <v>823</v>
      </c>
      <c r="C65" s="1"/>
      <c r="D65" s="1"/>
      <c r="E65" s="1"/>
      <c r="F65" s="1"/>
      <c r="G65" s="1"/>
      <c r="H65" s="1"/>
      <c r="I65" s="1"/>
      <c r="J65" s="1" t="s">
        <v>40</v>
      </c>
      <c r="K65" s="1"/>
    </row>
    <row r="66">
      <c r="A66" s="1"/>
      <c r="B66" s="1" t="s">
        <v>824</v>
      </c>
      <c r="C66" s="1"/>
      <c r="D66" s="1"/>
      <c r="E66" s="1"/>
      <c r="F66" s="1"/>
      <c r="G66" s="1"/>
      <c r="H66" s="1"/>
      <c r="I66" s="1"/>
      <c r="J66" s="1" t="s">
        <v>40</v>
      </c>
      <c r="K66" s="1"/>
    </row>
    <row r="67">
      <c r="A67" s="1"/>
      <c r="B67" s="1" t="s">
        <v>825</v>
      </c>
      <c r="C67" s="1">
        <v>609.02</v>
      </c>
      <c r="D67" s="1"/>
      <c r="E67" s="1"/>
      <c r="F67" s="1"/>
      <c r="G67" s="1"/>
      <c r="H67" s="1"/>
      <c r="I67" s="1"/>
      <c r="J67" s="1" t="s">
        <v>40</v>
      </c>
      <c r="K67" s="1"/>
    </row>
    <row r="68">
      <c r="A68" s="1"/>
      <c r="B68" s="1" t="s">
        <v>826</v>
      </c>
      <c r="C68" s="1">
        <v>616.35</v>
      </c>
      <c r="D68" s="1"/>
      <c r="E68" s="1"/>
      <c r="F68" s="1"/>
      <c r="G68" s="1"/>
      <c r="H68" s="1"/>
      <c r="I68" s="1"/>
      <c r="J68" s="1" t="s">
        <v>40</v>
      </c>
      <c r="K68" s="1"/>
    </row>
    <row r="69">
      <c r="A69" s="1"/>
      <c r="B69" s="1" t="s">
        <v>827</v>
      </c>
      <c r="C69" s="1">
        <v>52.51</v>
      </c>
      <c r="D69" s="1"/>
      <c r="E69" s="1"/>
      <c r="F69" s="1"/>
      <c r="G69" s="1"/>
      <c r="H69" s="1"/>
      <c r="I69" s="1"/>
      <c r="J69" s="1" t="s">
        <v>40</v>
      </c>
      <c r="K69" s="1"/>
    </row>
    <row r="70">
      <c r="A70" s="1"/>
      <c r="B70" s="1" t="s">
        <v>828</v>
      </c>
      <c r="C70" s="1">
        <v>20.19</v>
      </c>
      <c r="D70" s="1"/>
      <c r="E70" s="1"/>
      <c r="F70" s="1"/>
      <c r="G70" s="1"/>
      <c r="H70" s="1"/>
      <c r="I70" s="1"/>
      <c r="J70" s="1" t="s">
        <v>40</v>
      </c>
      <c r="K70" s="1"/>
    </row>
    <row r="71">
      <c r="A71" s="1"/>
      <c r="B71" s="1" t="s">
        <v>829</v>
      </c>
      <c r="C71" s="1">
        <v>111.4</v>
      </c>
      <c r="D71" s="1"/>
      <c r="E71" s="1"/>
      <c r="F71" s="1"/>
      <c r="G71" s="1"/>
      <c r="H71" s="1"/>
      <c r="I71" s="1"/>
      <c r="J71" s="1" t="s">
        <v>40</v>
      </c>
      <c r="K71" s="1"/>
    </row>
    <row r="72">
      <c r="A72" s="1"/>
      <c r="B72" s="1" t="s">
        <v>830</v>
      </c>
      <c r="C72" s="1">
        <v>-207.95</v>
      </c>
      <c r="D72" s="1"/>
      <c r="E72" s="1"/>
      <c r="F72" s="1"/>
      <c r="G72" s="1"/>
      <c r="H72" s="1"/>
      <c r="I72" s="1"/>
      <c r="J72" s="1" t="s">
        <v>40</v>
      </c>
      <c r="K72" s="1"/>
    </row>
    <row r="73">
      <c r="A73" s="1"/>
      <c r="B73" s="1" t="s">
        <v>831</v>
      </c>
      <c r="C73" s="1">
        <v>799.63</v>
      </c>
      <c r="D73" s="1"/>
      <c r="E73" s="1"/>
      <c r="F73" s="1"/>
      <c r="G73" s="1"/>
      <c r="H73" s="1"/>
      <c r="I73" s="1"/>
      <c r="J73" s="1" t="s">
        <v>40</v>
      </c>
      <c r="K73" s="1"/>
    </row>
    <row r="74">
      <c r="A74" s="1"/>
      <c r="B74" s="1" t="s">
        <v>832</v>
      </c>
      <c r="C74" s="1">
        <v>471.5</v>
      </c>
      <c r="D74" s="1"/>
      <c r="E74" s="1"/>
      <c r="F74" s="1"/>
      <c r="G74" s="1"/>
      <c r="H74" s="1"/>
      <c r="I74" s="1"/>
      <c r="J74" s="1" t="s">
        <v>40</v>
      </c>
      <c r="K74" s="1"/>
    </row>
    <row r="75">
      <c r="A75" s="1"/>
      <c r="B75" s="1" t="s">
        <v>833</v>
      </c>
      <c r="C75" s="1"/>
      <c r="D75" s="1"/>
      <c r="E75" s="1"/>
      <c r="F75" s="1"/>
      <c r="G75" s="1"/>
      <c r="H75" s="1"/>
      <c r="I75" s="1"/>
      <c r="J75" s="1" t="s">
        <v>40</v>
      </c>
      <c r="K75" s="1"/>
    </row>
    <row r="76">
      <c r="A76" s="1"/>
      <c r="B76" s="1" t="s">
        <v>834</v>
      </c>
      <c r="C76" s="1"/>
      <c r="D76" s="1"/>
      <c r="E76" s="1"/>
      <c r="F76" s="1"/>
      <c r="G76" s="1"/>
      <c r="H76" s="1"/>
      <c r="I76" s="1"/>
      <c r="J76" s="1" t="s">
        <v>40</v>
      </c>
      <c r="K76" s="1"/>
    </row>
    <row r="77">
      <c r="A77" s="1"/>
      <c r="B77" s="1" t="s">
        <v>835</v>
      </c>
      <c r="C77" s="1">
        <v>5.09</v>
      </c>
      <c r="D77" s="1"/>
      <c r="E77" s="1"/>
      <c r="F77" s="1"/>
      <c r="G77" s="1"/>
      <c r="H77" s="1"/>
      <c r="I77" s="1"/>
      <c r="J77" s="1" t="s">
        <v>40</v>
      </c>
      <c r="K77" s="1"/>
    </row>
    <row r="78">
      <c r="A78" s="1"/>
      <c r="B78" s="1" t="s">
        <v>836</v>
      </c>
      <c r="C78" s="1"/>
      <c r="D78" s="1"/>
      <c r="E78" s="1"/>
      <c r="F78" s="1"/>
      <c r="G78" s="1"/>
      <c r="H78" s="1"/>
      <c r="I78" s="1"/>
      <c r="J78" s="1" t="s">
        <v>40</v>
      </c>
      <c r="K78" s="1"/>
    </row>
    <row r="79">
      <c r="A79" s="1"/>
      <c r="B79" s="1" t="s">
        <v>837</v>
      </c>
      <c r="C79" s="1">
        <v>1.03</v>
      </c>
      <c r="D79" s="1"/>
      <c r="E79" s="1"/>
      <c r="F79" s="1"/>
      <c r="G79" s="1"/>
      <c r="H79" s="1"/>
      <c r="I79" s="1"/>
      <c r="J79" s="1" t="s">
        <v>40</v>
      </c>
      <c r="K79" s="1"/>
    </row>
    <row r="80">
      <c r="A80" s="1"/>
      <c r="B80" s="1" t="s">
        <v>838</v>
      </c>
      <c r="C80" s="1"/>
      <c r="D80" s="1"/>
      <c r="E80" s="1"/>
      <c r="F80" s="1"/>
      <c r="G80" s="1"/>
      <c r="H80" s="1"/>
      <c r="I80" s="1"/>
      <c r="J80" s="1" t="s">
        <v>40</v>
      </c>
      <c r="K80" s="1"/>
    </row>
    <row r="81">
      <c r="A81" s="1"/>
      <c r="B81" s="1" t="s">
        <v>839</v>
      </c>
      <c r="C81" s="1"/>
      <c r="D81" s="1"/>
      <c r="E81" s="1"/>
      <c r="F81" s="1"/>
      <c r="G81" s="1"/>
      <c r="H81" s="1"/>
      <c r="I81" s="1"/>
      <c r="J81" s="1" t="s">
        <v>40</v>
      </c>
      <c r="K81" s="1"/>
    </row>
    <row r="82">
      <c r="A82" s="1"/>
      <c r="B82" s="1" t="s">
        <v>840</v>
      </c>
      <c r="C82" s="1"/>
      <c r="D82" s="1"/>
      <c r="E82" s="1"/>
      <c r="F82" s="1"/>
      <c r="G82" s="1"/>
      <c r="H82" s="1"/>
      <c r="I82" s="1"/>
      <c r="J82" s="1" t="s">
        <v>40</v>
      </c>
      <c r="K82" s="1"/>
    </row>
    <row r="83">
      <c r="A83" s="1"/>
      <c r="B83" s="1" t="s">
        <v>841</v>
      </c>
      <c r="C83" s="1"/>
      <c r="D83" s="1"/>
      <c r="E83" s="1"/>
      <c r="F83" s="1"/>
      <c r="G83" s="1"/>
      <c r="H83" s="1"/>
      <c r="I83" s="1"/>
      <c r="J83" s="1" t="s">
        <v>40</v>
      </c>
      <c r="K83" s="1"/>
    </row>
    <row r="84">
      <c r="A84" s="1"/>
      <c r="B84" s="1" t="s">
        <v>842</v>
      </c>
      <c r="C84" s="1">
        <v>163.35</v>
      </c>
      <c r="D84" s="1"/>
      <c r="E84" s="1"/>
      <c r="F84" s="1"/>
      <c r="G84" s="1"/>
      <c r="H84" s="1"/>
      <c r="I84" s="1"/>
      <c r="J84" s="1" t="s">
        <v>843</v>
      </c>
      <c r="K84" s="1"/>
    </row>
    <row r="85">
      <c r="A85" s="1"/>
      <c r="B85" s="1" t="s">
        <v>844</v>
      </c>
      <c r="C85" s="1">
        <v>165</v>
      </c>
      <c r="D85" s="1"/>
      <c r="E85" s="1"/>
      <c r="F85" s="1"/>
      <c r="G85" s="1"/>
      <c r="H85" s="1"/>
      <c r="I85" s="1"/>
      <c r="J85" s="1" t="s">
        <v>843</v>
      </c>
      <c r="K85" s="1"/>
    </row>
    <row r="86">
      <c r="A86" s="1"/>
      <c r="B86" s="1" t="s">
        <v>845</v>
      </c>
      <c r="C86" s="1">
        <v>209</v>
      </c>
      <c r="D86" s="1"/>
      <c r="E86" s="1"/>
      <c r="F86" s="1"/>
      <c r="G86" s="1"/>
      <c r="H86" s="1"/>
      <c r="I86" s="1"/>
      <c r="J86" s="1" t="s">
        <v>843</v>
      </c>
      <c r="K86" s="1"/>
    </row>
    <row r="87">
      <c r="A87" s="1"/>
      <c r="B87" s="1" t="s">
        <v>846</v>
      </c>
      <c r="C87" s="1">
        <v>110</v>
      </c>
      <c r="D87" s="1"/>
      <c r="E87" s="1"/>
      <c r="F87" s="1"/>
      <c r="G87" s="1"/>
      <c r="H87" s="1"/>
      <c r="I87" s="1"/>
      <c r="J87" s="1" t="s">
        <v>843</v>
      </c>
      <c r="K87" s="1"/>
    </row>
    <row r="88">
      <c r="A88" s="1"/>
      <c r="B88" s="1" t="s">
        <v>847</v>
      </c>
      <c r="C88" s="1">
        <v>25.2</v>
      </c>
      <c r="D88" s="1"/>
      <c r="E88" s="1"/>
      <c r="F88" s="1"/>
      <c r="G88" s="1"/>
      <c r="H88" s="1"/>
      <c r="I88" s="1"/>
      <c r="J88" s="1" t="s">
        <v>843</v>
      </c>
      <c r="K88" s="1"/>
    </row>
    <row r="89">
      <c r="A89" s="1"/>
      <c r="B89" s="1" t="s">
        <v>848</v>
      </c>
      <c r="C89" s="1">
        <v>23</v>
      </c>
      <c r="D89" s="1"/>
      <c r="E89" s="1"/>
      <c r="F89" s="1"/>
      <c r="G89" s="1"/>
      <c r="H89" s="1"/>
      <c r="I89" s="1"/>
      <c r="J89" s="1" t="s">
        <v>843</v>
      </c>
      <c r="K89" s="1"/>
    </row>
    <row r="90">
      <c r="A90" s="1"/>
      <c r="B90" s="1" t="s">
        <v>849</v>
      </c>
      <c r="C90" s="1" t="s">
        <v>850</v>
      </c>
      <c r="D90" s="1"/>
      <c r="E90" s="1"/>
      <c r="F90" s="1"/>
      <c r="G90" s="1"/>
      <c r="H90" s="1"/>
      <c r="I90" s="1"/>
      <c r="J90" s="1" t="s">
        <v>40</v>
      </c>
      <c r="K90" s="1"/>
    </row>
    <row r="91">
      <c r="A91" s="1"/>
      <c r="B91" s="1" t="s">
        <v>851</v>
      </c>
      <c r="C91" s="1">
        <v>2.04</v>
      </c>
      <c r="D91" s="1"/>
      <c r="E91" s="1"/>
      <c r="F91" s="1"/>
      <c r="G91" s="1"/>
      <c r="H91" s="1"/>
      <c r="I91" s="1"/>
      <c r="J91" s="1" t="s">
        <v>40</v>
      </c>
      <c r="K91" s="1"/>
    </row>
    <row r="92">
      <c r="A92" s="1"/>
      <c r="B92" s="1" t="s">
        <v>852</v>
      </c>
      <c r="C92" s="1">
        <v>112.87</v>
      </c>
      <c r="D92" s="1"/>
      <c r="E92" s="1"/>
      <c r="F92" s="1"/>
      <c r="G92" s="1"/>
      <c r="H92" s="1"/>
      <c r="I92" s="1"/>
      <c r="J92" s="1" t="s">
        <v>40</v>
      </c>
      <c r="K92" s="1"/>
    </row>
    <row r="93">
      <c r="A93" s="1"/>
      <c r="B93" s="1" t="s">
        <v>853</v>
      </c>
      <c r="C93" s="1"/>
      <c r="D93" s="1"/>
      <c r="E93" s="1"/>
      <c r="F93" s="1"/>
      <c r="G93" s="1"/>
      <c r="H93" s="1"/>
      <c r="I93" s="1"/>
      <c r="J93" s="1" t="s">
        <v>40</v>
      </c>
      <c r="K93" s="1"/>
    </row>
    <row r="94">
      <c r="A94" s="1"/>
      <c r="B94" s="1" t="s">
        <v>771</v>
      </c>
      <c r="C94" s="1" t="s">
        <v>772</v>
      </c>
      <c r="D94" s="1"/>
      <c r="E94" s="1"/>
      <c r="F94" s="1"/>
      <c r="G94" s="1"/>
      <c r="H94" s="1"/>
      <c r="I94" s="1"/>
      <c r="J94" s="1" t="s">
        <v>40</v>
      </c>
      <c r="K94" s="1"/>
    </row>
    <row r="95">
      <c r="A95" s="1"/>
      <c r="B95" s="1" t="s">
        <v>854</v>
      </c>
      <c r="C95" s="1" t="s">
        <v>855</v>
      </c>
      <c r="D95" s="1"/>
      <c r="E95" s="1"/>
      <c r="F95" s="1"/>
      <c r="G95" s="1"/>
      <c r="H95" s="1"/>
      <c r="I95" s="1"/>
      <c r="J95" s="1" t="s">
        <v>40</v>
      </c>
      <c r="K95" s="1"/>
    </row>
    <row r="96">
      <c r="A96" s="1"/>
      <c r="B96" s="1" t="s">
        <v>856</v>
      </c>
      <c r="C96" s="45" t="s">
        <v>639</v>
      </c>
      <c r="D96" s="1"/>
      <c r="E96" s="1"/>
      <c r="F96" s="1"/>
      <c r="G96" s="1"/>
      <c r="H96" s="1"/>
      <c r="I96" s="1"/>
      <c r="J96" s="1" t="s">
        <v>40</v>
      </c>
      <c r="K96" s="1"/>
    </row>
    <row r="97">
      <c r="A97" s="1"/>
      <c r="B97" s="1" t="s">
        <v>857</v>
      </c>
      <c r="C97" s="1"/>
      <c r="D97" s="1"/>
      <c r="E97" s="1"/>
      <c r="F97" s="1"/>
      <c r="G97" s="1"/>
      <c r="H97" s="1"/>
      <c r="I97" s="1"/>
      <c r="J97" s="1" t="s">
        <v>40</v>
      </c>
      <c r="K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>
      <c r="A99" s="1"/>
      <c r="B99" s="27" t="s">
        <v>858</v>
      </c>
      <c r="C99" s="1"/>
      <c r="D99" s="1"/>
      <c r="E99" s="1"/>
      <c r="F99" s="1"/>
      <c r="G99" s="1"/>
      <c r="H99" s="1"/>
      <c r="I99" s="1"/>
      <c r="J99" s="1"/>
      <c r="K99" s="1"/>
    </row>
    <row r="100" ht="54">
      <c r="A100" s="1"/>
      <c r="B100" s="46" t="s">
        <v>763</v>
      </c>
      <c r="C100" s="46" t="s">
        <v>859</v>
      </c>
      <c r="D100" s="53" t="s">
        <v>860</v>
      </c>
      <c r="E100" s="53" t="s">
        <v>861</v>
      </c>
      <c r="F100" s="53" t="s">
        <v>862</v>
      </c>
      <c r="G100" s="53" t="s">
        <v>863</v>
      </c>
      <c r="H100" s="53" t="s">
        <v>864</v>
      </c>
      <c r="I100" s="6" t="s">
        <v>865</v>
      </c>
      <c r="J100" s="55" t="s">
        <v>866</v>
      </c>
      <c r="K100" s="1"/>
    </row>
    <row r="101">
      <c r="A101" s="1"/>
      <c r="B101" s="45" t="s">
        <v>867</v>
      </c>
      <c r="C101" s="45" t="s">
        <v>596</v>
      </c>
      <c r="D101" s="1">
        <v>2.27</v>
      </c>
      <c r="E101" s="1">
        <v>2.63</v>
      </c>
      <c r="F101" s="1">
        <v>2.26</v>
      </c>
      <c r="G101" s="1">
        <v>-2.09</v>
      </c>
      <c r="H101" s="1">
        <v>2123.05</v>
      </c>
      <c r="I101" s="1">
        <v>2164.2</v>
      </c>
      <c r="J101" s="1" t="s">
        <v>868</v>
      </c>
      <c r="K101" s="1"/>
    </row>
    <row r="102">
      <c r="A102" s="1"/>
      <c r="B102" s="45" t="s">
        <v>869</v>
      </c>
      <c r="C102" s="45" t="s">
        <v>603</v>
      </c>
      <c r="D102" s="1">
        <v>3.29</v>
      </c>
      <c r="E102" s="1">
        <v>3.22</v>
      </c>
      <c r="F102" s="1">
        <v>3.27</v>
      </c>
      <c r="G102" s="1">
        <v>2.9</v>
      </c>
      <c r="H102" s="1">
        <v>2555.81</v>
      </c>
      <c r="I102" s="1">
        <v>2515</v>
      </c>
      <c r="J102" s="1" t="s">
        <v>870</v>
      </c>
      <c r="K102" s="1"/>
    </row>
    <row r="103">
      <c r="A103" s="1"/>
      <c r="B103" s="45" t="s">
        <v>871</v>
      </c>
      <c r="C103" s="45" t="s">
        <v>613</v>
      </c>
      <c r="D103" s="1">
        <v>3.41</v>
      </c>
      <c r="E103" s="1">
        <v>3.63</v>
      </c>
      <c r="F103" s="1">
        <v>3.32</v>
      </c>
      <c r="G103" s="1">
        <v>2.65</v>
      </c>
      <c r="H103" s="1">
        <v>2457.62</v>
      </c>
      <c r="I103" s="1">
        <v>2481</v>
      </c>
      <c r="J103" s="1" t="s">
        <v>872</v>
      </c>
      <c r="K103" s="1"/>
    </row>
    <row r="104">
      <c r="A104" s="1"/>
      <c r="B104" s="45" t="s">
        <v>873</v>
      </c>
      <c r="C104" s="45" t="s">
        <v>616</v>
      </c>
      <c r="D104" s="1">
        <v>2.63</v>
      </c>
      <c r="E104" s="1">
        <v>3.06</v>
      </c>
      <c r="F104" s="1">
        <v>2.64</v>
      </c>
      <c r="G104" s="1">
        <v>2.88</v>
      </c>
      <c r="H104" s="1">
        <v>2156.17</v>
      </c>
      <c r="I104" s="1">
        <v>2222.8</v>
      </c>
      <c r="J104" s="1" t="s">
        <v>874</v>
      </c>
      <c r="K104" s="1"/>
    </row>
    <row r="105">
      <c r="A105" s="1"/>
      <c r="B105" s="45" t="s">
        <v>875</v>
      </c>
      <c r="C105" s="45" t="s">
        <v>618</v>
      </c>
      <c r="D105" s="1">
        <v>1.71</v>
      </c>
      <c r="E105" s="1">
        <v>1.9</v>
      </c>
      <c r="F105" s="1">
        <v>1.66</v>
      </c>
      <c r="G105" s="1">
        <v>1.16</v>
      </c>
      <c r="H105" s="1">
        <v>1879.71</v>
      </c>
      <c r="I105" s="1">
        <v>1920.2</v>
      </c>
      <c r="J105" s="1" t="s">
        <v>876</v>
      </c>
      <c r="K105" s="1"/>
    </row>
    <row r="106">
      <c r="A106" s="1"/>
      <c r="B106" s="45" t="s">
        <v>877</v>
      </c>
      <c r="C106" s="45" t="s">
        <v>622</v>
      </c>
      <c r="D106" s="1">
        <v>3.2</v>
      </c>
      <c r="E106" s="1">
        <v>3.43</v>
      </c>
      <c r="F106" s="1">
        <v>3.15</v>
      </c>
      <c r="G106" s="1">
        <v>3.79</v>
      </c>
      <c r="H106" s="1">
        <v>2389.12</v>
      </c>
      <c r="I106" s="1">
        <v>2432.7</v>
      </c>
      <c r="J106" s="1" t="s">
        <v>878</v>
      </c>
      <c r="K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>
      <c r="A108" s="1"/>
      <c r="B108" s="27" t="s">
        <v>879</v>
      </c>
      <c r="C108" s="1"/>
      <c r="D108" s="1"/>
      <c r="E108" s="1"/>
      <c r="F108" s="1"/>
      <c r="G108" s="1"/>
      <c r="H108" s="1"/>
      <c r="I108" s="1"/>
      <c r="J108" s="1"/>
      <c r="K108" s="1"/>
    </row>
    <row r="109">
      <c r="A109" s="1"/>
      <c r="B109" s="1" t="s">
        <v>880</v>
      </c>
      <c r="C109" s="15"/>
      <c r="D109" s="15"/>
      <c r="E109" s="15"/>
      <c r="F109" s="15"/>
      <c r="G109" s="15"/>
      <c r="H109" s="15"/>
      <c r="I109" s="1"/>
      <c r="J109" s="1"/>
      <c r="K109" s="1"/>
    </row>
    <row r="110">
      <c r="A110" s="1"/>
      <c r="B110" s="1" t="s">
        <v>881</v>
      </c>
      <c r="C110" s="4">
        <f>E101-D101</f>
        <v>0.3599999999999999</v>
      </c>
      <c r="D110" s="4"/>
      <c r="E110" s="4"/>
      <c r="F110" s="4"/>
      <c r="G110" s="4"/>
      <c r="H110" s="4"/>
      <c r="I110" s="1"/>
      <c r="J110" s="1"/>
      <c r="K110" s="1"/>
    </row>
    <row r="111">
      <c r="A111" s="1"/>
      <c r="B111" s="1" t="s">
        <v>882</v>
      </c>
      <c r="C111" s="4">
        <f>E102-D102</f>
        <v>-0.06999999999999984</v>
      </c>
      <c r="D111" s="4"/>
      <c r="E111" s="4"/>
      <c r="F111" s="4"/>
      <c r="G111" s="4"/>
      <c r="H111" s="4"/>
      <c r="I111" s="1"/>
      <c r="J111" s="1"/>
      <c r="K111" s="1"/>
    </row>
    <row r="112">
      <c r="A112" s="1"/>
      <c r="B112" s="1" t="s">
        <v>883</v>
      </c>
      <c r="C112" s="4">
        <f>E103-D103</f>
        <v>0.21999999999999975</v>
      </c>
      <c r="D112" s="4"/>
      <c r="E112" s="4"/>
      <c r="F112" s="4"/>
      <c r="G112" s="4"/>
      <c r="H112" s="4"/>
      <c r="I112" s="1"/>
      <c r="J112" s="1"/>
      <c r="K112" s="1"/>
    </row>
    <row r="113">
      <c r="A113" s="1"/>
      <c r="B113" s="1" t="s">
        <v>884</v>
      </c>
      <c r="C113" s="4">
        <f>E104-D104</f>
        <v>0.43000000000000016</v>
      </c>
      <c r="D113" s="4"/>
      <c r="E113" s="4"/>
      <c r="F113" s="4"/>
      <c r="G113" s="4"/>
      <c r="H113" s="4"/>
      <c r="I113" s="1"/>
      <c r="J113" s="1"/>
      <c r="K113" s="1"/>
    </row>
    <row r="114">
      <c r="A114" s="1"/>
      <c r="B114" s="1" t="s">
        <v>885</v>
      </c>
      <c r="C114" s="4">
        <f>E105-D105</f>
        <v>0.18999999999999995</v>
      </c>
      <c r="D114" s="4"/>
      <c r="E114" s="4"/>
      <c r="F114" s="4"/>
      <c r="G114" s="4"/>
      <c r="H114" s="4"/>
      <c r="I114" s="1"/>
      <c r="J114" s="1"/>
      <c r="K114" s="1"/>
    </row>
    <row r="115">
      <c r="A115" s="1"/>
      <c r="B115" s="1" t="s">
        <v>886</v>
      </c>
      <c r="C115" s="4">
        <f>E106-D106</f>
        <v>0.22999999999999998</v>
      </c>
      <c r="D115" s="4"/>
      <c r="E115" s="4"/>
      <c r="F115" s="4"/>
      <c r="G115" s="4"/>
      <c r="H115" s="4"/>
      <c r="I115" s="1"/>
      <c r="J115" s="1"/>
      <c r="K115" s="1"/>
    </row>
    <row r="116" ht="54">
      <c r="A116" s="1"/>
      <c r="B116" s="1" t="s">
        <v>887</v>
      </c>
      <c r="C116" s="57">
        <f>IF(AND(ISNUMBER(D101),ISNUMBER(E101)),IF(E101&gt;D101,1,0),0)+IF(AND(ISNUMBER(D102),ISNUMBER(E102)),IF(E102&gt;D102,1,0),0)+IF(AND(ISNUMBER(D103),ISNUMBER(E103)),IF(E103&gt;D103,1,0),0)+IF(AND(ISNUMBER(D104),ISNUMBER(E104)),IF(E104&gt;D104,1,0),0)+IF(AND(ISNUMBER(D105),ISNUMBER(E105)),IF(E105&gt;D105,1,0),0)+IF(AND(ISNUMBER(D106),ISNUMBER(E106)),IF(E106&gt;D106,1,0),0)</f>
        <v>5</v>
      </c>
      <c r="D116" s="33"/>
      <c r="E116" s="33"/>
      <c r="F116" s="33"/>
      <c r="G116" s="33"/>
      <c r="H116" s="33"/>
      <c r="I116" s="1"/>
      <c r="J116" s="55" t="s">
        <v>888</v>
      </c>
      <c r="K116" s="1"/>
    </row>
    <row r="117" ht="54">
      <c r="A117" s="1"/>
      <c r="B117" s="1" t="s">
        <v>889</v>
      </c>
      <c r="C117" s="57">
        <f>IF(AND(ISNUMBER(D101),ISNUMBER(E101)),1,0)+IF(AND(ISNUMBER(D102),ISNUMBER(E102)),1,0)+IF(AND(ISNUMBER(D103),ISNUMBER(E103)),1,0)+IF(AND(ISNUMBER(D104),ISNUMBER(E104)),1,0)+IF(AND(ISNUMBER(D105),ISNUMBER(E105)),1,0)+IF(AND(ISNUMBER(D106),ISNUMBER(E106)),1,0)</f>
        <v>6</v>
      </c>
      <c r="D117" s="33"/>
      <c r="E117" s="33"/>
      <c r="F117" s="33"/>
      <c r="G117" s="33"/>
      <c r="H117" s="33"/>
      <c r="I117" s="1"/>
      <c r="J117" s="55" t="s">
        <v>890</v>
      </c>
      <c r="K117" s="1"/>
    </row>
    <row r="118">
      <c r="A118" s="1"/>
      <c r="B118" s="1" t="s">
        <v>891</v>
      </c>
      <c r="C118" s="4">
        <f>AVERAGE(C110,C111,C112,C113,C114,C115)</f>
        <v>0.22666666666666666</v>
      </c>
      <c r="D118" s="4"/>
      <c r="E118" s="4"/>
      <c r="F118" s="4"/>
      <c r="G118" s="4"/>
      <c r="H118" s="4"/>
      <c r="I118" s="1"/>
      <c r="J118" s="1"/>
      <c r="K118" s="1"/>
    </row>
    <row r="119">
      <c r="A119" s="1"/>
      <c r="B119" s="1" t="s">
        <v>892</v>
      </c>
      <c r="C119" s="3">
        <v>19270</v>
      </c>
      <c r="D119" s="3"/>
      <c r="E119" s="3"/>
      <c r="F119" s="3"/>
      <c r="G119" s="3"/>
      <c r="H119" s="3"/>
      <c r="I119" s="1"/>
      <c r="J119" s="1" t="s">
        <v>893</v>
      </c>
      <c r="K119" s="1"/>
    </row>
    <row r="120">
      <c r="A120" s="1"/>
      <c r="B120" s="1" t="s">
        <v>894</v>
      </c>
      <c r="C120" s="3">
        <v>2000</v>
      </c>
      <c r="D120" s="3"/>
      <c r="E120" s="3"/>
      <c r="F120" s="3"/>
      <c r="G120" s="3"/>
      <c r="H120" s="3"/>
      <c r="I120" s="1"/>
      <c r="J120" s="1" t="s">
        <v>895</v>
      </c>
      <c r="K120" s="1"/>
    </row>
    <row r="121">
      <c r="A121" s="1"/>
      <c r="B121" s="1" t="s">
        <v>896</v>
      </c>
      <c r="C121" s="3">
        <v>10000</v>
      </c>
      <c r="D121" s="3"/>
      <c r="E121" s="3"/>
      <c r="F121" s="3"/>
      <c r="G121" s="3"/>
      <c r="H121" s="3"/>
      <c r="I121" s="1"/>
      <c r="J121" s="1"/>
      <c r="K121" s="1"/>
    </row>
    <row r="122">
      <c r="A122" s="1"/>
      <c r="B122" s="7" t="s">
        <v>897</v>
      </c>
      <c r="C122" s="2">
        <v>0.6</v>
      </c>
      <c r="D122" s="2"/>
      <c r="E122" s="2"/>
      <c r="F122" s="2"/>
      <c r="G122" s="2"/>
      <c r="H122" s="2"/>
      <c r="I122" s="1"/>
      <c r="J122" s="1" t="s">
        <v>898</v>
      </c>
      <c r="K122" s="1"/>
    </row>
    <row r="123">
      <c r="A123" s="1"/>
      <c r="B123" s="7" t="s">
        <v>899</v>
      </c>
      <c r="C123" s="2">
        <v>0.7</v>
      </c>
      <c r="D123" s="2"/>
      <c r="E123" s="2"/>
      <c r="F123" s="2"/>
      <c r="G123" s="2"/>
      <c r="H123" s="2"/>
      <c r="I123" s="1"/>
      <c r="J123" s="1"/>
      <c r="K123" s="1"/>
    </row>
    <row r="124">
      <c r="A124" s="1"/>
      <c r="B124" s="7" t="s">
        <v>900</v>
      </c>
      <c r="C124" s="2">
        <v>0.78</v>
      </c>
      <c r="D124" s="2"/>
      <c r="E124" s="2"/>
      <c r="F124" s="2"/>
      <c r="G124" s="2"/>
      <c r="H124" s="2"/>
      <c r="I124" s="1"/>
      <c r="J124" s="1"/>
      <c r="K124" s="1"/>
    </row>
    <row r="125">
      <c r="A125" s="1"/>
      <c r="B125" s="1" t="s">
        <v>901</v>
      </c>
      <c r="C125" s="15" t="str">
        <f>IF(C119&gt;C121,"large",IF(C119&gt;=C120,"mid","small"))</f>
        <v>large</v>
      </c>
      <c r="D125" s="15"/>
      <c r="E125" s="15"/>
      <c r="F125" s="15"/>
      <c r="G125" s="15"/>
      <c r="H125" s="15"/>
      <c r="I125" s="1"/>
      <c r="J125" s="1"/>
      <c r="K125" s="1"/>
    </row>
    <row r="126">
      <c r="A126" s="1"/>
      <c r="B126" s="1" t="s">
        <v>902</v>
      </c>
      <c r="C126" s="15" t="str">
        <f>C31</f>
        <v>Y</v>
      </c>
      <c r="D126" s="15"/>
      <c r="E126" s="15"/>
      <c r="F126" s="15"/>
      <c r="G126" s="15"/>
      <c r="H126" s="15"/>
      <c r="I126" s="1"/>
      <c r="J126" s="1"/>
      <c r="K126" s="1"/>
    </row>
    <row r="127">
      <c r="A127" s="1"/>
      <c r="B127" s="7" t="s">
        <v>903</v>
      </c>
      <c r="C127" s="2">
        <f>IF(OR(C125="large",C126="Y"),C124,IF(C125="mid",C123,C122))</f>
        <v>0.78</v>
      </c>
      <c r="D127" s="2"/>
      <c r="E127" s="2"/>
      <c r="F127" s="2"/>
      <c r="G127" s="2"/>
      <c r="H127" s="2"/>
      <c r="I127" s="1"/>
      <c r="J127" s="1"/>
      <c r="K127" s="1"/>
    </row>
    <row r="128">
      <c r="A128" s="1"/>
      <c r="B128" s="1" t="s">
        <v>904</v>
      </c>
      <c r="C128" s="33">
        <v>8</v>
      </c>
      <c r="D128" s="33"/>
      <c r="E128" s="33"/>
      <c r="F128" s="33"/>
      <c r="G128" s="33"/>
      <c r="H128" s="33"/>
      <c r="I128" s="1"/>
      <c r="J128" s="1"/>
      <c r="K128" s="1"/>
    </row>
    <row r="129">
      <c r="A129" s="1"/>
      <c r="B129" s="7" t="s">
        <v>905</v>
      </c>
      <c r="C129" s="2">
        <f>(C128*C127+C116)/(C128+C117)</f>
        <v>0.8028571428571428</v>
      </c>
      <c r="D129" s="2"/>
      <c r="E129" s="2"/>
      <c r="F129" s="2"/>
      <c r="G129" s="2"/>
      <c r="H129" s="2"/>
      <c r="I129" s="1"/>
      <c r="J129" s="1"/>
      <c r="K129" s="1"/>
    </row>
    <row r="130" ht="66.75">
      <c r="A130" s="1"/>
      <c r="B130" s="7" t="s">
        <v>906</v>
      </c>
      <c r="C130" s="2">
        <v>-0.18</v>
      </c>
      <c r="D130" s="2"/>
      <c r="E130" s="2"/>
      <c r="F130" s="2"/>
      <c r="G130" s="2"/>
      <c r="H130" s="2"/>
      <c r="I130" s="1"/>
      <c r="J130" s="55" t="s">
        <v>907</v>
      </c>
      <c r="K130" s="1"/>
    </row>
    <row r="131" ht="41.25">
      <c r="A131" s="1"/>
      <c r="B131" s="9" t="s">
        <v>908</v>
      </c>
      <c r="C131" s="49">
        <f>MAX(0,MIN(1,ROUND(C129+C130,2)))</f>
        <v>0.62</v>
      </c>
      <c r="D131" s="49"/>
      <c r="E131" s="49"/>
      <c r="F131" s="49"/>
      <c r="G131" s="49"/>
      <c r="H131" s="49"/>
      <c r="I131" s="1"/>
      <c r="J131" s="55" t="s">
        <v>909</v>
      </c>
      <c r="K131" s="1"/>
    </row>
    <row r="132">
      <c r="A132" s="1"/>
      <c r="B132" s="12" t="s">
        <v>35</v>
      </c>
      <c r="C132" s="47" t="s">
        <v>910</v>
      </c>
      <c r="D132" s="47"/>
      <c r="E132" s="47"/>
      <c r="F132" s="47"/>
      <c r="G132" s="47"/>
      <c r="H132" s="47"/>
      <c r="I132" s="1"/>
      <c r="J132" s="1"/>
      <c r="K132" s="1"/>
    </row>
    <row r="133">
      <c r="A133" s="1"/>
      <c r="B133" s="1" t="s">
        <v>911</v>
      </c>
      <c r="C133" s="54">
        <v>0.005</v>
      </c>
      <c r="D133" s="29"/>
      <c r="E133" s="29"/>
      <c r="F133" s="29"/>
      <c r="G133" s="29"/>
      <c r="H133" s="29"/>
      <c r="I133" s="1"/>
      <c r="J133" s="1" t="s">
        <v>912</v>
      </c>
      <c r="K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>
      <c r="A135" s="1"/>
      <c r="B135" s="27" t="s">
        <v>913</v>
      </c>
      <c r="C135" s="1"/>
      <c r="D135" s="1"/>
      <c r="E135" s="1"/>
      <c r="F135" s="1"/>
      <c r="G135" s="1"/>
      <c r="H135" s="1"/>
      <c r="I135" s="1"/>
      <c r="J135" s="1"/>
      <c r="K135" s="1"/>
    </row>
    <row r="136">
      <c r="A136" s="1"/>
      <c r="B136" s="1" t="s">
        <v>914</v>
      </c>
      <c r="C136" s="15"/>
      <c r="D136" s="15"/>
      <c r="E136" s="15"/>
      <c r="F136" s="15"/>
      <c r="G136" s="15"/>
      <c r="H136" s="15"/>
      <c r="I136" s="1"/>
      <c r="J136" s="1"/>
      <c r="K136" s="1"/>
    </row>
    <row r="137">
      <c r="A137" s="1"/>
      <c r="B137" s="1" t="s">
        <v>915</v>
      </c>
      <c r="C137" s="15"/>
      <c r="D137" s="15"/>
      <c r="E137" s="15"/>
      <c r="F137" s="15"/>
      <c r="G137" s="15"/>
      <c r="H137" s="15"/>
      <c r="I137" s="1"/>
      <c r="J137" s="1"/>
      <c r="K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</sheetData>
  <legacyDrawing r:id="rId2"/>
</worksheet>
</file>