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Income Statement" sheetId="3" r:id="rId4"/>
    <sheet name="Balance Sheet" sheetId="4" r:id="rId5"/>
    <sheet name="Cash Flow Statement" sheetId="5" r:id="rId6"/>
    <sheet name="Share Count" sheetId="6" r:id="rId7"/>
    <sheet name="Guidance" sheetId="7" r:id="rId8"/>
    <sheet name="Sources" sheetId="8" r:id="rId9"/>
    <sheet name="Inputs" sheetId="9" r:id="rId10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10" authorId="0">
      <text>
        <t>History: cash-flow purchases of investments (S2,S4,S6,S7). 2Q27E: $47m of follow-ons closed by 8-Jul-26 (S11) plus assumed ~$23m further July-August activity.</t>
      </text>
    </comment>
    <comment ref="B13" authorId="0">
      <text>
        <t>2Q27E: $31m repayments received by 8-Jul-26 (S11) plus assumed ~$14m further repayments.</t>
      </text>
    </comment>
    <comment ref="B19" authorId="0">
      <text>
        <t>2Q27E held at 1Q27A level (S2).</t>
      </text>
    </comment>
    <comment ref="B22" authorId="0">
      <text>
        <t>2Q27E held at 1Q27A level (S2).</t>
      </text>
    </comment>
    <comment ref="B41" authorId="0">
      <text>
        <t>History = reported total interest from investments (revenue build below). 2Q27E = average investments x annualized yield x days/365.</t>
      </text>
    </comment>
    <comment ref="B44" authorId="0">
      <text>
        <t>2Q27E 10.0% vs 9.98% in 1Q27A: core BDC rate 10.5% at 31-May-26 vs 10.4% at 28-Feb-26 (S1); Fed funds/SOFR flat through Jun-Aug 2026 (S20,S21); new unitranche at S+550-600 with FILO structures (S11) offset by higher-spread repayments.</t>
      </text>
    </comment>
    <comment ref="B48" authorId="0">
      <text>
        <t>Reported in each quarterly PR (S9,S8,S5,S3,S1).</t>
      </text>
    </comment>
    <comment ref="B51" authorId="0">
      <text>
        <t>Portfolio weighted average current yield on fair value, as reported (S9,S8,S5,S3,S1).</t>
      </text>
    </comment>
    <comment ref="B54" authorId="0">
      <text>
        <t>Company-defined core BDC net interest margin (S8,S5,S3,S1; 1Q26 from S8 prior-quarter reference).</t>
      </text>
    </comment>
    <comment ref="B82" authorId="0">
      <text>
        <t>History: simple average of opening and closing (distorted by intra-quarter timing). 2Q27E assumption $45m: $60.8m opening cash deployed into net originations; $85m note proceeds (26-Aug) held only 6 days (S12,S14).</t>
      </text>
    </comment>
    <comment ref="B88" authorId="0">
      <text>
        <t>2Q27E 4.0%: overnight SOFR averaged ~3.64% in Aug-26 (S21); reserve/SBIC accounts have historically earned above SOFR on a simple-average basis.</t>
      </text>
    </comment>
    <comment ref="B91" authorId="0">
      <text>
        <t>2Q27E = average Q/Q decline over 2Q26A-1Q27A (formula); the $360m CLO is in wind-down (S1).</t>
      </text>
    </comment>
    <comment ref="B94" authorId="0">
      <text>
        <t>2Q27E 0.75% vs 0.83% in 1Q27A and 0.81% in 4Q26A; 2Q27 originations weighted to follow-ons (S11).</t>
      </text>
    </comment>
    <comment ref="B99" authorId="0">
      <text>
        <t>2Q27E = forecast interest from investments x 1Q27A share of this component.</t>
      </text>
    </comment>
    <comment ref="B103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06" authorId="0">
      <text>
        <t>2Q27E = forecast interest from investments x 1Q27A share of this component.</t>
      </text>
    </comment>
    <comment ref="B110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13" authorId="0">
      <text>
        <t>2Q27E = forecast interest from investments x 1Q27A share of this component.</t>
      </text>
    </comment>
    <comment ref="B117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24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27" authorId="0">
      <text>
        <t>2Q27E = forecast interest from investments x 1Q27A share of this component.</t>
      </text>
    </comment>
    <comment ref="B131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34" authorId="0">
      <text>
        <t>2Q27E = forecast interest from investments x 1Q27A share of this component.</t>
      </text>
    </comment>
    <comment ref="B138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41" authorId="0">
      <text>
        <t>2Q27E = forecast interest from investments x 1Q27A share of this component.</t>
      </text>
    </comment>
    <comment ref="B145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52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59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66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73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76" authorId="0">
      <text>
        <t>2Q27E $0.10m: lumpy; average of last four quarters $0.17m, nil in 1Q27A.</t>
      </text>
    </comment>
    <comment ref="B180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83" authorId="0">
      <text>
        <t>2Q27E $0.80m vs $0.78m 1Q27A and $0.90m average of prior three quarters; JV marked up $2.9m in 1Q27 (S1).</t>
      </text>
    </comment>
    <comment ref="B187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194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201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204" authorId="0">
      <text>
        <t>2Q27E $0.30m vs $0.34m average of last four quarters.</t>
      </text>
    </comment>
    <comment ref="B208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215" authorId="0">
      <text>
        <t>Organic = (1+Y/Y)/((1+M&amp;A)*(1+FX))-1, live formula. Returns n/a because SAR does not disclose M&amp;A/scope or FX effects on investment income (Q1 FY27 10-Q, FY26 10-K); zero is not assumed.</t>
      </text>
    </comment>
    <comment ref="B218" authorId="0">
      <text>
        <t>Reported quarterly totals (S9,S7,S5,S3,S1); FY26A total from FY26 statement of operations (S3).</t>
      </text>
    </comment>
    <comment ref="B220" authorId="0">
      <text>
        <t>Repair r1 (F01): row 220 recomputes the same sum as row 211, so it is zero by construction in every column. Retained as a structural check only; excluded from Cover!C30.</t>
      </text>
    </comment>
    <comment ref="B29" authorId="0">
      <text>
        <t>Repair r1 (F10): % change shows n/a when the base period is &lt;= 0 or the current period is negative (sign change). Same rule applied to rows 26, 205, 206.</t>
      </text>
    </comment>
    <comment ref="I35" authorId="0">
      <text>
        <t>Repair r2 (F03): forecast-column identity removed (was =ROUND(I31-I34,2), zero by construction because Balance Sheet!I9 is derived from this roll-forward). Shows n/a like other forecast-column checks. Historical C35:H35 remain genuine ties in Cover!C30.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B22" authorId="0">
      <text>
        <t>2Q27E $0.60m vs $0.66m four-quarter average.</t>
      </text>
    </comment>
    <comment ref="B23" authorId="0">
      <text>
        <t>2Q27E flat at $1.35m (unchanged for three quarters).</t>
      </text>
    </comment>
    <comment ref="B26" authorId="0">
      <text>
        <t>2Q27E $0.55m vs $0.55m four-quarter average.</t>
      </text>
    </comment>
    <comment ref="B28" authorId="0">
      <text>
        <t>Excise tax is accrued annually in 4Q (S3); none expected in 2Q27.</t>
      </text>
    </comment>
    <comment ref="B45" authorId="0">
      <text>
        <t>2Q27E -$5.0m assumption: Exigo on red watchlist, BDC sector marks still declining at a slower pace in calendar 2Q26 (S1,S25). GAAP only; excluded from adjusted NII.</t>
      </text>
    </comment>
    <comment ref="B51" authorId="0">
      <text>
        <t>6.00% 2027 notes redeemed 18-Sep-26 (after quarter end): any write-off of unamortized costs falls in 3Q27 (S12).</t>
      </text>
    </comment>
    <comment ref="B68" authorId="0">
      <text>
        <t>Company adjustment; nil in every recent quarter and none expected with net unrealized losses (S1,S3).</t>
      </text>
    </comment>
    <comment ref="B69" authorId="0">
      <text>
        <t>4Q26A: $0.74m add-back for 7.25% 2030 and 7.50% 2031 notes outstanding alongside the 4.375% notes (S3). 2Q27E: same treatment assumed for the 8.00% 2031 (SAX) notes issued 26-Aug-26 to redeem the 6.00% 2027 notes on 18-Sep-26 (S12,S14).</t>
      </text>
    </comment>
    <comment ref="B96" authorId="0">
      <text>
        <t>Reported in 10-Q borrowings note for 1Q27A and 1Q26A (S2). 2Q27E = face debt at 31-May-26 + SAX notes x days outstanding / 92.</t>
      </text>
    </comment>
    <comment ref="B106" authorId="0">
      <text>
        <t>2Q27E $1.33m vs $1.30m in 1Q27A: adds full quarter of 2029-note discount/costs and 6 days of SAX costs.</t>
      </text>
    </comment>
    <comment ref="B113" authorId="0">
      <text>
        <t>8-K 18/19-Aug-26 and 8-K 26-Aug-26 (S12,S14). Over-allotment/add-on of $35.8m came in September (S18) and is excluded.</t>
      </text>
    </comment>
    <comment ref="B122" authorId="0">
      <text>
        <t>Contractual 1.75% of average gross assets excluding cash; history back-solves to ~1.75%.</t>
      </text>
    </comment>
    <comment ref="B132" authorId="0">
      <text>
        <t>1.875% per quarter (7.5% annualized) on net assets; 20% incentive fee with full catch-up (advisory agreement, 10-K S4).</t>
      </text>
    </comment>
    <comment ref="B88" authorId="0">
      <text>
        <t>Repair r1 (F01): because row 52 = NII + gains + extinguishment, rows 80/83 equal row 33/60 and row 70/60 algebraically in every column. Zero by construction; excluded from Cover!C30.</t>
      </text>
    </comment>
    <comment ref="B90" authorId="0">
      <text>
        <t>Repair r1 (F05): denominator is row 89, which includes the $0.25 special in 3Q26 (Guidance!H12). Base-dividend-only coverage is Guidance!K9:K16.</t>
      </text>
    </comment>
    <comment ref="I63" authorId="0">
      <text>
        <t>Repair r2 (F03): forecast-column identity removed (was =ROUND(I61-I52/I60,6), zero by construction since I61 = I52/I60). Shows n/a like I40/I57/I86. Historical C63:H63 (vs reported EPS) remain in Cover!C30.</t>
      </text>
    </comment>
    <comment ref="H43" authorId="0">
      <text>
        <t>Repair r2 (F05): verified, not a copied comparative. Q1 FY27 release/10-Q statement of operations shows control investments net realized gain 638,355 for both the three months ended 31-May-26 and 31-May-25 (S1, S2); the 1Q27 amount is the Netreo Holdings realized gain in the 10-Q control-investment schedule (S2). Total H44 0.150207 unchanged.</t>
      </text>
    </comment>
    <comment ref="B99" authorId="0">
      <text>
        <t>Reported 5.58% (1Q26A) and 6.13% (1Q27A) (S2). 2Q27E 6.14%: full quarter of 7.25% 2029 notes and 1Q27 SBA draws, 6 days of 8.00% SAX notes.
Repair r2 (F08): allocation disclosed. Blending SAX ($85m x 6/92 = $5.54m average) at 8.00% into 6.13% gives 6.13% + 5.54/822.92 x (8.00% - 6.13%) = 6.143%, consistent with SAX interest being embedded in I103 at 8%; the add-back I116 removes that same 8% interest. Not provable from sources: if I99 excluded SAX the add-back would overstate by ~$0.026m ($0.0016/sh). Retained as a disclosed assumption; no double count proven.</t>
      </text>
    </comment>
    <comment ref="I117" authorId="0">
      <text>
        <t>Repair r2 (F08): the original B106 note states I106 ($1.33m) includes 6 days of SAX costs, so this $0.01m SAX amortization is embedded in expense and the add-back removes it once (r1 'undocumented' flag withdrawn). The $0.01m amount is an assumption (about $2.9m issuance cost, Cash Flow Statement!I40, over ~5 years x 6/365 = ~$0.0095m).</t>
      </text>
    </comment>
    <comment ref="B89" authorId="0">
      <text>
        <t>Repair r2 (F07): declaration basis. Each quarter shows the base dividend declared for that fiscal quarter (Guidance rows 9-16); the $0.25 FY25-spillover special sits in 3Q26 because it was declared 12-Nov-25 (S5 footnote: actual $1.00 incl. special declared in fiscal 2026 Q3). The Q1 FY27 release KPI table (S1) labels its row 'record date' and shows $1.00 in 4Q26 (special paid 18-Dec-25). GAAP distributions in the NAV roll (Share Count row 45) follow record dates: in 1Q26 the switch to monthly dividends put the March and April record dates in fiscal Q1, adding a one-time $0.50/sh, so record-date dividends were $1.25/sh (S9 Q1 FY26 release); 10-Q distributions $18.98m (S2) / 15.34m weighted shares = ~$1.24/sh. Coverage C90:H90 is on declaration basis; forecast I89 $0.75 unaffected.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B10" authorId="0">
      <text>
        <t>2Q27E held flat; all assumed fair value change in non-control bucket.</t>
      </text>
    </comment>
    <comment ref="B58" authorId="0">
      <text>
        <t>Issued 26-Aug-26 (S14); not outstanding in historical periods.</t>
      </text>
    </comment>
    <comment ref="B60" authorId="0">
      <text>
        <t>Forecast-only line: reduces contra-liabilities by the quarter amortization (non-cash add-back in cash flow).
Repair r1 (F15): relabelled explicitly; contra rows 25-59 held at 1Q27 balances; = Income Statement!I106.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B39" authorId="0">
      <text>
        <t>6.00% notes ($105.5m) redeemed 18-Sep-26, after quarter end (S12).</t>
      </text>
    </comment>
    <comment ref="B40" authorId="0">
      <text>
        <t>2Q27E assumption: ~3.1% underwriting discount plus expenses on $85m SAX notes (S13).</t>
      </text>
    </comment>
    <comment ref="B41" authorId="0">
      <text>
        <t>2Q27E: no ATM sales assumed with the stock below NAV (none since 3Q26, S1/S3). Single source for Share Count.</t>
      </text>
    </comment>
    <comment ref="B44" authorId="0">
      <text>
        <t>2Q27E: no repurchases disclosed for Jun-Aug 2026; none assumed. Single source for Share Count.</t>
      </text>
    </comment>
    <comment ref="I53" authorId="0">
      <text>
        <t>Repair r2 (F03): forecast-column identity removed (was =ROUND(I51-I52,3), zero by construction because Balance Sheet!I13 = I51 less reserve cash). Shows n/a. Historical C53:H53 remain genuine ties; Balance Sheet!I78 is the independent 2Q27E integrity tie.</t>
      </text>
    </comment>
    <comment ref="B14" authorId="0">
      <text>
        <t>2Q27E linked to income statement tax expense (nil).
Repair r2 (F04): verified against filed cash-flow statements: caption 'Income tax expense (benefit)' = (20,709) 1Q27 and 50,004 1Q26 (S2 R6), (196,309) FY26 (S4 R7), (165,989) 9M FY26 (S6 R6), so 4Q26 = (30,320). These differ, as filed, from statement-of-operations income tax (Income Statement row 27). Not forced equal; CFO ties to reported.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B10" authorId="0">
      <text>
        <t>History: shares outstanding per balance sheet (S10,S7,S5,S3,S1).</t>
      </text>
    </comment>
    <comment ref="B15" authorId="0">
      <text>
        <t>No ATM sales since 3Q26 with the stock below NAV (S1,S3); none assumed.</t>
      </text>
    </comment>
    <comment ref="B21" authorId="0">
      <text>
        <t>2,495 shares repurchased in 4Q26 (S3). None disclosed for Jun-Aug 2026; none assumed.</t>
      </text>
    </comment>
    <comment ref="B25" authorId="0">
      <text>
        <t>Q1 FY27 10-Q cover page (S2).</t>
      </text>
    </comment>
    <comment ref="B27" authorId="0">
      <text>
        <t>= 1Q27A DRIP value / 3.</t>
      </text>
    </comment>
    <comment ref="B28" authorId="0">
      <text>
        <t>~5% discount to a ~$17.50 share price in late Jul/Aug 2026 (S19, S22 price history).</t>
      </text>
    </comment>
    <comment ref="B38" authorId="0">
      <text>
        <t>History as reported in statements of operations (S9,S7,S5,S3,S1); FY26A as reported.</t>
      </text>
    </comment>
    <comment ref="B41" authorId="0">
      <text>
        <t>SAR reports a single basic-and-diluted share count: no dilutive securities outstanding.</t>
      </text>
    </comment>
    <comment ref="B45" authorId="0">
      <text>
        <t>History derived from the NAV roll (net income less change in NAV plus capital transactions; 4Q may include year-end tax reclassifications). 2Q27E = $0.25 x shares at the record dates falling inside the quarter: 4-Jun (May dividend), 6-Jul (June dividend) and 5-Aug (July dividend); the August dividend (record 3-Sep) is a 3Q27 item.
Repair r1 (F06): row relabelled from 'Distributions declared' because historical C:H45 is a NAV-roll residual (record-date timing, tax reclasses), not DPS x weighted shares.</t>
      </text>
    </comment>
    <comment ref="B36" authorId="0">
      <text>
        <t>Repair r2 (F06): DRIP dollars now = DRIP shares issued in the quarter (I26 23-Jun + I29 23-Jul + I30 25-Aug) x assumed issue price I28. Previously 3 x I27 ($1.387m) implied $17.95/sh vs the $16.60 assumption (June tranche alone implied ~$21.4/sh). Share counts and weighted shares (I38) unchanged, so EPS is unchanged; NAV and cash fall by $0.104m. June issue price is not in preserved sources; I28 is applied as a disclosed assumption.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H15" authorId="0">
      <text>
        <t>Dividends for June/July/August 2026 paid 23-Jul, 25-Aug and 23-Sep-2026 as declared (S1, S15).</t>
      </text>
    </comment>
    <comment ref="I8" authorId="0">
      <text>
        <t>Repair r2 (F09): compares dividend paid (H) with the amount declared (G). Repair r3 (R2-05): returns 'Equal' when paid equals declared ('Above'/'Below' otherwise); it is 'Equal' by construction and is not an earnings-guidance beat/miss; SAR gives no earnings guidance (B18).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B82" authorId="0">
      <text>
        <t>Target-price fields embedded raw for completeness only; not used (malformed ranges per task instructions).</t>
      </text>
    </comment>
    <comment ref="B83" authorId="0">
      <text>
        <t>Target-price fields embedded raw for completeness only; not used (malformed ranges per task instructions).</t>
      </text>
    </comment>
    <comment ref="B84" authorId="0">
      <text>
        <t>Target-price fields embedded raw for completeness only; not used (malformed ranges per task instructions).</t>
      </text>
    </comment>
    <comment ref="B85" authorId="0">
      <text>
        <t>Target-price fields embedded raw for completeness only; not used (malformed ranges per task instructions).</t>
      </text>
    </comment>
    <comment ref="B86" authorId="0">
      <text>
        <t>Target-price fields embedded raw for completeness only; not used (malformed ranges per task instructions).</t>
      </text>
    </comment>
    <comment ref="B87" authorId="0">
      <text>
        <t>Target-price fields embedded raw for completeness only; not used (malformed ranges per task instructions).</t>
      </text>
    </comment>
    <comment ref="B128" authorId="0">
      <text>
        <t>Model point estimate $0.47 adjusted NII/sh vs frozen consensus $0.49; a strict beat needs a reported $0.50+. Model error sd ~ $0.03 -&gt; P(&gt;=0.495) ~ 0.23; blended with starting p 0.414 -&gt; 0.28.</t>
      </text>
    </comment>
    <comment ref="B125" authorId="0">
      <text>
        <t>Repair r2 (F02): frozen forecasting-playbook.md v2 section 7: bands small $300M-$2B, mid $2B-$10B, large &gt;$10B; cohort priors 0.60 small, 0.70 mid, 0.78 large or S&amp;P 500. The playbook has no micro-cap (&lt;$300M) band or prior. Market cap $268.8m (C122) is below the small band, so the original forecaster used the nearest band (small, 0.60). This is a disclosed judgment, not a playbook rule; no micro-cap prior is invented. P(beat) is display-only and not used in EPS.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C30" authorId="0">
      <text>
        <t>Repair r1 (F01): PASS now aggregates only checks that can fail: historical tie-outs to reported figures (C:H) and the 2Q27E balance-sheet identity (Balance Sheet!I78). Excluded as true by construction: Cover!C29, Revenue summary row 220, Revenue summary!I35, Income Statement!I63, Income Statement row 88, Cash Flow Statement!I53.</t>
      </text>
    </comment>
    <comment ref="B28" authorId="0">
      <text>
        <t>Repair r1 (F09): CapIQ GAAP EPS consensus (Inputs!C45 = 0.49) equals the normalized consensus, so it likely excludes mark-to-market; the model GAAP EPS includes an assumed -$5.0m unrealized loss. Rows 25, 27, 28 are not like-for-like and are not the scoring comparison (row 26). Basis unresolved.</t>
      </text>
    </comment>
  </commentList>
</comments>
</file>

<file path=xl/sharedStrings.xml><?xml version="1.0" encoding="utf-8"?>
<sst xmlns="http://schemas.openxmlformats.org/spreadsheetml/2006/main" count="1854" uniqueCount="719">
  <si>
    <t>Saratoga Investment Corp. (NYSE: SAR)</t>
  </si>
  <si>
    <t>Company Model — built by Shortcut</t>
  </si>
  <si>
    <t>$ millions, except per share</t>
  </si>
  <si>
    <t>Forecast period</t>
  </si>
  <si>
    <t>2Q27E</t>
  </si>
  <si>
    <t>Period end</t>
  </si>
  <si>
    <t>Days in period</t>
  </si>
  <si>
    <t>Company details</t>
  </si>
  <si>
    <t>Company</t>
  </si>
  <si>
    <t>Saratoga Investment Corp.</t>
  </si>
  <si>
    <t>Ticker</t>
  </si>
  <si>
    <t>SAR</t>
  </si>
  <si>
    <t>Exchange</t>
  </si>
  <si>
    <t>NYSE</t>
  </si>
  <si>
    <t>Fiscal year end</t>
  </si>
  <si>
    <t>Last day of February (FY27 ends 28-Feb-2027)</t>
  </si>
  <si>
    <t>Reporting currency</t>
  </si>
  <si>
    <t>USD</t>
  </si>
  <si>
    <t>EPS basis</t>
  </si>
  <si>
    <t>Adjusted NII per share (non-GAAP; = CapIQ EPS normalized)</t>
  </si>
  <si>
    <t>Information cutoff</t>
  </si>
  <si>
    <t>2026-10-04 22:22 UTC</t>
  </si>
  <si>
    <t>Expected report date</t>
  </si>
  <si>
    <t>2026-10-06 (after close; call 7-Oct-26)</t>
  </si>
  <si>
    <t>2Q27E: fiscal Q2 FY2027, quarter ended 31-Aug-2026</t>
  </si>
  <si>
    <t>Market cap at cutoff ($m)</t>
  </si>
  <si>
    <t>S&amp;P 500 member</t>
  </si>
  <si>
    <t>Size bucket</t>
  </si>
  <si>
    <t>Model author</t>
  </si>
  <si>
    <t>Shortcut</t>
  </si>
  <si>
    <t>Headline (2Q27E)</t>
  </si>
  <si>
    <t>Estimate</t>
  </si>
  <si>
    <t>Consensus</t>
  </si>
  <si>
    <t>Variance</t>
  </si>
  <si>
    <t>Variance %</t>
  </si>
  <si>
    <t>Guide mid</t>
  </si>
  <si>
    <t>vs guide</t>
  </si>
  <si>
    <t># est.</t>
  </si>
  <si>
    <t>Revenue: total investment income ($m)</t>
  </si>
  <si>
    <t>n/a</t>
  </si>
  <si>
    <t>Net income: adjusted NII ($m; non-scoring)</t>
  </si>
  <si>
    <t>EPS: adjusted NII per share ($)</t>
  </si>
  <si>
    <t>GAAP net incr. in net assets ($m; non-scoring)</t>
  </si>
  <si>
    <t>GAAP EPS ($; non-scoring, basis differs)</t>
  </si>
  <si>
    <t>Link check (by construction; excl. from C30)</t>
  </si>
  <si>
    <t>Overall model check (independent ties only)</t>
  </si>
  <si>
    <t>P(beat consensus EPS)</t>
  </si>
  <si>
    <t>Confidence</t>
  </si>
  <si>
    <t>low</t>
  </si>
  <si>
    <t>Consensus detail (CapIQ, 4-Oct-26)</t>
  </si>
  <si>
    <t>Adj NII/sh: high</t>
  </si>
  <si>
    <t>Adj NII/sh: low</t>
  </si>
  <si>
    <t>Adj NII/sh: median</t>
  </si>
  <si>
    <t>Adj NII/sh: std dev</t>
  </si>
  <si>
    <t>Revenue: high ($m)</t>
  </si>
  <si>
    <t>Revenue: low ($m)</t>
  </si>
  <si>
    <t>Other reference: Earnings Whispers consensus $0.47 (S19); not the scoring baseline</t>
  </si>
  <si>
    <t>What drives the estimate</t>
  </si>
  <si>
    <t>Revenue $31.4m: avg investments +1.7% Q/Q at a 10.0% yield; $47m follow-ons vs $31m repayments closed by 8-Jul (S11).</t>
  </si>
  <si>
    <t>Interest expense +$0.46m Q/Q: full quarter of 2029 notes and 1Q SBA draws; SAX notes from 26-Aug (S2,S12).</t>
  </si>
  <si>
    <t>Adjusted NII adds back ~$0.12m SAX overlap interest, as in 4Q26 (S3); no capital-gains incentive fee.</t>
  </si>
  <si>
    <t>Below consensus $0.49 by ~$0.02; SAR missed in 5 of the 6 supplied quarters (S24).</t>
  </si>
  <si>
    <t>Revenue summary and drivers</t>
  </si>
  <si>
    <t>Period</t>
  </si>
  <si>
    <t>1Q26A</t>
  </si>
  <si>
    <t>2Q26A</t>
  </si>
  <si>
    <t>3Q26A</t>
  </si>
  <si>
    <t>4Q26A</t>
  </si>
  <si>
    <t>FY26A</t>
  </si>
  <si>
    <t>1Q27A</t>
  </si>
  <si>
    <t>Portfolio roll-forward</t>
  </si>
  <si>
    <t>Investments at fair value, opening</t>
  </si>
  <si>
    <t>Originations (purchases)</t>
  </si>
  <si>
    <t>Y/Y change (%)</t>
  </si>
  <si>
    <t>Q/Q change ($m)</t>
  </si>
  <si>
    <t>Repayments &amp; sales (proceeds)</t>
  </si>
  <si>
    <t>Net originations</t>
  </si>
  <si>
    <t>Y/Y change ($m)</t>
  </si>
  <si>
    <t>PIK, CLO distributions &amp; other cost adj.</t>
  </si>
  <si>
    <t>Net accretion of discount</t>
  </si>
  <si>
    <t>Net realized gain/(loss)</t>
  </si>
  <si>
    <t>Net change in unrealized appreciation</t>
  </si>
  <si>
    <t>Investments at fair value, closing</t>
  </si>
  <si>
    <t>Investments at fair value per Balance Sheet</t>
  </si>
  <si>
    <t>Check: roll-forward less Balance Sheet (~0)</t>
  </si>
  <si>
    <t>Average investments at fair value</t>
  </si>
  <si>
    <t>Interest income drivers</t>
  </si>
  <si>
    <t>Interest from investments ($m)</t>
  </si>
  <si>
    <t>Interest yield on avg investments (ann.)</t>
  </si>
  <si>
    <t>Q/Q change (bps)</t>
  </si>
  <si>
    <t>Y/Y change (bps)</t>
  </si>
  <si>
    <t>Wtd avg interest rate, core BDC (reported)</t>
  </si>
  <si>
    <t>Wtd avg current yield at FV (reported)</t>
  </si>
  <si>
    <t>Core BDC net interest margin ($m, reported)</t>
  </si>
  <si>
    <t>Portfolio companies (number, reported)</t>
  </si>
  <si>
    <t>Y/Y change (number)</t>
  </si>
  <si>
    <t>Q/Q change (number)</t>
  </si>
  <si>
    <t>Portfolio composition at fair value (reported)</t>
  </si>
  <si>
    <t>First lien term loans</t>
  </si>
  <si>
    <t>Second lien term loans</t>
  </si>
  <si>
    <t>Unsecured loans</t>
  </si>
  <si>
    <t>Structured finance securities</t>
  </si>
  <si>
    <t>Common equity</t>
  </si>
  <si>
    <t>Composition total (check = 100%)</t>
  </si>
  <si>
    <t>Cash and fee income drivers</t>
  </si>
  <si>
    <t>Cash incl. reserve accounts, closing</t>
  </si>
  <si>
    <t>Average cash balance (2Q27E assumption)</t>
  </si>
  <si>
    <t>Interest from cash ($m)</t>
  </si>
  <si>
    <t>Yield on average cash (ann.)</t>
  </si>
  <si>
    <t>CLO management fee run-off (Q/Q %)</t>
  </si>
  <si>
    <t>Structuring fees as % of originations</t>
  </si>
  <si>
    <t>Revenue build: total investment income (single reportable segment)</t>
  </si>
  <si>
    <t>Cash interest: non-control/non-affiliate</t>
  </si>
  <si>
    <t>% Y/Y</t>
  </si>
  <si>
    <t>% Q/Q</t>
  </si>
  <si>
    <t>% of total revenue</t>
  </si>
  <si>
    <t>Organic growth Y/Y (unavailable)</t>
  </si>
  <si>
    <t>M&amp;A / scope impact (not disclosed)</t>
  </si>
  <si>
    <t>FX impact (not disclosed)</t>
  </si>
  <si>
    <t>Cash interest: affiliate</t>
  </si>
  <si>
    <t>Cash interest: control</t>
  </si>
  <si>
    <t>Cash interest income</t>
  </si>
  <si>
    <t>PIK interest: non-control/non-affiliate</t>
  </si>
  <si>
    <t>PIK interest: affiliate</t>
  </si>
  <si>
    <t>PIK interest: control</t>
  </si>
  <si>
    <t>PIK interest income</t>
  </si>
  <si>
    <t>Total interest from investments</t>
  </si>
  <si>
    <t>Interest from cash &amp; equivalents</t>
  </si>
  <si>
    <t>Management fee income (CLO)</t>
  </si>
  <si>
    <t>Dividends: non-control/non-affiliate</t>
  </si>
  <si>
    <t>Dividends: control (JV)</t>
  </si>
  <si>
    <t>Total dividend income</t>
  </si>
  <si>
    <t>Structuring &amp; advisory fee income</t>
  </si>
  <si>
    <t>Other income</t>
  </si>
  <si>
    <t>Total investment income (revenue)</t>
  </si>
  <si>
    <t>Total investment income, as reported</t>
  </si>
  <si>
    <t>Check: build less reported (~0)</t>
  </si>
  <si>
    <t>Structural (excl. from Cover C30)</t>
  </si>
  <si>
    <t>CapIQ revenue actual (Inputs)</t>
  </si>
  <si>
    <t>Geography: all portfolio companies are U.S. middle-market businesses; revenue is effectively single-country (U.S.), no geographic split disclosed, so no Geo tab.</t>
  </si>
  <si>
    <t>Income Statement</t>
  </si>
  <si>
    <t>Investment income</t>
  </si>
  <si>
    <t>Management fee income</t>
  </si>
  <si>
    <t>Dividend income</t>
  </si>
  <si>
    <t>Total investment income</t>
  </si>
  <si>
    <t>Operating expenses</t>
  </si>
  <si>
    <t>Interest and debt financing expenses</t>
  </si>
  <si>
    <t>Base management fees</t>
  </si>
  <si>
    <t>Incentive management fees</t>
  </si>
  <si>
    <t>Professional fees</t>
  </si>
  <si>
    <t>Administrator expenses</t>
  </si>
  <si>
    <t>Insurance</t>
  </si>
  <si>
    <t>Directors fees and expenses</t>
  </si>
  <si>
    <t>General and administrative</t>
  </si>
  <si>
    <t>Income tax expense (benefit)</t>
  </si>
  <si>
    <t>Excise tax expense</t>
  </si>
  <si>
    <t>Total operating expenses</t>
  </si>
  <si>
    <t>Operating expenses % of revenue</t>
  </si>
  <si>
    <t>Net investment income (GAAP NII)</t>
  </si>
  <si>
    <t>NII margin</t>
  </si>
  <si>
    <t>NII, as reported</t>
  </si>
  <si>
    <t>Check: NII less reported (~0)</t>
  </si>
  <si>
    <t>Realized and unrealized gains (losses)</t>
  </si>
  <si>
    <t>Net realized gain: non-control</t>
  </si>
  <si>
    <t>Net realized gain: control</t>
  </si>
  <si>
    <t>Net realized gain (loss)</t>
  </si>
  <si>
    <t>Unrealized appreciation: non-control</t>
  </si>
  <si>
    <t>Unrealized appreciation: affiliate</t>
  </si>
  <si>
    <t>Unrealized appreciation: control</t>
  </si>
  <si>
    <t>Change in deferred tax provision</t>
  </si>
  <si>
    <t>Net realized &amp; unrealized gain (loss)</t>
  </si>
  <si>
    <t>Realized losses on extinguishment of debt</t>
  </si>
  <si>
    <t>Net increase in net assets (GAAP net income)</t>
  </si>
  <si>
    <t>Net income margin</t>
  </si>
  <si>
    <t>Net increase in net assets, as reported</t>
  </si>
  <si>
    <t>Check: net income less reported (~0)</t>
  </si>
  <si>
    <t>Shares and per share</t>
  </si>
  <si>
    <t>Weighted avg shares, basic (m)</t>
  </si>
  <si>
    <t>Weighted avg shares, diluted (m)</t>
  </si>
  <si>
    <t>GAAP diluted EPS (net increase per share)</t>
  </si>
  <si>
    <t>GAAP EPS, as reported</t>
  </si>
  <si>
    <t>Check: EPS = NI / diluted shares (rounded vs reported)</t>
  </si>
  <si>
    <t>NII per share</t>
  </si>
  <si>
    <t>NII per share, as reported</t>
  </si>
  <si>
    <t>GAAP to adjusted NII bridge (consensus basis)</t>
  </si>
  <si>
    <t>GAAP net investment income</t>
  </si>
  <si>
    <t>(+) Change in accrued capital gains incentive fee</t>
  </si>
  <si>
    <t>(+) Interest on new notes during refinancing overlap</t>
  </si>
  <si>
    <t>Adjusted NII (non-GAAP)</t>
  </si>
  <si>
    <t>Adjusted NII margin</t>
  </si>
  <si>
    <t>Per share bridge: GAAP EPS to adjusted NII per share</t>
  </si>
  <si>
    <t>GAAP diluted EPS</t>
  </si>
  <si>
    <t>(-) Net realized &amp; unrealized gains per share</t>
  </si>
  <si>
    <t>(-) Loss on extinguishment per share</t>
  </si>
  <si>
    <t>(+) Capital gains incentive fee per share</t>
  </si>
  <si>
    <t>(+) Refinancing overlap interest per share</t>
  </si>
  <si>
    <t>Adjusted NII per share (consensus basis)</t>
  </si>
  <si>
    <t>Adjusted NII per share, as reported</t>
  </si>
  <si>
    <t>CapIQ EPS normalized actual (Inputs)</t>
  </si>
  <si>
    <t>Check: adjusted NII/sh (rounded) less reported</t>
  </si>
  <si>
    <t>Check: reported less CapIQ actual</t>
  </si>
  <si>
    <t>Structural: bridge ties (excl. from Cover)</t>
  </si>
  <si>
    <t>Dividends declared per share (declaration qtr)</t>
  </si>
  <si>
    <t>Dividend coverage incl. specials (x)</t>
  </si>
  <si>
    <t>Expense drivers (2Q27E build)</t>
  </si>
  <si>
    <t>Debt at face, closing ($m)</t>
  </si>
  <si>
    <t>Average borrowings (reported; 2Q27E build)</t>
  </si>
  <si>
    <t>Weighted avg interest rate on borrowings</t>
  </si>
  <si>
    <t>Stated interest on borrowings</t>
  </si>
  <si>
    <t>Amortization of deferred financing costs</t>
  </si>
  <si>
    <t>Other debt fees (residual)</t>
  </si>
  <si>
    <t>Interest &amp; debt financing expense (build)</t>
  </si>
  <si>
    <t>8.00% 2031 (SAX) notes issued 26-Aug-26 ($m)</t>
  </si>
  <si>
    <t>SAX coupon</t>
  </si>
  <si>
    <t>Days outstanding in 2Q27 (26-31 Aug)</t>
  </si>
  <si>
    <t>SAX interest in quarter</t>
  </si>
  <si>
    <t>SAX deferred cost amortization in quarter</t>
  </si>
  <si>
    <t>Refinancing-overlap add-back (adjusted NII)</t>
  </si>
  <si>
    <t>Fee base: avg total assets ex-cash</t>
  </si>
  <si>
    <t>Base management fee rate (ann.)</t>
  </si>
  <si>
    <t>Base management fee (build)</t>
  </si>
  <si>
    <t>Pre-incentive fee NII</t>
  </si>
  <si>
    <t>Net assets, opening</t>
  </si>
  <si>
    <t>Quarterly hurdle rate</t>
  </si>
  <si>
    <t>Hurdle amount</t>
  </si>
  <si>
    <t>Incentive fee rate</t>
  </si>
  <si>
    <t>Catch-up ceiling (hurdle / (1 - 20%))</t>
  </si>
  <si>
    <t>Incentive fee on income (build)</t>
  </si>
  <si>
    <t>Balance Sheet</t>
  </si>
  <si>
    <t>Assets</t>
  </si>
  <si>
    <t>Investments: non-control/non-affiliate</t>
  </si>
  <si>
    <t>Investments: affiliate</t>
  </si>
  <si>
    <t>Investments: control</t>
  </si>
  <si>
    <t>Total investments at fair value</t>
  </si>
  <si>
    <t>Cash and cash equivalents</t>
  </si>
  <si>
    <t>Cash, reserve accounts</t>
  </si>
  <si>
    <t>Interest receivable</t>
  </si>
  <si>
    <t>Management fee receivable</t>
  </si>
  <si>
    <t>Other assets</t>
  </si>
  <si>
    <t>Total assets</t>
  </si>
  <si>
    <t>Total assets, as reported</t>
  </si>
  <si>
    <t>Check: total assets less reported (~0)</t>
  </si>
  <si>
    <t>Memo: cash incl. reserve accounts</t>
  </si>
  <si>
    <t>Memo: total assets excluding cash</t>
  </si>
  <si>
    <t>Liabilities</t>
  </si>
  <si>
    <t>Revolving credit facilities</t>
  </si>
  <si>
    <t>Deferred financing costs, revolvers</t>
  </si>
  <si>
    <t>SBA debentures payable</t>
  </si>
  <si>
    <t>Deferred financing costs, SBA</t>
  </si>
  <si>
    <t>7.00% Notes 2025</t>
  </si>
  <si>
    <t>Discount, 7.00% Notes 2025</t>
  </si>
  <si>
    <t>Deferred costs, 7.00% Notes 2025</t>
  </si>
  <si>
    <t>7.75% Notes 2025</t>
  </si>
  <si>
    <t>Deferred costs, 7.75% Notes 2025</t>
  </si>
  <si>
    <t>4.375% Notes 2026</t>
  </si>
  <si>
    <t>Premium, 4.375% Notes 2026</t>
  </si>
  <si>
    <t>Deferred costs, 4.375% Notes 2026</t>
  </si>
  <si>
    <t>4.35% Notes 2027</t>
  </si>
  <si>
    <t>Discount, 4.35% Notes 2027</t>
  </si>
  <si>
    <t>Deferred costs, 4.35% Notes 2027</t>
  </si>
  <si>
    <t>6.25% Notes 2027</t>
  </si>
  <si>
    <t>Deferred costs, 6.25% Notes 2027</t>
  </si>
  <si>
    <t>6.00% Notes 2027 (SAT)</t>
  </si>
  <si>
    <t>Discount, 6.00% Notes 2027</t>
  </si>
  <si>
    <t>Deferred costs, 6.00% Notes 2027</t>
  </si>
  <si>
    <t>8.00% Notes 2027 (SAJ)</t>
  </si>
  <si>
    <t>Deferred costs, 8.00% Notes 2027</t>
  </si>
  <si>
    <t>8.125% Notes 2027 (SAY)</t>
  </si>
  <si>
    <t>Deferred costs, 8.125% Notes 2027</t>
  </si>
  <si>
    <t>8.50% Notes 2028</t>
  </si>
  <si>
    <t>Deferred costs, 8.50% Notes 2028</t>
  </si>
  <si>
    <t>7.25% Notes 2029</t>
  </si>
  <si>
    <t>Discount, 7.25% Notes 2029</t>
  </si>
  <si>
    <t>Deferred costs, 7.25% Notes 2029</t>
  </si>
  <si>
    <t>7.25% Notes 2030</t>
  </si>
  <si>
    <t>Discount, 7.25% Notes 2030</t>
  </si>
  <si>
    <t>Deferred costs, 7.25% Notes 2030</t>
  </si>
  <si>
    <t>7.50% Notes 2031 (SAV)</t>
  </si>
  <si>
    <t>Deferred costs, 7.50% Notes 2031</t>
  </si>
  <si>
    <t>8.00% Notes 2031 (SAX)</t>
  </si>
  <si>
    <t>Deferred costs, 8.00% Notes 2031</t>
  </si>
  <si>
    <t>Less: 2Q27E amortization (reduces deferred costs)</t>
  </si>
  <si>
    <t>Base mgmt &amp; incentive fees payable</t>
  </si>
  <si>
    <t>Deferred tax liability</t>
  </si>
  <si>
    <t>Payable from open trades</t>
  </si>
  <si>
    <t>Accounts payable &amp; accrued expenses</t>
  </si>
  <si>
    <t>Interest &amp; debt fees payable</t>
  </si>
  <si>
    <t>Directors fees payable</t>
  </si>
  <si>
    <t>Due to Manager</t>
  </si>
  <si>
    <t>Total liabilities</t>
  </si>
  <si>
    <t>Total liabilities, as reported</t>
  </si>
  <si>
    <t>Check: total liabilities less reported (~0)</t>
  </si>
  <si>
    <t>Memo: debt at face (principal)</t>
  </si>
  <si>
    <t>Net assets</t>
  </si>
  <si>
    <t>Common stock, par value</t>
  </si>
  <si>
    <t>Capital in excess of par value</t>
  </si>
  <si>
    <t>Total distributable deficit</t>
  </si>
  <si>
    <t>Total net assets (NAV)</t>
  </si>
  <si>
    <t>Total liabilities and net assets</t>
  </si>
  <si>
    <t>Check: assets - liabilities - net assets = 0</t>
  </si>
  <si>
    <t>NAV per share</t>
  </si>
  <si>
    <t>NAV per share, as reported</t>
  </si>
  <si>
    <t>Y/Y change ($/sh)</t>
  </si>
  <si>
    <t>Q/Q change ($/sh)</t>
  </si>
  <si>
    <t>Debt at face / NAV (x)</t>
  </si>
  <si>
    <t>Y/Y change (x)</t>
  </si>
  <si>
    <t>Q/Q change (x)</t>
  </si>
  <si>
    <t>Memo: balances at 28-Feb-2025 (opening for 1Q26A; FY25 10-K comparatives, S3/S10)</t>
  </si>
  <si>
    <t>Investments at fair value</t>
  </si>
  <si>
    <t>Cash incl. reserve accounts</t>
  </si>
  <si>
    <t>Total assets excluding cash</t>
  </si>
  <si>
    <t>Total net assets</t>
  </si>
  <si>
    <t>Common stock + capital in excess of par</t>
  </si>
  <si>
    <t>Common shares outstanding (m)</t>
  </si>
  <si>
    <t>Cash Flow Statement</t>
  </si>
  <si>
    <t>Operating activities (quarterly; derived from fiscal YTD as reported)</t>
  </si>
  <si>
    <t>Net increase in net assets from operations</t>
  </si>
  <si>
    <t>Distributions from CLO, PIK &amp; other cost adj.</t>
  </si>
  <si>
    <t>Net accretion of discount on investments</t>
  </si>
  <si>
    <t>Net realized (gain) loss from investments</t>
  </si>
  <si>
    <t>Net change in unrealized (app.) dep.</t>
  </si>
  <si>
    <t>Proceeds from sales &amp; repayments</t>
  </si>
  <si>
    <t>Purchases of investments</t>
  </si>
  <si>
    <t>(Inc.) dec. in interest receivable</t>
  </si>
  <si>
    <t>(Inc.) dec. in mgmt fee receivable</t>
  </si>
  <si>
    <t>(Inc.) dec. in other assets</t>
  </si>
  <si>
    <t>Inc. (dec.) in mgmt &amp; incentive fees payable</t>
  </si>
  <si>
    <t>Inc. (dec.) in payable from open trades</t>
  </si>
  <si>
    <t>Inc. (dec.) in AP &amp; accrued expenses</t>
  </si>
  <si>
    <t>Inc. (dec.) in interest &amp; debt fees payable</t>
  </si>
  <si>
    <t>Inc. (dec.) in directors fees payable</t>
  </si>
  <si>
    <t>Inc. (dec.) in due to Manager</t>
  </si>
  <si>
    <t>Net cash from operating activities</t>
  </si>
  <si>
    <t>Net cash from operations, as reported (derived)</t>
  </si>
  <si>
    <t>Check: CFO sum less reported (~0)</t>
  </si>
  <si>
    <t>Investing activities</t>
  </si>
  <si>
    <t>Not presented: as a BDC, SAR reports investment purchases and repayments within operating activities (lines above).</t>
  </si>
  <si>
    <t>Memo: net investment activity (purchases + proceeds)</t>
  </si>
  <si>
    <t>Financing activities</t>
  </si>
  <si>
    <t>Borrowings on debt</t>
  </si>
  <si>
    <t>Paydowns on debt</t>
  </si>
  <si>
    <t>Issuance of notes</t>
  </si>
  <si>
    <t>Repayments of notes</t>
  </si>
  <si>
    <t>Payments of deferred financing costs</t>
  </si>
  <si>
    <t>Proceeds from issuance of common stock</t>
  </si>
  <si>
    <t>Capital contribution from Manager</t>
  </si>
  <si>
    <t>Payments of cash dividends</t>
  </si>
  <si>
    <t>Repurchases of common stock</t>
  </si>
  <si>
    <t>Payments of offering costs</t>
  </si>
  <si>
    <t>Net cash from financing activities</t>
  </si>
  <si>
    <t>Net cash from financing, as reported (derived)</t>
  </si>
  <si>
    <t>Check: CFF sum less reported (~0)</t>
  </si>
  <si>
    <t>Net change in cash (incl. reserve accounts)</t>
  </si>
  <si>
    <t>Cash, beginning of period</t>
  </si>
  <si>
    <t>Cash, end of period</t>
  </si>
  <si>
    <t>Cash incl. reserve per Balance Sheet</t>
  </si>
  <si>
    <t>Check: change in cash ties to Balance Sheet (=0)</t>
  </si>
  <si>
    <t>Check: FY26A sum of quarters less 12M reported</t>
  </si>
  <si>
    <t>As reported, fiscal year-to-date (3M / 6M / 9M / 12M); inputs for the quarterly derivation above</t>
  </si>
  <si>
    <t>Net increase in net assets from operations (YTD)</t>
  </si>
  <si>
    <t>Distributions from CLO, PIK &amp; other cost adj. (YTD)</t>
  </si>
  <si>
    <t>Net accretion of discount on investments (YTD)</t>
  </si>
  <si>
    <t>Amortization of deferred financing costs (YTD)</t>
  </si>
  <si>
    <t>Realized losses on extinguishment of debt (YTD)</t>
  </si>
  <si>
    <t>Income tax expense (benefit) (YTD)</t>
  </si>
  <si>
    <t>Net realized (gain) loss from investments (YTD)</t>
  </si>
  <si>
    <t>Net change in unrealized (app.) dep. (YTD)</t>
  </si>
  <si>
    <t>Change in deferred tax provision (YTD)</t>
  </si>
  <si>
    <t>Proceeds from sales &amp; repayments (YTD)</t>
  </si>
  <si>
    <t>Purchases of investments (YTD)</t>
  </si>
  <si>
    <t>(Inc.) dec. in interest receivable (YTD)</t>
  </si>
  <si>
    <t>(Inc.) dec. in mgmt fee receivable (YTD)</t>
  </si>
  <si>
    <t>(Inc.) dec. in other assets (YTD)</t>
  </si>
  <si>
    <t>Inc. (dec.) in mgmt &amp; incentive fees payable (YTD)</t>
  </si>
  <si>
    <t>Inc. (dec.) in payable from open trades (YTD)</t>
  </si>
  <si>
    <t>Inc. (dec.) in AP &amp; accrued expenses (YTD)</t>
  </si>
  <si>
    <t>Inc. (dec.) in interest &amp; debt fees payable (YTD)</t>
  </si>
  <si>
    <t>Inc. (dec.) in directors fees payable (YTD)</t>
  </si>
  <si>
    <t>Inc. (dec.) in due to Manager (YTD)</t>
  </si>
  <si>
    <t>Net cash from operating activities (YTD)</t>
  </si>
  <si>
    <t>Borrowings on debt (YTD)</t>
  </si>
  <si>
    <t>Paydowns on debt (YTD)</t>
  </si>
  <si>
    <t>Issuance of notes (YTD)</t>
  </si>
  <si>
    <t>Repayments of notes (YTD)</t>
  </si>
  <si>
    <t>Payments of deferred financing costs (YTD)</t>
  </si>
  <si>
    <t>Proceeds from issuance of common stock (YTD)</t>
  </si>
  <si>
    <t>Capital contribution from Manager (YTD)</t>
  </si>
  <si>
    <t>Payments of cash dividends (YTD)</t>
  </si>
  <si>
    <t>Repurchases of common stock (YTD)</t>
  </si>
  <si>
    <t>Payments of offering costs (YTD)</t>
  </si>
  <si>
    <t>Net cash from financing activities (YTD)</t>
  </si>
  <si>
    <t>Cash, end of period (YTD statement)</t>
  </si>
  <si>
    <t>Supplemental: stock dividend distribution (YTD)</t>
  </si>
  <si>
    <t>Stock dividend distribution (DRIP), quarterly</t>
  </si>
  <si>
    <t>Share Count</t>
  </si>
  <si>
    <t>Shares outstanding (millions)</t>
  </si>
  <si>
    <t>Shares outstanding, opening</t>
  </si>
  <si>
    <t>Shares outstanding, closing</t>
  </si>
  <si>
    <t>Net change in shares outstanding</t>
  </si>
  <si>
    <t>Q/Q change (m shares)</t>
  </si>
  <si>
    <t>Issuance and buybacks ($m)</t>
  </si>
  <si>
    <t>ATM common stock proceeds</t>
  </si>
  <si>
    <t>DRIP stock dividends issued</t>
  </si>
  <si>
    <t>Share repurchases</t>
  </si>
  <si>
    <t>2Q27E share build</t>
  </si>
  <si>
    <t>Shares outstanding at 6-Jul-26 (10-Q cover)</t>
  </si>
  <si>
    <t>DRIP shares issued 23-Jun-26 (derived)</t>
  </si>
  <si>
    <t>DRIP value per monthly payment ($m)</t>
  </si>
  <si>
    <t>Assumed DRIP issue price ($/sh)</t>
  </si>
  <si>
    <t>DRIP shares issued 23-Jul-26</t>
  </si>
  <si>
    <t>DRIP shares issued 25-Aug-26</t>
  </si>
  <si>
    <t>Shares repurchased (m)</t>
  </si>
  <si>
    <t>Days outstanding in quarter: 23-Jun issue</t>
  </si>
  <si>
    <t>Days outstanding in quarter: 23-Jul issue</t>
  </si>
  <si>
    <t>Days outstanding in quarter: 25-Aug issue</t>
  </si>
  <si>
    <t>DRIP stock issued in quarter ($m)</t>
  </si>
  <si>
    <t>Weighted average shares (millions)</t>
  </si>
  <si>
    <t>Weighted avg shares, basic</t>
  </si>
  <si>
    <t>Weighted avg shares, diluted</t>
  </si>
  <si>
    <t>Share count behind 2Q27E EPS</t>
  </si>
  <si>
    <t>Distributions ($m)</t>
  </si>
  <si>
    <t>Dividends declared per share</t>
  </si>
  <si>
    <t>Distributions, NAV-roll derived</t>
  </si>
  <si>
    <t>Cash dividends paid</t>
  </si>
  <si>
    <t>Market value at cutoff</t>
  </si>
  <si>
    <t>Share price at cutoff ($, CapIQ last close)</t>
  </si>
  <si>
    <t>Latest reported shares outstanding (6-Jul-26)</t>
  </si>
  <si>
    <t>Market capitalization ($m)</t>
  </si>
  <si>
    <t>Price / NAV at 31-May-26 (x)</t>
  </si>
  <si>
    <t>Guidance: dividend declarations only (no earnings guidance)</t>
  </si>
  <si>
    <t>Date</t>
  </si>
  <si>
    <t>Metric</t>
  </si>
  <si>
    <t>Low</t>
  </si>
  <si>
    <t>High</t>
  </si>
  <si>
    <t>Midpoint</t>
  </si>
  <si>
    <t>Actual</t>
  </si>
  <si>
    <t>Paid vs declared</t>
  </si>
  <si>
    <t>Adj NII/sh</t>
  </si>
  <si>
    <t>Coverage (x)</t>
  </si>
  <si>
    <t>Source</t>
  </si>
  <si>
    <t>unavailable</t>
  </si>
  <si>
    <t>1Q26</t>
  </si>
  <si>
    <t>Base dividend per share (3 x $0.25 monthly)</t>
  </si>
  <si>
    <t>S9</t>
  </si>
  <si>
    <t>2Q26</t>
  </si>
  <si>
    <t>S8</t>
  </si>
  <si>
    <t>3Q26</t>
  </si>
  <si>
    <t>S5</t>
  </si>
  <si>
    <t>Special dividend per share (FY25 spillover)</t>
  </si>
  <si>
    <t>4Q26</t>
  </si>
  <si>
    <t>S3</t>
  </si>
  <si>
    <t>1Q27</t>
  </si>
  <si>
    <t>2Q27</t>
  </si>
  <si>
    <t>S1</t>
  </si>
  <si>
    <t>3Q27</t>
  </si>
  <si>
    <t>S15</t>
  </si>
  <si>
    <t>Earnings guidance: none. SAR gives no NII, revenue, net income or EPS guidance (checked Q1 FY27 press release and call, S1/S11); cover guidance midpoints are n/a.</t>
  </si>
  <si>
    <t>Management commentary (not guidance): spillover income ~$1.75/sh at 31-May-26 and ~$1.50/sh at 8-Jul-26; NII-dividend gap expected to close over 4-5 quarters (S11).</t>
  </si>
  <si>
    <t>2Q27 row: "Actual" = dividends paid 23-Jul, 25-Aug and 23-Sep-26 (all before cutoff); Adj NII/sh for 2Q27 is the Shortcut estimate (E).</t>
  </si>
  <si>
    <t>Sources</t>
  </si>
  <si>
    <t>ID</t>
  </si>
  <si>
    <t>Publication date</t>
  </si>
  <si>
    <t>Retrieved (UTC)</t>
  </si>
  <si>
    <t>Publisher</t>
  </si>
  <si>
    <t>Description</t>
  </si>
  <si>
    <t>URL or file</t>
  </si>
  <si>
    <t>Feeds</t>
  </si>
  <si>
    <t>2026-10-05 00:47 UTC</t>
  </si>
  <si>
    <t>Saratoga Investment / SEC EDGAR</t>
  </si>
  <si>
    <t>Q1 FY27 earnings release (8-K Ex. 99.1): statements, KPIs, dividend, borrowings</t>
  </si>
  <si>
    <t>https://www.sec.gov/Archives/edgar/data/1377936/000121390026075941/ea029727501ex99-1.htm</t>
  </si>
  <si>
    <t>IS 1Q27A; BS May-26; Revenue summary KPIs; Guidance 2Q27</t>
  </si>
  <si>
    <t>S2</t>
  </si>
  <si>
    <t>2026-10-05 00:48 UTC</t>
  </si>
  <si>
    <t>SEC EDGAR (10-Q)</t>
  </si>
  <si>
    <t>Q1 FY27 10-Q: cash flows (R6), borrowings note (R17), cover share count; 1Q26 comparatives</t>
  </si>
  <si>
    <t>https://www.sec.gov/Archives/edgar/data/1377936/000121390026075931/R6.htm ; .../R17.htm ; .../ea0295366-10q_saratoga.htm</t>
  </si>
  <si>
    <t>Cash Flow 1Q26A/1Q27A; IS debt drivers; Share Count</t>
  </si>
  <si>
    <t>FY26 and Q4 earnings release (8-K Ex. 99.1): Q4 and FY statements, adjusted NII bridge</t>
  </si>
  <si>
    <t>https://www.sec.gov/Archives/edgar/data/1377936/000121390026052225/ea028916801ex99-1.htm</t>
  </si>
  <si>
    <t>IS 4Q26A/FY26A; BS Feb-26 and Feb-25; Guidance</t>
  </si>
  <si>
    <t>S4</t>
  </si>
  <si>
    <t>SEC EDGAR (10-K)</t>
  </si>
  <si>
    <t>FY26 10-K: consolidated statement of cash flows (R7); single reportable segment; advisory agreement</t>
  </si>
  <si>
    <t>https://www.sec.gov/Archives/edgar/data/1377936/000121390026052176/R7.htm</t>
  </si>
  <si>
    <t>Cash Flow 12M FY26; fee terms</t>
  </si>
  <si>
    <t>Q3 FY26 earnings release (8-K Ex. 99.1)</t>
  </si>
  <si>
    <t>https://www.sec.gov/Archives/edgar/data/1377936/000121390026002156/ea027212602ex99-1_saratoga.htm</t>
  </si>
  <si>
    <t>IS 3Q26A; BS Nov-25; KPIs</t>
  </si>
  <si>
    <t>S6</t>
  </si>
  <si>
    <t>Q3 FY26 10-Q: 9M cash flows (R6)</t>
  </si>
  <si>
    <t>https://www.sec.gov/Archives/edgar/data/1377936/000121390026002153/R6.htm</t>
  </si>
  <si>
    <t>Cash Flow 9M FY26</t>
  </si>
  <si>
    <t>S7</t>
  </si>
  <si>
    <t>Q2 FY26 10-Q: balance sheet, 3M/6M operations, 6M cash flows</t>
  </si>
  <si>
    <t>https://www.sec.gov/Archives/edgar/data/1377936/000121390025097022/ea0258170-10q_saratoga.htm</t>
  </si>
  <si>
    <t>IS 2Q26A; BS Aug-25; Cash Flow 6M</t>
  </si>
  <si>
    <t>2026-10-05 00:54 UTC</t>
  </si>
  <si>
    <t>Nasdaq / GlobeNewswire</t>
  </si>
  <si>
    <t>Q2 FY26 earnings release: KPIs (yields, composition, NIM, originations)</t>
  </si>
  <si>
    <t>https://www.nasdaq.com/press-release/saratoga-investment-corp-announces-fiscal-second-quarter-2026-financial-results-2025</t>
  </si>
  <si>
    <t>Revenue summary KPIs 2Q26A</t>
  </si>
  <si>
    <t>2026-10-05 00:53 UTC</t>
  </si>
  <si>
    <t>Q1 FY26 earnings release (8-K Ex. 99.1): KPIs</t>
  </si>
  <si>
    <t>https://www.sec.gov/Archives/edgar/data/1377936/000121390025062058/ea024833302ex99-1_saratoga.htm</t>
  </si>
  <si>
    <t>Revenue summary KPIs 1Q26A</t>
  </si>
  <si>
    <t>S10</t>
  </si>
  <si>
    <t>Q1 FY26 10-Q balance sheet (R2)</t>
  </si>
  <si>
    <t>https://www.sec.gov/Archives/edgar/data/1377936/000121390025062051/R2.htm</t>
  </si>
  <si>
    <t>BS May-25</t>
  </si>
  <si>
    <t>S11</t>
  </si>
  <si>
    <t>StockAnalysis (Quartr transcript)</t>
  </si>
  <si>
    <t>Q1 FY27 earnings call transcript: post-quarter $47m follow-ons / $31m repayments, spreads, spillover</t>
  </si>
  <si>
    <t>https://stockanalysis.com/stocks/sar/transcripts/661570-q1-2027/</t>
  </si>
  <si>
    <t>Revenue summary originations/repayments, yield</t>
  </si>
  <si>
    <t>S12</t>
  </si>
  <si>
    <t>SEC EDGAR (8-K)</t>
  </si>
  <si>
    <t>8-K: $85m 8.00% notes due 2031 underwriting; notice to redeem $105.5m 6.00% 2027 notes on 18-Sep-26</t>
  </si>
  <si>
    <t>https://www.sec.gov/Archives/edgar/data/1377936/000121390026091736/ea0302697-8k_saratoga.htm</t>
  </si>
  <si>
    <t>IS debt drivers, adjusted NII overlap; CF financing</t>
  </si>
  <si>
    <t>S13</t>
  </si>
  <si>
    <t>SEC EDGAR (FWP)</t>
  </si>
  <si>
    <t>Pricing term sheet: SAX notes settle 26-Aug-26; interest accrues from 26-Aug-26</t>
  </si>
  <si>
    <t>https://www.sec.gov/Archives/edgar/data/1377936/000121390026091329/ea0302630-fwp_saratoga.htm</t>
  </si>
  <si>
    <t>IS SAX days outstanding</t>
  </si>
  <si>
    <t>S14</t>
  </si>
  <si>
    <t>8-K: closing of $85.0m 8.00% notes due 2031 (Eighteenth Supplemental Indenture)</t>
  </si>
  <si>
    <t>https://www.sec.gov/Archives/edgar/data/1377936/000121390026093812/ea0303350-8k_saratoga.htm</t>
  </si>
  <si>
    <t>BS 2Q27E notes; CF issuance</t>
  </si>
  <si>
    <t>GlobeNewswire</t>
  </si>
  <si>
    <t>Dividend of $0.75 per share for Q3 FY27 declared</t>
  </si>
  <si>
    <t>https://www.globenewswire.com/news-release/2026/09/09/3358637/0/en/saratoga-investment-corp-declares-dividend-of-0-75-per-share-for-the-third-quarter-of-fiscal-2027-paid-in-monthly-dividends-of-0-25-per-share.html</t>
  </si>
  <si>
    <t>Guidance 3Q27</t>
  </si>
  <si>
    <t>S16</t>
  </si>
  <si>
    <t>Q2 FY27 results date: 6-Oct-26 after close</t>
  </si>
  <si>
    <t>https://www.globenewswire.com/news-release/2026/09/17/3363967/0/en/saratoga-investment-corp-to-report-fiscal-second-quarter-2027-financial-results-and-hold-conference-call.html</t>
  </si>
  <si>
    <t>Cover report date</t>
  </si>
  <si>
    <t>S17</t>
  </si>
  <si>
    <t>CFO transition effective 31-Oct-26 (no financial impact modeled)</t>
  </si>
  <si>
    <t>https://www.globenewswire.com/news-release/2026/09/18/3364940/0/en/saratoga-investment-corp-announces-cfo-transition-and-new-leadership-appointments.html</t>
  </si>
  <si>
    <t>Context only</t>
  </si>
  <si>
    <t>S18</t>
  </si>
  <si>
    <t>TipRanks / GlobeNewswire</t>
  </si>
  <si>
    <t>Additional $23.1m SAX notes (Sep-26); series ~$120.8m</t>
  </si>
  <si>
    <t>https://www.tipranks.com/news/company-announcements/saratoga-investment-expands-2031-notes-refinances-debt</t>
  </si>
  <si>
    <t>Excluded from 2Q27 (post quarter)</t>
  </si>
  <si>
    <t>S19</t>
  </si>
  <si>
    <t>Earnings Whispers</t>
  </si>
  <si>
    <t>Preview: consensus $0.47 (EW), revenue ~$31.5m; NII trend</t>
  </si>
  <si>
    <t>https://secure.earningswhispers.com/article/SAR/20295</t>
  </si>
  <si>
    <t>Cover secondary reference (not scoring baseline)</t>
  </si>
  <si>
    <t>S20</t>
  </si>
  <si>
    <t>Federal Reserve</t>
  </si>
  <si>
    <t>FOMC statements 17-Jun-26 and 29-Jul-26: target range held at 3.50-3.75%</t>
  </si>
  <si>
    <t>https://www.federalreserve.gov/newsevents/pressreleases/monetary20260729a.htm</t>
  </si>
  <si>
    <t>Revenue summary yield assumption</t>
  </si>
  <si>
    <t>S21</t>
  </si>
  <si>
    <t>sofrrate.com (NY Fed data)</t>
  </si>
  <si>
    <t>Overnight SOFR averaged 3.64% in Aug-26</t>
  </si>
  <si>
    <t>https://www.sofrrate.com/sofr-rate/2026-08</t>
  </si>
  <si>
    <t>Cash yield assumption</t>
  </si>
  <si>
    <t>S22</t>
  </si>
  <si>
    <t>ad-hoc-news.de</t>
  </si>
  <si>
    <t>SAR $17.41, market cap $283.9m on 23-Sep-26</t>
  </si>
  <si>
    <t>https://www.ad-hoc-news.de/boerse/news/nebenwerte/saratoga-investment-stock-falls-1-94-percent-on-note-offering/70168540</t>
  </si>
  <si>
    <t>Market cap cross-check</t>
  </si>
  <si>
    <t>S23</t>
  </si>
  <si>
    <t>2026-10-05 00:46 UTC</t>
  </si>
  <si>
    <t>S&amp;P Capital IQ (file)</t>
  </si>
  <si>
    <t>SAR_consensus.json (sha256 246394b3...ae48f): frozen consensus 0.49, summary row</t>
  </si>
  <si>
    <t>SAR_consensus.json</t>
  </si>
  <si>
    <t>Inputs; Cover consensus; prior calibration</t>
  </si>
  <si>
    <t>S24</t>
  </si>
  <si>
    <t>SAR_history.csv (sha256 74815114...e30): six actual/consensus pairs</t>
  </si>
  <si>
    <t>SAR_history.csv</t>
  </si>
  <si>
    <t>Inputs; IS/RS CapIQ actual checks; prior calibration</t>
  </si>
  <si>
    <t>S25</t>
  </si>
  <si>
    <t>PitchBook LCD</t>
  </si>
  <si>
    <t>Top BDC portfolios contract in calendar Q2-26; first-lien spreads edging up</t>
  </si>
  <si>
    <t>https://pitchbook.com/news/articles/top-bdc-portfolios-contract-in-q2-as-origination-activity-falters-lcd-analysis</t>
  </si>
  <si>
    <t>Peer context for marks and spreads</t>
  </si>
  <si>
    <t>Segment tabs omitted: SAR reports one segment (a BDC investing in U.S. middle-market debt and equity); checked FY26 10-K (S4) and Q1 FY27 10-Q (S2). Drivers are built on Revenue summary.</t>
  </si>
  <si>
    <t>Geo tab omitted: no revenue by geography is disclosed and portfolio companies are U.S. businesses (Q1 FY27 10-Q, S2); one line on Revenue summary says so.</t>
  </si>
  <si>
    <t>Consensus, Dates and Checks tabs intentionally absent: consensus sits on Cover, period headers on each tab, check summary in artifacts/checks.md.</t>
  </si>
  <si>
    <t>Target-quarter actuals (2Q27, to be reported 6-Oct-26) were not seen or used. All sources were published before the 4-Oct-26 22:22 UTC cutoff; retrieval timestamps are after it and no archived as-of-cutoff copies of web pages exist. CapIQ capture is 4-Oct-26 date precision only (Inputs!C21).</t>
  </si>
  <si>
    <t>Inputs: CapIQ files and calibration</t>
  </si>
  <si>
    <t>A. CapIQ consensus snapshot: SAR_consensus.json (top-level fields)</t>
  </si>
  <si>
    <t>source</t>
  </si>
  <si>
    <t>S&amp;P Capital IQ</t>
  </si>
  <si>
    <t>ticker</t>
  </si>
  <si>
    <t>company</t>
  </si>
  <si>
    <t>fiscal_period</t>
  </si>
  <si>
    <t>Q2 FY2027</t>
  </si>
  <si>
    <t>period_end_date</t>
  </si>
  <si>
    <t>as_of_date</t>
  </si>
  <si>
    <t>analyst_count</t>
  </si>
  <si>
    <t>consensus_eps</t>
  </si>
  <si>
    <t>eps_basis</t>
  </si>
  <si>
    <t>Adjusted NII per common share, USD</t>
  </si>
  <si>
    <t>consensus_revenue_m</t>
  </si>
  <si>
    <t>currency</t>
  </si>
  <si>
    <t>summary_sha256</t>
  </si>
  <si>
    <t>dcd0ceefcbfabc05b4b93dc4d870480edb653ec275c18d538b8e064442f96004</t>
  </si>
  <si>
    <t>captured_precision</t>
  </si>
  <si>
    <t>date only, user confirmed</t>
  </si>
  <si>
    <t>currency_units_status</t>
  </si>
  <si>
    <t>USD per common share inferred; verify filings</t>
  </si>
  <si>
    <t>B. CapIQ summary_row (all 71 fields, raw; blanks preserved as blank)</t>
  </si>
  <si>
    <t>company_name</t>
  </si>
  <si>
    <t>exchange_ticker</t>
  </si>
  <si>
    <t>NYSE:SAR</t>
  </si>
  <si>
    <t>capiq_company_id</t>
  </si>
  <si>
    <t>sp500_member</t>
  </si>
  <si>
    <t>N</t>
  </si>
  <si>
    <t>market_cap_usd_m</t>
  </si>
  <si>
    <t>fiscal_quarter</t>
  </si>
  <si>
    <t>FQ2 2027 - Aug 2026</t>
  </si>
  <si>
    <t>quarter_end_date</t>
  </si>
  <si>
    <t>expected_report_date</t>
  </si>
  <si>
    <t>fiscal_year_end</t>
  </si>
  <si>
    <t>Feb-28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</si>
  <si>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</si>
  <si>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</si>
  <si>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</si>
  <si>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</si>
  <si>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</si>
  <si>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</si>
  <si>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</si>
  <si>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</si>
  <si>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</si>
  <si>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</si>
  <si>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</si>
  <si>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</si>
  <si>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</si>
  <si>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</si>
  <si>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</si>
  <si>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</si>
  <si>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</si>
  <si>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</si>
  <si>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</si>
  <si>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</si>
  <si>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</si>
  <si>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</si>
  <si>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</si>
  <si>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</si>
  <si>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</si>
  <si>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</si>
  <si>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</si>
  <si>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</si>
  <si>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</si>
  <si>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</si>
  <si>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</si>
  <si>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</si>
  <si>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</si>
  <si>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</si>
  <si>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</si>
  <si>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</si>
  <si>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</si>
  <si>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</si>
  <si>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</si>
  <si>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</si>
  <si>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</si>
  <si>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</si>
  <si>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</si>
  <si>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</si>
  <si>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</si>
  <si>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</si>
  <si>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adj_nii_per_share_consensus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</si>
  <si>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</si>
  <si>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</si>
  <si>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</si>
  <si>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</si>
  <si>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</si>
  <si>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</si>
  <si>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</si>
  <si>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</si>
  <si>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</si>
  <si>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</si>
  <si>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wk52_high_low</t>
  </si>
  <si>
    <t>units</t>
  </si>
  <si>
    <t>per-share in USD; revenue and income in USD millions</t>
  </si>
  <si>
    <t>estimates_captured_at</t>
  </si>
  <si>
    <t>notes</t>
  </si>
  <si>
    <t>BDC. GAAP EPS swings reflect unrealized mark-to-market gains/losses and diverge widely from NII. | NII: For SAR, CapIQ's EPS Normalized line IS adjusted net investment income per share (BDC convention); no separate NII row exists on the Consensus tab. FWD NII/share = 0.49 (same distribution as FWDEPSn); historical NII/share actuals = the EPSn actual series above.</t>
  </si>
  <si>
    <t>C. CapIQ history: SAR_history.csv (6 rows, raw)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</si>
  <si>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</si>
  <si>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</si>
  <si>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</si>
  <si>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</si>
  <si>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</si>
  <si>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</si>
  <si>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</si>
  <si>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D. Prior calibration (forecasting playbook v2, size-aware)</t>
  </si>
  <si>
    <t>Strict beat flag, row 1 (2025-02-28)</t>
  </si>
  <si>
    <t>Strict beat flag, row 2 (2025-05-31)</t>
  </si>
  <si>
    <t>Strict beat flag, row 3 (2025-08-31)</t>
  </si>
  <si>
    <t>Strict beat flag, row 4 (2025-11-30)</t>
  </si>
  <si>
    <t>Strict beat flag, row 5 (2026-02-28)</t>
  </si>
  <si>
    <t>Strict beat flag, row 6 (2026-05-31)</t>
  </si>
  <si>
    <t>Surprise $/sh, row 1 (2025-02-28)</t>
  </si>
  <si>
    <t>Surprise $/sh, row 2 (2025-05-31)</t>
  </si>
  <si>
    <t>Surprise $/sh, row 3 (2025-08-31)</t>
  </si>
  <si>
    <t>Surprise $/sh, row 4 (2025-11-30)</t>
  </si>
  <si>
    <t>Surprise $/sh, row 5 (2026-02-28)</t>
  </si>
  <si>
    <t>Surprise $/sh, row 6 (2026-05-31)</t>
  </si>
  <si>
    <t>b = strict beats (normalized EPS)</t>
  </si>
  <si>
    <t>n = valid pairs</t>
  </si>
  <si>
    <t>Share price at cutoff, $ (CapIQ last_close_price)</t>
  </si>
  <si>
    <t>Market cap at cutoff ($m) = price x latest shares</t>
  </si>
  <si>
    <t>Size bucket (playbook: small $300M-$2B)</t>
  </si>
  <si>
    <t>S&amp;P 500 member (CapIQ sp500_member)</t>
  </si>
  <si>
    <t>Cohort prior (small / not S&amp;P 500)</t>
  </si>
  <si>
    <t>Playbook bands: small $300M-$2B (0.60), mid $2B-$10B (0.70), large &gt;$10B or S&amp;P 500 (0.78); no micro-cap band, so nearest band (small) used as disclosed judgment. See note B125.</t>
  </si>
  <si>
    <t>Pseudo-count (fixed experimental weight)</t>
  </si>
  <si>
    <t>Starting p = (8 x prior + b) / (8 + n)</t>
  </si>
  <si>
    <t>Final P(beat consensus EPS), judgment after model</t>
  </si>
  <si>
    <t>Quarter-specific update (final - starting)</t>
  </si>
  <si>
    <t>Mean historical surprise, $/sh (6 pairs)</t>
  </si>
  <si>
    <t>Days per year (annualization basis)</t>
  </si>
</sst>
</file>

<file path=xl/styles.xml><?xml version="1.0" encoding="utf-8"?>
<styleSheet xmlns="http://schemas.openxmlformats.org/spreadsheetml/2006/main">
  <numFmts count="11">
    <numFmt numFmtId="164" formatCode="0"/>
    <numFmt numFmtId="165" formatCode="$0.00_);($0.00);–_)"/>
    <numFmt numFmtId="166" formatCode="dd-mmm-yy"/>
    <numFmt numFmtId="167" formatCode="yyyy-mm-dd"/>
    <numFmt numFmtId="168" formatCode="0.0&quot;x&quot;"/>
    <numFmt numFmtId="169" formatCode="General"/>
    <numFmt numFmtId="170" formatCode="#,##0.0_);(#,##0.0);–_)"/>
    <numFmt numFmtId="171" formatCode="0.0%_);(0.0%);–_)"/>
    <numFmt numFmtId="172" formatCode="#,##0_);(#,##0);–_)"/>
    <numFmt numFmtId="173" formatCode="#,##0.00_);(#,##0.00);–_)"/>
    <numFmt numFmtId="174" formatCode="0.0%"/>
  </numFmts>
  <fonts count="21">
    <font>
      <sz val="11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 val="0"/>
      <strike val="0"/>
      <sz val="12"/>
      <color rgb="FF000000"/>
      <name val="Arial"/>
    </font>
    <font>
      <b/>
      <i val="0"/>
      <strike val="0"/>
      <sz val="11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/>
      <i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4">
    <border>
      <left/>
      <right/>
      <top/>
      <bottom/>
      <diagonal/>
    </border>
    <border>
      <bottom style="thin">
        <color rgb="FF808080"/>
      </bottom>
    </border>
    <border>
      <top style="thin">
        <color rgb="FF808080"/>
      </top>
    </border>
    <border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128">
    <xf numFmtId="0" fontId="0" fillId="0" borderId="0" xfId="0"/>
    <xf numFmtId="164" fontId="1" fillId="2" borderId="1" xfId="0" applyNumberFormat="1" applyFont="1" applyFill="1" applyBorder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left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166" fontId="2" fillId="2" borderId="0" xfId="0" applyNumberFormat="1" applyFont="1" applyFill="1" applyAlignment="1" applyProtection="1">
      <alignment horizontal="right" vertical="bottom"/>
      <protection locked="1" hidden="0"/>
    </xf>
    <xf numFmtId="167" fontId="2" fillId="0" borderId="0" xfId="0" applyNumberFormat="1" applyFont="1" applyFill="1" applyAlignment="1" applyProtection="1">
      <alignment horizontal="lef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0" fontId="5" fillId="2" borderId="2" xfId="0" applyFont="1" applyFill="1" applyBorder="1" applyAlignment="1" applyProtection="1">
      <alignment horizontal="right" vertical="bottom"/>
      <protection locked="1" hidden="0"/>
    </xf>
    <xf numFmtId="0" fontId="5" fillId="2" borderId="3" xfId="0" applyFont="1" applyFill="1" applyBorder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left" vertical="bottom"/>
      <protection locked="1" hidden="0"/>
    </xf>
    <xf numFmtId="0" fontId="5" fillId="2" borderId="3" xfId="0" applyFont="1" applyFill="1" applyBorder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top" wrapText="1"/>
      <protection locked="1" hidden="0"/>
    </xf>
    <xf numFmtId="167" fontId="2" fillId="0" borderId="0" xfId="0" applyNumberFormat="1" applyFont="1" applyFill="1" applyAlignment="1" applyProtection="1">
      <alignment horizontal="general" vertical="top" wrapText="1"/>
      <protection locked="1" hidden="0"/>
    </xf>
    <xf numFmtId="0" fontId="2" fillId="0" borderId="0" xfId="0" applyFont="1" applyFill="1" applyAlignment="1" applyProtection="1">
      <alignment horizontal="general" vertical="top" wrapText="1"/>
      <protection locked="1" hidden="0"/>
    </xf>
    <xf numFmtId="0" fontId="1" fillId="2" borderId="1" xfId="0" applyFont="1" applyFill="1" applyBorder="1" applyAlignment="1" applyProtection="1">
      <alignment horizontal="left" vertical="bottom"/>
      <protection locked="1" hidden="0"/>
    </xf>
    <xf numFmtId="0" fontId="5" fillId="2" borderId="2" xfId="0" applyFont="1" applyFill="1" applyBorder="1" applyAlignment="1" applyProtection="1">
      <alignment horizontal="left" vertical="bottom"/>
      <protection locked="1" hidden="0"/>
    </xf>
    <xf numFmtId="0" fontId="7" fillId="0" borderId="0" xfId="0" applyFont="1" applyFill="1" applyAlignment="1" applyProtection="1">
      <alignment horizontal="general" vertical="bottom"/>
      <protection locked="1" hidden="0"/>
    </xf>
    <xf numFmtId="0" fontId="4" fillId="0" borderId="2" xfId="0" applyFont="1" applyFill="1" applyBorder="1" applyAlignment="1" applyProtection="1">
      <alignment horizontal="general" vertical="bottom"/>
      <protection locked="1" hidden="0"/>
    </xf>
    <xf numFmtId="169" fontId="1" fillId="0" borderId="0" xfId="0" applyNumberFormat="1" applyFont="1" applyFill="1" applyAlignment="1" applyProtection="1">
      <alignment horizontal="left" vertical="bottom"/>
      <protection locked="1" hidden="0"/>
    </xf>
    <xf numFmtId="0" fontId="5" fillId="2" borderId="3" xfId="0" applyFont="1" applyFill="1" applyBorder="1" applyAlignment="1" applyProtection="1">
      <alignment horizontal="right" vertical="bottom" wrapText="1"/>
      <protection locked="1" hidden="0"/>
    </xf>
    <xf numFmtId="170" fontId="3" fillId="3" borderId="0" xfId="0" applyNumberFormat="1" applyFont="1" applyFill="1" applyAlignment="1" applyProtection="1">
      <alignment horizontal="right" vertical="bottom"/>
      <protection locked="1" hidden="0"/>
    </xf>
    <xf numFmtId="170" fontId="3" fillId="0" borderId="0" xfId="0" applyNumberFormat="1" applyFont="1" applyFill="1" applyAlignment="1" applyProtection="1">
      <alignment horizontal="right" vertical="bottom"/>
      <protection locked="1" hidden="0"/>
    </xf>
    <xf numFmtId="171" fontId="4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0" fontId="1" fillId="0" borderId="1" xfId="0" applyFont="1" applyFill="1" applyBorder="1" applyAlignment="1" applyProtection="1">
      <alignment horizontal="general" vertical="bottom"/>
      <protection locked="1" hidden="0"/>
    </xf>
    <xf numFmtId="0" fontId="2" fillId="0" borderId="1" xfId="0" applyFont="1" applyFill="1" applyBorder="1" applyAlignment="1" applyProtection="1">
      <alignment horizontal="right" vertical="bottom"/>
      <protection locked="1" hidden="0"/>
    </xf>
    <xf numFmtId="165" fontId="3" fillId="3" borderId="0" xfId="0" applyNumberFormat="1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right" vertical="bottom"/>
      <protection locked="1" hidden="0"/>
    </xf>
    <xf numFmtId="169" fontId="3" fillId="0" borderId="0" xfId="0" applyNumberFormat="1" applyFont="1" applyFill="1" applyAlignment="1" applyProtection="1">
      <alignment horizontal="left" vertical="bottom"/>
      <protection locked="1" hidden="0"/>
    </xf>
    <xf numFmtId="172" fontId="3" fillId="0" borderId="0" xfId="0" applyNumberFormat="1" applyFont="1" applyFill="1" applyAlignment="1" applyProtection="1">
      <alignment horizontal="right" vertical="bottom"/>
      <protection locked="1" hidden="0"/>
    </xf>
    <xf numFmtId="164" fontId="1" fillId="3" borderId="1" xfId="0" applyNumberFormat="1" applyFont="1" applyFill="1" applyBorder="1" applyAlignment="1" applyProtection="1">
      <alignment horizontal="right" vertical="bottom"/>
      <protection locked="1" hidden="0"/>
    </xf>
    <xf numFmtId="173" fontId="9" fillId="0" borderId="0" xfId="0" applyNumberFormat="1" applyFont="1" applyFill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171" fontId="4" fillId="3" borderId="0" xfId="0" applyNumberFormat="1" applyFont="1" applyFill="1" applyAlignment="1" applyProtection="1">
      <alignment horizontal="right" vertical="bottom"/>
      <protection locked="1" hidden="0"/>
    </xf>
    <xf numFmtId="173" fontId="1" fillId="0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1" xfId="0" applyFont="1" applyFill="1" applyBorder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indent="1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73" fontId="5" fillId="0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 indent="2"/>
      <protection locked="1" hidden="0"/>
    </xf>
    <xf numFmtId="0" fontId="1" fillId="0" borderId="0" xfId="0" applyFont="1" applyFill="1" applyAlignment="1" applyProtection="1">
      <alignment horizontal="general" vertical="bottom" indent="2"/>
      <protection locked="1" hidden="0"/>
    </xf>
    <xf numFmtId="173" fontId="1" fillId="3" borderId="0" xfId="0" applyNumberFormat="1" applyFont="1" applyFill="1" applyAlignment="1" applyProtection="1">
      <alignment horizontal="right" vertical="bottom"/>
      <protection locked="1" hidden="0"/>
    </xf>
    <xf numFmtId="170" fontId="5" fillId="0" borderId="0" xfId="0" applyNumberFormat="1" applyFont="1" applyFill="1" applyAlignment="1" applyProtection="1">
      <alignment horizontal="right" vertical="bottom"/>
      <protection locked="1" hidden="0"/>
    </xf>
    <xf numFmtId="174" fontId="8" fillId="0" borderId="0" xfId="0" applyNumberFormat="1" applyFont="1" applyFill="1" applyAlignment="1" applyProtection="1">
      <alignment horizontal="right" vertical="bottom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173" fontId="3" fillId="0" borderId="0" xfId="0" applyNumberFormat="1" applyFont="1" applyFill="1" applyAlignment="1" applyProtection="1">
      <alignment horizontal="right" vertical="bottom"/>
      <protection locked="1" hidden="0"/>
    </xf>
    <xf numFmtId="164" fontId="2" fillId="3" borderId="0" xfId="0" applyNumberFormat="1" applyFont="1" applyFill="1" applyAlignment="1" applyProtection="1">
      <alignment horizontal="right" vertical="bottom"/>
      <protection locked="1" hidden="0"/>
    </xf>
    <xf numFmtId="168" fontId="10" fillId="3" borderId="0" xfId="0" applyNumberFormat="1" applyFont="1" applyFill="1" applyAlignment="1" applyProtection="1">
      <alignment horizontal="right" vertical="bottom"/>
      <protection locked="1" hidden="0"/>
    </xf>
    <xf numFmtId="166" fontId="2" fillId="3" borderId="0" xfId="0" applyNumberFormat="1" applyFont="1" applyFill="1" applyAlignment="1" applyProtection="1">
      <alignment horizontal="right" vertical="bottom"/>
      <protection locked="1" hidden="0"/>
    </xf>
    <xf numFmtId="170" fontId="10" fillId="0" borderId="2" xfId="0" applyNumberFormat="1" applyFont="1" applyFill="1" applyBorder="1" applyAlignment="1" applyProtection="1">
      <alignment horizontal="right" vertical="bottom"/>
      <protection locked="1" hidden="0"/>
    </xf>
    <xf numFmtId="170" fontId="3" fillId="0" borderId="0" xfId="0" applyNumberFormat="1" applyFont="1" applyFill="1" applyAlignment="1" applyProtection="1">
      <alignment horizontal="left" vertical="bottom"/>
      <protection locked="1" hidden="0"/>
    </xf>
    <xf numFmtId="0" fontId="5" fillId="2" borderId="3" xfId="0" applyFont="1" applyFill="1" applyBorder="1" applyAlignment="1" applyProtection="1">
      <alignment horizontal="general" vertical="bottom" wrapText="1"/>
      <protection locked="1" hidden="0"/>
    </xf>
    <xf numFmtId="170" fontId="2" fillId="0" borderId="0" xfId="0" applyNumberFormat="1" applyFont="1" applyFill="1" applyAlignment="1" applyProtection="1">
      <alignment horizontal="right" vertical="bottom"/>
      <protection locked="1" hidden="0"/>
    </xf>
    <xf numFmtId="170" fontId="2" fillId="3" borderId="0" xfId="0" applyNumberFormat="1" applyFont="1" applyFill="1" applyAlignment="1" applyProtection="1">
      <alignment horizontal="right" vertical="bottom"/>
      <protection locked="1" hidden="0"/>
    </xf>
    <xf numFmtId="170" fontId="9" fillId="0" borderId="2" xfId="0" applyNumberFormat="1" applyFont="1" applyFill="1" applyBorder="1" applyAlignment="1" applyProtection="1">
      <alignment horizontal="right" vertical="bottom"/>
      <protection locked="1" hidden="0"/>
    </xf>
    <xf numFmtId="170" fontId="4" fillId="0" borderId="0" xfId="0" applyNumberFormat="1" applyFont="1" applyFill="1" applyAlignment="1" applyProtection="1">
      <alignment horizontal="right" vertical="bottom"/>
      <protection locked="1" hidden="0"/>
    </xf>
    <xf numFmtId="169" fontId="1" fillId="3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70" fontId="5" fillId="0" borderId="2" xfId="0" applyNumberFormat="1" applyFont="1" applyFill="1" applyBorder="1" applyAlignment="1" applyProtection="1">
      <alignment horizontal="right" vertical="bottom"/>
      <protection locked="1" hidden="0"/>
    </xf>
    <xf numFmtId="173" fontId="5" fillId="3" borderId="0" xfId="0" applyNumberFormat="1" applyFont="1" applyFill="1" applyAlignment="1" applyProtection="1">
      <alignment horizontal="right" vertical="bottom"/>
      <protection locked="1" hidden="0"/>
    </xf>
    <xf numFmtId="173" fontId="2" fillId="3" borderId="0" xfId="0" applyNumberFormat="1" applyFont="1" applyFill="1" applyAlignment="1" applyProtection="1">
      <alignment horizontal="right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0" fontId="5" fillId="3" borderId="2" xfId="0" applyFont="1" applyFill="1" applyBorder="1" applyAlignment="1" applyProtection="1">
      <alignment horizontal="right" vertical="bottom"/>
      <protection locked="1" hidden="0"/>
    </xf>
    <xf numFmtId="170" fontId="5" fillId="3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170" fontId="4" fillId="3" borderId="0" xfId="0" applyNumberFormat="1" applyFont="1" applyFill="1" applyAlignment="1" applyProtection="1">
      <alignment horizontal="right" vertical="bottom"/>
      <protection locked="1" hidden="0"/>
    </xf>
    <xf numFmtId="170" fontId="9" fillId="0" borderId="0" xfId="0" applyNumberFormat="1" applyFont="1" applyFill="1" applyAlignment="1" applyProtection="1">
      <alignment horizontal="right" vertical="bottom"/>
      <protection locked="1" hidden="0"/>
    </xf>
    <xf numFmtId="165" fontId="2" fillId="3" borderId="0" xfId="0" applyNumberFormat="1" applyFont="1" applyFill="1" applyAlignment="1" applyProtection="1">
      <alignment horizontal="right" vertical="bottom"/>
      <protection locked="1" hidden="0"/>
    </xf>
    <xf numFmtId="170" fontId="5" fillId="3" borderId="2" xfId="0" applyNumberFormat="1" applyFont="1" applyFill="1" applyBorder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 indent="1"/>
      <protection locked="1" hidden="0"/>
    </xf>
    <xf numFmtId="167" fontId="2" fillId="0" borderId="0" xfId="0" applyNumberFormat="1" applyFont="1" applyFill="1" applyAlignment="1" applyProtection="1">
      <alignment horizontal="general" vertical="bottom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right" vertical="bottom"/>
      <protection locked="1" hidden="0"/>
    </xf>
    <xf numFmtId="171" fontId="2" fillId="0" borderId="0" xfId="0" applyNumberFormat="1" applyFont="1" applyFill="1" applyAlignment="1" applyProtection="1">
      <alignment horizontal="right" vertical="bottom"/>
      <protection locked="1" hidden="0"/>
    </xf>
    <xf numFmtId="169" fontId="5" fillId="0" borderId="0" xfId="0" applyNumberFormat="1" applyFont="1" applyFill="1" applyAlignment="1" applyProtection="1">
      <alignment horizontal="right" vertical="bottom"/>
      <protection locked="1" hidden="0"/>
    </xf>
    <xf numFmtId="0" fontId="9" fillId="0" borderId="0" xfId="0" applyFont="1" applyFill="1" applyAlignment="1" applyProtection="1">
      <alignment horizontal="right" vertical="bottom"/>
      <protection locked="1" hidden="0"/>
    </xf>
    <xf numFmtId="171" fontId="11" fillId="3" borderId="0" xfId="0" applyNumberFormat="1" applyFont="1" applyFill="1" applyAlignment="1" applyProtection="1">
      <alignment horizontal="right" vertical="bottom"/>
      <protection locked="1" hidden="0"/>
    </xf>
    <xf numFmtId="172" fontId="4" fillId="3" borderId="0" xfId="0" applyNumberFormat="1" applyFont="1" applyFill="1" applyAlignment="1" applyProtection="1">
      <alignment horizontal="right" vertical="bottom"/>
      <protection locked="1" hidden="0"/>
    </xf>
    <xf numFmtId="172" fontId="4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165" fontId="5" fillId="0" borderId="2" xfId="0" applyNumberFormat="1" applyFont="1" applyFill="1" applyBorder="1" applyAlignment="1" applyProtection="1">
      <alignment horizontal="right" vertical="bottom"/>
      <protection locked="1" hidden="0"/>
    </xf>
    <xf numFmtId="165" fontId="8" fillId="0" borderId="0" xfId="0" applyNumberFormat="1" applyFont="1" applyFill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right" vertical="bottom"/>
      <protection locked="1" hidden="0"/>
    </xf>
    <xf numFmtId="171" fontId="10" fillId="0" borderId="0" xfId="0" applyNumberFormat="1" applyFont="1" applyFill="1" applyAlignment="1" applyProtection="1">
      <alignment horizontal="right" vertical="bottom"/>
      <protection locked="1" hidden="0"/>
    </xf>
    <xf numFmtId="171" fontId="11" fillId="0" borderId="0" xfId="0" applyNumberFormat="1" applyFont="1" applyFill="1" applyAlignment="1" applyProtection="1">
      <alignment horizontal="right" vertical="bottom"/>
      <protection locked="1" hidden="0"/>
    </xf>
    <xf numFmtId="172" fontId="2" fillId="0" borderId="0" xfId="0" applyNumberFormat="1" applyFont="1" applyFill="1" applyAlignment="1" applyProtection="1">
      <alignment horizontal="right" vertical="bottom"/>
      <protection locked="1" hidden="0"/>
    </xf>
    <xf numFmtId="170" fontId="8" fillId="0" borderId="2" xfId="0" applyNumberFormat="1" applyFont="1" applyFill="1" applyBorder="1" applyAlignment="1" applyProtection="1">
      <alignment horizontal="right" vertical="bottom"/>
      <protection locked="1" hidden="0"/>
    </xf>
    <xf numFmtId="169" fontId="5" fillId="3" borderId="0" xfId="0" applyNumberFormat="1" applyFont="1" applyFill="1" applyAlignment="1" applyProtection="1">
      <alignment horizontal="right" vertical="bottom"/>
      <protection locked="1" hidden="0"/>
    </xf>
    <xf numFmtId="165" fontId="4" fillId="3" borderId="0" xfId="0" applyNumberFormat="1" applyFont="1" applyFill="1" applyAlignment="1" applyProtection="1">
      <alignment horizontal="right" vertical="bottom"/>
      <protection locked="1" hidden="0"/>
    </xf>
    <xf numFmtId="173" fontId="2" fillId="0" borderId="0" xfId="0" applyNumberFormat="1" applyFont="1" applyFill="1" applyAlignment="1" applyProtection="1">
      <alignment horizontal="right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173" fontId="3" fillId="3" borderId="0" xfId="0" applyNumberFormat="1" applyFont="1" applyFill="1" applyAlignment="1" applyProtection="1">
      <alignment horizontal="right" vertical="bottom"/>
      <protection locked="1" hidden="0"/>
    </xf>
    <xf numFmtId="165" fontId="5" fillId="3" borderId="2" xfId="0" applyNumberFormat="1" applyFont="1" applyFill="1" applyBorder="1" applyAlignment="1" applyProtection="1">
      <alignment horizontal="right" vertical="bottom"/>
      <protection locked="1" hidden="0"/>
    </xf>
    <xf numFmtId="170" fontId="8" fillId="3" borderId="0" xfId="0" applyNumberFormat="1" applyFont="1" applyFill="1" applyAlignment="1" applyProtection="1">
      <alignment horizontal="right" vertical="bottom"/>
      <protection locked="1" hidden="0"/>
    </xf>
    <xf numFmtId="168" fontId="4" fillId="3" borderId="0" xfId="0" applyNumberFormat="1" applyFont="1" applyFill="1" applyAlignment="1" applyProtection="1">
      <alignment horizontal="right" vertical="bottom"/>
      <protection locked="1" hidden="0"/>
    </xf>
    <xf numFmtId="165" fontId="5" fillId="3" borderId="0" xfId="0" applyNumberFormat="1" applyFont="1" applyFill="1" applyAlignment="1" applyProtection="1">
      <alignment horizontal="right" vertical="bottom"/>
      <protection locked="1" hidden="0"/>
    </xf>
    <xf numFmtId="172" fontId="1" fillId="3" borderId="0" xfId="0" applyNumberFormat="1" applyFont="1" applyFill="1" applyAlignment="1" applyProtection="1">
      <alignment horizontal="right" vertical="bottom"/>
      <protection locked="1" hidden="0"/>
    </xf>
    <xf numFmtId="165" fontId="8" fillId="3" borderId="0" xfId="0" applyNumberFormat="1" applyFont="1" applyFill="1" applyAlignment="1" applyProtection="1">
      <alignment horizontal="right" vertical="bottom"/>
      <protection locked="1" hidden="0"/>
    </xf>
    <xf numFmtId="170" fontId="8" fillId="3" borderId="2" xfId="0" applyNumberFormat="1" applyFont="1" applyFill="1" applyBorder="1" applyAlignment="1" applyProtection="1">
      <alignment horizontal="right" vertical="bottom"/>
      <protection locked="1" hidden="0"/>
    </xf>
    <xf numFmtId="171" fontId="12" fillId="3" borderId="2" xfId="0" applyNumberFormat="1" applyFont="1" applyFill="1" applyBorder="1" applyAlignment="1" applyProtection="1">
      <alignment horizontal="right" vertical="bottom"/>
      <protection locked="1" hidden="0"/>
    </xf>
    <xf numFmtId="171" fontId="12" fillId="0" borderId="2" xfId="0" applyNumberFormat="1" applyFont="1" applyFill="1" applyBorder="1" applyAlignment="1" applyProtection="1">
      <alignment horizontal="right" vertical="bottom"/>
      <protection locked="1" hidden="0"/>
    </xf>
    <xf numFmtId="0" fontId="12" fillId="0" borderId="0" xfId="0" applyFont="1" applyFill="1" applyAlignment="1" applyProtection="1">
      <alignment horizontal="general" vertical="bottom"/>
      <protection locked="1" hidden="0"/>
    </xf>
    <xf numFmtId="167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4" fillId="2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9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15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69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6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9" fontId="13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9" fontId="17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69" fontId="17" fillId="0" borderId="0" xfId="0" applyNumberFormat="1" applyFont="1" applyFill="1" applyAlignment="1" applyProtection="1">
      <alignment horizontal="left" vertical="top" textRotation="0" wrapText="1" indent="1" readingOrder="0"/>
      <protection locked="1" hidden="0"/>
    </xf>
    <xf numFmtId="169" fontId="18" fillId="2" borderId="3" xfId="0" applyNumberFormat="1" applyFont="1" applyFill="1" applyBorder="1" applyAlignment="1" applyProtection="1">
      <alignment horizontal="left" vertical="bottom" textRotation="0" indent="1" readingOrder="0"/>
      <protection locked="1" hidden="0"/>
    </xf>
    <xf numFmtId="169" fontId="1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20" fillId="0" borderId="0" xfId="0" applyNumberFormat="1" applyFont="1" applyFill="1" applyAlignment="1" applyProtection="1">
      <alignment horizontal="lef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theme" Target="theme/theme1.xml"/><Relationship Id="rId1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19050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8.xml"/><Relationship Id="rId3" Type="http://schemas.openxmlformats.org/officeDocument/2006/relationships/vmlDrawing" Target="../drawings/vmlDrawing8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showGridLines="0" tabSelected="1" workbookViewId="0"/>
  </sheetViews>
  <sheetFormatPr defaultColWidth="8.42578125" defaultRowHeight="15"/>
  <cols>
    <col min="1" max="1" width="10" customWidth="1"/>
    <col min="2" max="2" width="48" customWidth="1"/>
    <col min="3" max="4" width="14" customWidth="1"/>
    <col min="5" max="9" width="12" customWidth="1"/>
  </cols>
  <sheetData>
    <row r="1">
      <c r="A1" s="3"/>
      <c r="B1" s="17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2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22" t="s">
        <v>3</v>
      </c>
      <c r="C4" s="12" t="s">
        <v>4</v>
      </c>
      <c r="D4" s="12"/>
      <c r="E4" s="12"/>
      <c r="F4" s="12"/>
      <c r="G4" s="12"/>
      <c r="H4" s="12"/>
      <c r="I4" s="12"/>
      <c r="J4" s="3"/>
      <c r="K4" s="3"/>
      <c r="L4" s="3"/>
    </row>
    <row r="5">
      <c r="A5" s="3"/>
      <c r="B5" s="14" t="s">
        <v>5</v>
      </c>
      <c r="C5" s="9">
        <v>46265</v>
      </c>
      <c r="D5" s="9"/>
      <c r="E5" s="9"/>
      <c r="F5" s="9"/>
      <c r="G5" s="9"/>
      <c r="H5" s="9"/>
      <c r="I5" s="9"/>
      <c r="J5" s="3"/>
      <c r="K5" s="3"/>
      <c r="L5" s="3"/>
    </row>
    <row r="6">
      <c r="A6" s="3"/>
      <c r="B6" s="21" t="s">
        <v>6</v>
      </c>
      <c r="C6" s="1">
        <f>C5-EOMONTH(C5,-3)</f>
        <v>92</v>
      </c>
      <c r="D6" s="1"/>
      <c r="E6" s="1"/>
      <c r="F6" s="1"/>
      <c r="G6" s="1"/>
      <c r="H6" s="1"/>
      <c r="I6" s="1"/>
      <c r="J6" s="3"/>
      <c r="K6" s="3"/>
      <c r="L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>
      <c r="A8" s="3"/>
      <c r="B8" s="30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>
      <c r="A9" s="3"/>
      <c r="B9" s="3" t="s">
        <v>8</v>
      </c>
      <c r="C9" s="25" t="s">
        <v>9</v>
      </c>
      <c r="D9" s="3"/>
      <c r="E9" s="3"/>
      <c r="F9" s="3"/>
      <c r="G9" s="3"/>
      <c r="H9" s="3"/>
      <c r="I9" s="3"/>
      <c r="J9" s="3"/>
      <c r="K9" s="3"/>
      <c r="L9" s="3"/>
    </row>
    <row r="10">
      <c r="A10" s="3"/>
      <c r="B10" s="3" t="s">
        <v>10</v>
      </c>
      <c r="C10" s="25" t="s">
        <v>11</v>
      </c>
      <c r="D10" s="3"/>
      <c r="E10" s="3"/>
      <c r="F10" s="3"/>
      <c r="G10" s="3"/>
      <c r="H10" s="3"/>
      <c r="I10" s="3"/>
      <c r="J10" s="3"/>
      <c r="K10" s="3"/>
      <c r="L10" s="3"/>
    </row>
    <row r="11">
      <c r="A11" s="3"/>
      <c r="B11" s="3" t="s">
        <v>12</v>
      </c>
      <c r="C11" s="25" t="s">
        <v>13</v>
      </c>
      <c r="D11" s="3"/>
      <c r="E11" s="3"/>
      <c r="F11" s="3"/>
      <c r="G11" s="3"/>
      <c r="H11" s="3"/>
      <c r="I11" s="3"/>
      <c r="J11" s="3"/>
      <c r="K11" s="3"/>
      <c r="L11" s="3"/>
    </row>
    <row r="12">
      <c r="A12" s="3"/>
      <c r="B12" s="3" t="s">
        <v>14</v>
      </c>
      <c r="C12" s="25" t="s">
        <v>15</v>
      </c>
      <c r="D12" s="3"/>
      <c r="E12" s="3"/>
      <c r="F12" s="3"/>
      <c r="G12" s="3"/>
      <c r="H12" s="3"/>
      <c r="I12" s="3"/>
      <c r="J12" s="3"/>
      <c r="K12" s="3"/>
      <c r="L12" s="3"/>
    </row>
    <row r="13">
      <c r="A13" s="3"/>
      <c r="B13" s="3" t="s">
        <v>16</v>
      </c>
      <c r="C13" s="25" t="s">
        <v>17</v>
      </c>
      <c r="D13" s="3"/>
      <c r="E13" s="3"/>
      <c r="F13" s="3"/>
      <c r="G13" s="3"/>
      <c r="H13" s="3"/>
      <c r="I13" s="3"/>
      <c r="J13" s="3"/>
      <c r="K13" s="3"/>
      <c r="L13" s="3"/>
    </row>
    <row r="14">
      <c r="A14" s="3"/>
      <c r="B14" s="3" t="s">
        <v>18</v>
      </c>
      <c r="C14" s="25" t="s">
        <v>19</v>
      </c>
      <c r="D14" s="3"/>
      <c r="E14" s="3"/>
      <c r="F14" s="3"/>
      <c r="G14" s="3"/>
      <c r="H14" s="3"/>
      <c r="I14" s="3"/>
      <c r="J14" s="3"/>
      <c r="K14" s="3"/>
      <c r="L14" s="3"/>
    </row>
    <row r="15">
      <c r="A15" s="3"/>
      <c r="B15" s="3" t="s">
        <v>20</v>
      </c>
      <c r="C15" s="25" t="s">
        <v>21</v>
      </c>
      <c r="D15" s="3"/>
      <c r="E15" s="3"/>
      <c r="F15" s="3"/>
      <c r="G15" s="3"/>
      <c r="H15" s="3"/>
      <c r="I15" s="3"/>
      <c r="J15" s="3"/>
      <c r="K15" s="3"/>
      <c r="L15" s="3"/>
    </row>
    <row r="16">
      <c r="A16" s="3"/>
      <c r="B16" s="3" t="s">
        <v>22</v>
      </c>
      <c r="C16" s="25" t="s">
        <v>23</v>
      </c>
      <c r="D16" s="3"/>
      <c r="E16" s="3"/>
      <c r="F16" s="3"/>
      <c r="G16" s="3"/>
      <c r="H16" s="3"/>
      <c r="I16" s="3"/>
      <c r="J16" s="3"/>
      <c r="K16" s="3"/>
      <c r="L16" s="3"/>
    </row>
    <row r="17">
      <c r="A17" s="3"/>
      <c r="B17" s="3" t="s">
        <v>3</v>
      </c>
      <c r="C17" s="25" t="s">
        <v>24</v>
      </c>
      <c r="D17" s="3"/>
      <c r="E17" s="3"/>
      <c r="F17" s="3"/>
      <c r="G17" s="3"/>
      <c r="H17" s="3"/>
      <c r="I17" s="3"/>
      <c r="J17" s="3"/>
      <c r="K17" s="3"/>
      <c r="L17" s="3"/>
    </row>
    <row r="18">
      <c r="A18" s="3"/>
      <c r="B18" s="3" t="s">
        <v>25</v>
      </c>
      <c r="C18" s="60">
        <f>Inputs!$C$122</f>
        <v>268.79870447999997</v>
      </c>
      <c r="D18" s="3"/>
      <c r="E18" s="3"/>
      <c r="F18" s="3"/>
      <c r="G18" s="3"/>
      <c r="H18" s="3"/>
      <c r="I18" s="3"/>
      <c r="J18" s="3"/>
      <c r="K18" s="3"/>
      <c r="L18" s="3"/>
    </row>
    <row r="19">
      <c r="A19" s="3"/>
      <c r="B19" s="3" t="s">
        <v>26</v>
      </c>
      <c r="C19" s="35" t="str">
        <f>Inputs!$C$124</f>
        <v>N</v>
      </c>
      <c r="D19" s="3"/>
      <c r="E19" s="3"/>
      <c r="F19" s="3"/>
      <c r="G19" s="3"/>
      <c r="H19" s="3"/>
      <c r="I19" s="3"/>
      <c r="J19" s="3"/>
      <c r="K19" s="3"/>
      <c r="L19" s="3"/>
    </row>
    <row r="20">
      <c r="A20" s="3"/>
      <c r="B20" s="3" t="s">
        <v>27</v>
      </c>
      <c r="C20" s="35" t="str">
        <f>Inputs!$C$123</f>
        <v>Below small range (micro-cap); nearest = small</v>
      </c>
      <c r="D20" s="3"/>
      <c r="E20" s="3"/>
      <c r="F20" s="3"/>
      <c r="G20" s="3"/>
      <c r="H20" s="3"/>
      <c r="I20" s="3"/>
      <c r="J20" s="3"/>
      <c r="K20" s="3"/>
      <c r="L20" s="3"/>
    </row>
    <row r="21">
      <c r="A21" s="3"/>
      <c r="B21" s="3" t="s">
        <v>28</v>
      </c>
      <c r="C21" s="25" t="s">
        <v>29</v>
      </c>
      <c r="D21" s="3"/>
      <c r="E21" s="3"/>
      <c r="F21" s="3"/>
      <c r="G21" s="3"/>
      <c r="H21" s="3"/>
      <c r="I21" s="3"/>
      <c r="J21" s="3"/>
      <c r="K21" s="3"/>
      <c r="L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22.5">
      <c r="A23" s="3"/>
      <c r="B23" s="61" t="s">
        <v>30</v>
      </c>
      <c r="C23" s="26" t="s">
        <v>31</v>
      </c>
      <c r="D23" s="26" t="s">
        <v>32</v>
      </c>
      <c r="E23" s="26" t="s">
        <v>33</v>
      </c>
      <c r="F23" s="26" t="s">
        <v>34</v>
      </c>
      <c r="G23" s="26" t="s">
        <v>35</v>
      </c>
      <c r="H23" s="26" t="s">
        <v>36</v>
      </c>
      <c r="I23" s="26" t="s">
        <v>37</v>
      </c>
      <c r="J23" s="3"/>
      <c r="K23" s="3"/>
      <c r="L23" s="3"/>
    </row>
    <row r="24">
      <c r="A24" s="3"/>
      <c r="B24" s="3" t="s">
        <v>38</v>
      </c>
      <c r="C24" s="27">
        <f>'Income Statement'!I15</f>
        <v>31.35032399614056</v>
      </c>
      <c r="D24" s="28">
        <f>Inputs!$C$52</f>
        <v>31.47</v>
      </c>
      <c r="E24" s="44">
        <f>C24-D24</f>
        <v>-0.1196760038594391</v>
      </c>
      <c r="F24" s="29">
        <f>C24/D24-1</f>
        <v>-0.0038028599891782866</v>
      </c>
      <c r="G24" s="11" t="s">
        <v>39</v>
      </c>
      <c r="H24" s="11" t="s">
        <v>39</v>
      </c>
      <c r="I24" s="36">
        <f>Inputs!$C$57</f>
        <v>6</v>
      </c>
      <c r="J24" s="3"/>
      <c r="K24" s="3"/>
      <c r="L24" s="3"/>
    </row>
    <row r="25">
      <c r="A25" s="3"/>
      <c r="B25" s="3" t="s">
        <v>40</v>
      </c>
      <c r="C25" s="27">
        <f>'Income Statement'!I70</f>
        <v>7.716775169186418</v>
      </c>
      <c r="D25" s="28">
        <f>Inputs!$C$65</f>
        <v>8</v>
      </c>
      <c r="E25" s="44">
        <f>C25-D25</f>
        <v>-0.2832248308135821</v>
      </c>
      <c r="F25" s="29">
        <f>C25/D25-1</f>
        <v>-0.03540310385169776</v>
      </c>
      <c r="G25" s="11" t="s">
        <v>39</v>
      </c>
      <c r="H25" s="11" t="s">
        <v>39</v>
      </c>
      <c r="I25" s="47" t="s">
        <v>39</v>
      </c>
      <c r="J25" s="3"/>
      <c r="K25" s="3"/>
      <c r="L25" s="3"/>
    </row>
    <row r="26">
      <c r="A26" s="3"/>
      <c r="B26" s="3" t="s">
        <v>41</v>
      </c>
      <c r="C26" s="33">
        <f>'Income Statement'!I83</f>
        <v>0.4728513138647137</v>
      </c>
      <c r="D26" s="5">
        <f>Inputs!$C$36</f>
        <v>0.49</v>
      </c>
      <c r="E26" s="4">
        <f>C26-D26</f>
        <v>-0.017148686135286306</v>
      </c>
      <c r="F26" s="29">
        <f>C26/D26-1</f>
        <v>-0.034997318643441466</v>
      </c>
      <c r="G26" s="11" t="s">
        <v>39</v>
      </c>
      <c r="H26" s="11" t="s">
        <v>39</v>
      </c>
      <c r="I26" s="36">
        <f>Inputs!$C$41</f>
        <v>7</v>
      </c>
      <c r="J26" s="3"/>
      <c r="K26" s="3"/>
      <c r="L26" s="3"/>
    </row>
    <row r="27">
      <c r="A27" s="3"/>
      <c r="B27" s="3" t="s">
        <v>42</v>
      </c>
      <c r="C27" s="27">
        <f>'Income Statement'!I52</f>
        <v>2.59499434726861</v>
      </c>
      <c r="D27" s="28">
        <f>Inputs!$C$66</f>
        <v>8.02</v>
      </c>
      <c r="E27" s="44">
        <f>C27-D27</f>
        <v>-5.4250056527313895</v>
      </c>
      <c r="F27" s="29">
        <f>C27/D27-1</f>
        <v>-0.6764346200413205</v>
      </c>
      <c r="G27" s="11" t="s">
        <v>39</v>
      </c>
      <c r="H27" s="11" t="s">
        <v>39</v>
      </c>
      <c r="I27" s="47" t="s">
        <v>39</v>
      </c>
      <c r="J27" s="3"/>
      <c r="K27" s="3"/>
      <c r="L27" s="3"/>
    </row>
    <row r="28">
      <c r="A28" s="3"/>
      <c r="B28" s="3" t="s">
        <v>43</v>
      </c>
      <c r="C28" s="33">
        <f>'Income Statement'!I61</f>
        <v>0.15901026784830316</v>
      </c>
      <c r="D28" s="5">
        <f>Inputs!$C$45</f>
        <v>0.49</v>
      </c>
      <c r="E28" s="4">
        <f>C28-D28</f>
        <v>-0.3309897321516968</v>
      </c>
      <c r="F28" s="29">
        <f>C28/D28-1</f>
        <v>-0.6754892492891772</v>
      </c>
      <c r="G28" s="11" t="s">
        <v>39</v>
      </c>
      <c r="H28" s="11" t="s">
        <v>39</v>
      </c>
      <c r="I28" s="36">
        <f>Inputs!$C$50</f>
        <v>6</v>
      </c>
      <c r="J28" s="3"/>
      <c r="K28" s="3"/>
      <c r="L28" s="3"/>
    </row>
    <row r="29">
      <c r="A29" s="3"/>
      <c r="B29" s="24" t="s">
        <v>44</v>
      </c>
      <c r="C29" s="59">
        <f>ROUND((C24-'Income Statement'!I15)+(C25-'Income Statement'!I70)+(C26-'Income Statement'!I83)+(C27-'Income Statement'!I52)+(C28-'Income Statement'!I61),9)</f>
        <v>0</v>
      </c>
      <c r="D29" s="24"/>
      <c r="E29" s="24"/>
      <c r="F29" s="24"/>
      <c r="G29" s="24"/>
      <c r="H29" s="24"/>
      <c r="I29" s="24"/>
      <c r="J29" s="3"/>
      <c r="K29" s="3"/>
      <c r="L29" s="3"/>
    </row>
    <row r="30">
      <c r="A30" s="3"/>
      <c r="B30" s="30" t="s">
        <v>45</v>
      </c>
      <c r="C30" s="34" t="str">
        <f>IF(AND(MAX('Revenue summary'!C35:H35)&lt;=0.02,MIN('Revenue summary'!C35:H35)&gt;=-0.02,MAX('Revenue summary'!C219:I219)&lt;=0.002,MIN('Revenue summary'!C219:I219)&gt;=-0.002,MAX('Income Statement'!C40:I40)&lt;=0.002,MIN('Income Statement'!C40:I40)&gt;=-0.002,MAX('Income Statement'!C57:I57)&lt;=0.002,MIN('Income Statement'!C57:I57)&gt;=-0.002,MAX('Income Statement'!C63:H63)&lt;=0.000001,MIN('Income Statement'!C63:H63)&gt;=-0.000001,MAX('Income Statement'!C86:I86)&lt;=0.000001,MIN('Income Statement'!C86:I86)&gt;=-0.000001,MAX('Income Statement'!C87:I87)&lt;=0.000001,MIN('Income Statement'!C87:I87)&gt;=-0.000001,MAX('Balance Sheet'!C78:I78)&lt;=0.000001,MIN('Balance Sheet'!C78:I78)&gt;=-0.000001,MAX('Balance Sheet'!C20:I20)&lt;=0.002,MIN('Balance Sheet'!C20:I20)&gt;=-0.002,MAX('Balance Sheet'!C70:I70)&lt;=0.002,MIN('Balance Sheet'!C70:I70)&gt;=-0.002,MAX('Cash Flow Statement'!C53:H53)&lt;=0.002,MIN('Cash Flow Statement'!C53:H53)&gt;=-0.002,MAX('Cash Flow Statement'!C31:I31)&lt;=0.002,MIN('Cash Flow Statement'!C31:I31)&gt;=-0.002,MAX('Cash Flow Statement'!C48:I48)&lt;=0.002,MIN('Cash Flow Statement'!C48:I48)&gt;=-0.002,MAX('Cash Flow Statement'!G54:G54)&lt;=0.002,MIN('Cash Flow Statement'!G54:G54)&gt;=-0.002),"PASS","FAIL")</f>
        <v>PASS</v>
      </c>
      <c r="D30" s="3"/>
      <c r="E30" s="3"/>
      <c r="F30" s="3"/>
      <c r="G30" s="3"/>
      <c r="H30" s="3"/>
      <c r="I30" s="3"/>
      <c r="J30" s="3"/>
      <c r="K30" s="3"/>
      <c r="L30" s="3"/>
    </row>
    <row r="31">
      <c r="A31" s="3"/>
      <c r="B31" s="30" t="s">
        <v>46</v>
      </c>
      <c r="C31" s="53">
        <f>Inputs!$C$128</f>
        <v>0.28</v>
      </c>
      <c r="D31" s="3"/>
      <c r="E31" s="3"/>
      <c r="F31" s="3"/>
      <c r="G31" s="3"/>
      <c r="H31" s="3"/>
      <c r="I31" s="3"/>
      <c r="J31" s="3"/>
      <c r="K31" s="3"/>
      <c r="L31" s="3"/>
    </row>
    <row r="32">
      <c r="A32" s="3"/>
      <c r="B32" s="45" t="s">
        <v>47</v>
      </c>
      <c r="C32" s="32" t="s">
        <v>48</v>
      </c>
      <c r="D32" s="31"/>
      <c r="E32" s="31"/>
      <c r="F32" s="31"/>
      <c r="G32" s="31"/>
      <c r="H32" s="31"/>
      <c r="I32" s="31"/>
      <c r="J32" s="3"/>
      <c r="K32" s="3"/>
      <c r="L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>
      <c r="A34" s="3"/>
      <c r="B34" s="30" t="s">
        <v>49</v>
      </c>
      <c r="C34" s="3"/>
      <c r="D34" s="3"/>
      <c r="E34" s="3"/>
      <c r="F34" s="3"/>
      <c r="G34" s="3"/>
      <c r="H34" s="3"/>
      <c r="I34" s="3"/>
      <c r="J34" s="3"/>
      <c r="K34" s="3"/>
      <c r="L34" s="3"/>
    </row>
    <row r="35">
      <c r="A35" s="3"/>
      <c r="B35" s="3" t="s">
        <v>50</v>
      </c>
      <c r="C35" s="5">
        <f>Inputs!$C$38</f>
        <v>0.53</v>
      </c>
      <c r="D35" s="3"/>
      <c r="E35" s="3"/>
      <c r="F35" s="3"/>
      <c r="G35" s="3"/>
      <c r="H35" s="3"/>
      <c r="I35" s="3"/>
      <c r="J35" s="3"/>
      <c r="K35" s="3"/>
      <c r="L35" s="3"/>
    </row>
    <row r="36">
      <c r="A36" s="3"/>
      <c r="B36" s="3" t="s">
        <v>51</v>
      </c>
      <c r="C36" s="5">
        <f>Inputs!$C$39</f>
        <v>0.44</v>
      </c>
      <c r="D36" s="3"/>
      <c r="E36" s="3"/>
      <c r="F36" s="3"/>
      <c r="G36" s="3"/>
      <c r="H36" s="3"/>
      <c r="I36" s="3"/>
      <c r="J36" s="3"/>
      <c r="K36" s="3"/>
      <c r="L36" s="3"/>
    </row>
    <row r="37">
      <c r="A37" s="3"/>
      <c r="B37" s="3" t="s">
        <v>52</v>
      </c>
      <c r="C37" s="5">
        <f>Inputs!$C$37</f>
        <v>0.49</v>
      </c>
      <c r="D37" s="3"/>
      <c r="E37" s="3"/>
      <c r="F37" s="3"/>
      <c r="G37" s="3"/>
      <c r="H37" s="3"/>
      <c r="I37" s="3"/>
      <c r="J37" s="3"/>
      <c r="K37" s="3"/>
      <c r="L37" s="3"/>
    </row>
    <row r="38">
      <c r="A38" s="3"/>
      <c r="B38" s="3" t="s">
        <v>53</v>
      </c>
      <c r="C38" s="5">
        <f>Inputs!$C$40</f>
        <v>0.03</v>
      </c>
      <c r="D38" s="3"/>
      <c r="E38" s="3"/>
      <c r="F38" s="3"/>
      <c r="G38" s="3"/>
      <c r="H38" s="3"/>
      <c r="I38" s="3"/>
      <c r="J38" s="3"/>
      <c r="K38" s="3"/>
      <c r="L38" s="3"/>
    </row>
    <row r="39">
      <c r="A39" s="3"/>
      <c r="B39" s="3" t="s">
        <v>54</v>
      </c>
      <c r="C39" s="28">
        <f>Inputs!$C$54</f>
        <v>32.21</v>
      </c>
      <c r="D39" s="3"/>
      <c r="E39" s="3"/>
      <c r="F39" s="3"/>
      <c r="G39" s="3"/>
      <c r="H39" s="3"/>
      <c r="I39" s="3"/>
      <c r="J39" s="3"/>
      <c r="K39" s="3"/>
      <c r="L39" s="3"/>
    </row>
    <row r="40">
      <c r="A40" s="3"/>
      <c r="B40" s="3" t="s">
        <v>55</v>
      </c>
      <c r="C40" s="28">
        <f>Inputs!$C$55</f>
        <v>30.68</v>
      </c>
      <c r="D40" s="3"/>
      <c r="E40" s="3"/>
      <c r="F40" s="3"/>
      <c r="G40" s="3"/>
      <c r="H40" s="3"/>
      <c r="I40" s="3"/>
      <c r="J40" s="3"/>
      <c r="K40" s="3"/>
      <c r="L40" s="3"/>
    </row>
    <row r="41">
      <c r="A41" s="3"/>
      <c r="B41" s="6" t="s">
        <v>56</v>
      </c>
      <c r="C41" s="3"/>
      <c r="D41" s="3"/>
      <c r="E41" s="3"/>
      <c r="F41" s="3"/>
      <c r="G41" s="3"/>
      <c r="H41" s="3"/>
      <c r="I41" s="3"/>
      <c r="J41" s="3"/>
      <c r="K41" s="3"/>
      <c r="L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>
      <c r="A43" s="3"/>
      <c r="B43" s="30" t="s">
        <v>57</v>
      </c>
      <c r="C43" s="3"/>
      <c r="D43" s="3"/>
      <c r="E43" s="3"/>
      <c r="F43" s="3"/>
      <c r="G43" s="3"/>
      <c r="H43" s="3"/>
      <c r="I43" s="3"/>
      <c r="J43" s="3"/>
      <c r="K43" s="3"/>
      <c r="L43" s="3"/>
    </row>
    <row r="44">
      <c r="A44" s="3"/>
      <c r="B44" s="3" t="s">
        <v>58</v>
      </c>
      <c r="C44" s="3"/>
      <c r="D44" s="3"/>
      <c r="E44" s="3"/>
      <c r="F44" s="3"/>
      <c r="G44" s="3"/>
      <c r="H44" s="3"/>
      <c r="I44" s="3"/>
      <c r="J44" s="3"/>
      <c r="K44" s="3"/>
      <c r="L44" s="3"/>
    </row>
    <row r="45">
      <c r="A45" s="3"/>
      <c r="B45" s="3" t="s">
        <v>59</v>
      </c>
      <c r="C45" s="3"/>
      <c r="D45" s="3"/>
      <c r="E45" s="3"/>
      <c r="F45" s="3"/>
      <c r="G45" s="3"/>
      <c r="H45" s="3"/>
      <c r="I45" s="3"/>
      <c r="J45" s="3"/>
      <c r="K45" s="3"/>
      <c r="L45" s="3"/>
    </row>
    <row r="46">
      <c r="A46" s="3"/>
      <c r="B46" s="3" t="s">
        <v>60</v>
      </c>
      <c r="C46" s="3"/>
      <c r="D46" s="3"/>
      <c r="E46" s="3"/>
      <c r="F46" s="3"/>
      <c r="G46" s="3"/>
      <c r="H46" s="3"/>
      <c r="I46" s="3"/>
      <c r="J46" s="3"/>
      <c r="K46" s="3"/>
      <c r="L46" s="3"/>
    </row>
    <row r="47">
      <c r="A47" s="3"/>
      <c r="B47" s="3" t="s">
        <v>61</v>
      </c>
      <c r="C47" s="3"/>
      <c r="D47" s="3"/>
      <c r="E47" s="3"/>
      <c r="F47" s="3"/>
      <c r="G47" s="3"/>
      <c r="H47" s="3"/>
      <c r="I47" s="3"/>
      <c r="J47" s="3"/>
      <c r="K47" s="3"/>
      <c r="L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5"/>
  <sheetViews>
    <sheetView showGridLines="0" workbookViewId="0"/>
  </sheetViews>
  <sheetFormatPr defaultColWidth="8.42578125" defaultRowHeight="15"/>
  <cols>
    <col min="1" max="1" width="2" customWidth="1"/>
    <col min="2" max="2" width="45" customWidth="1"/>
    <col min="3" max="9" width="12" customWidth="1"/>
  </cols>
  <sheetData>
    <row r="1">
      <c r="A1" s="3"/>
      <c r="B1" s="17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23" t="s">
        <v>62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22" t="s">
        <v>63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72" t="s">
        <v>4</v>
      </c>
      <c r="J4" s="3"/>
      <c r="K4" s="3"/>
      <c r="L4" s="3"/>
    </row>
    <row r="5">
      <c r="A5" s="3"/>
      <c r="B5" s="14" t="s">
        <v>5</v>
      </c>
      <c r="C5" s="9">
        <v>45808</v>
      </c>
      <c r="D5" s="9">
        <v>45900</v>
      </c>
      <c r="E5" s="9">
        <v>45991</v>
      </c>
      <c r="F5" s="9">
        <v>46081</v>
      </c>
      <c r="G5" s="9">
        <v>46081</v>
      </c>
      <c r="H5" s="9">
        <v>46173</v>
      </c>
      <c r="I5" s="58">
        <v>46265</v>
      </c>
      <c r="J5" s="3"/>
      <c r="K5" s="3"/>
      <c r="L5" s="3"/>
    </row>
    <row r="6">
      <c r="A6" s="3"/>
      <c r="B6" s="21" t="s">
        <v>6</v>
      </c>
      <c r="C6" s="1">
        <f>C5-EOMONTH(C5,-3)</f>
        <v>92</v>
      </c>
      <c r="D6" s="1">
        <f>D5-EOMONTH(D5,-3)</f>
        <v>92</v>
      </c>
      <c r="E6" s="1">
        <f>E5-EOMONTH(E5,-3)</f>
        <v>91</v>
      </c>
      <c r="F6" s="1">
        <f>F5-EOMONTH(F5,-3)</f>
        <v>90</v>
      </c>
      <c r="G6" s="1">
        <f>G5-EOMONTH(G5,-12)</f>
        <v>365</v>
      </c>
      <c r="H6" s="1">
        <f>H5-EOMONTH(H5,-3)</f>
        <v>92</v>
      </c>
      <c r="I6" s="37">
        <f>I5-EOMONTH(I5,-3)</f>
        <v>92</v>
      </c>
      <c r="J6" s="3"/>
      <c r="K6" s="3"/>
      <c r="L6" s="3"/>
    </row>
    <row r="7">
      <c r="A7" s="3"/>
      <c r="B7" s="3"/>
      <c r="C7" s="3"/>
      <c r="D7" s="3"/>
      <c r="E7" s="3"/>
      <c r="F7" s="3"/>
      <c r="G7" s="3"/>
      <c r="H7" s="3"/>
      <c r="I7" s="67"/>
      <c r="J7" s="3"/>
      <c r="K7" s="3"/>
      <c r="L7" s="3"/>
    </row>
    <row r="8">
      <c r="A8" s="3"/>
      <c r="B8" s="30" t="s">
        <v>70</v>
      </c>
      <c r="C8" s="39"/>
      <c r="D8" s="39"/>
      <c r="E8" s="39"/>
      <c r="F8" s="39"/>
      <c r="G8" s="39"/>
      <c r="H8" s="39"/>
      <c r="I8" s="66"/>
      <c r="J8" s="3"/>
      <c r="K8" s="3"/>
      <c r="L8" s="3"/>
    </row>
    <row r="9">
      <c r="A9" s="3"/>
      <c r="B9" s="3" t="s">
        <v>71</v>
      </c>
      <c r="C9" s="28">
        <f>'Balance Sheet'!C88</f>
        <v>978.07775</v>
      </c>
      <c r="D9" s="44">
        <f>C34</f>
        <v>968.317962</v>
      </c>
      <c r="E9" s="44">
        <f>D34</f>
        <v>995.2950099999999</v>
      </c>
      <c r="F9" s="44">
        <f>E34</f>
        <v>1015.9503439999999</v>
      </c>
      <c r="G9" s="44">
        <f>C9</f>
        <v>978.07775</v>
      </c>
      <c r="H9" s="44">
        <f>F34</f>
        <v>1109.1338119999998</v>
      </c>
      <c r="I9" s="40">
        <f>H34</f>
        <v>1126.333942</v>
      </c>
      <c r="J9" s="3"/>
      <c r="K9" s="3"/>
      <c r="L9" s="3"/>
    </row>
    <row r="10">
      <c r="A10" s="3"/>
      <c r="B10" s="3" t="s">
        <v>72</v>
      </c>
      <c r="C10" s="28">
        <f>-'Cash Flow Statement'!C19</f>
        <v>50.085463</v>
      </c>
      <c r="D10" s="28">
        <f>-'Cash Flow Statement'!D19</f>
        <v>52.222500000000004</v>
      </c>
      <c r="E10" s="28">
        <f>-'Cash Flow Statement'!E19</f>
        <v>72.05434</v>
      </c>
      <c r="F10" s="28">
        <f>-'Cash Flow Statement'!F19</f>
        <v>135.139387</v>
      </c>
      <c r="G10" s="44">
        <f>SUM(C10:F10)</f>
        <v>309.50169</v>
      </c>
      <c r="H10" s="28">
        <f>-'Cash Flow Statement'!H19</f>
        <v>79.15055</v>
      </c>
      <c r="I10" s="63">
        <v>70</v>
      </c>
      <c r="J10" s="3"/>
      <c r="K10" s="3"/>
      <c r="L10" s="3"/>
    </row>
    <row r="11">
      <c r="A11" s="3"/>
      <c r="B11" s="49" t="s">
        <v>73</v>
      </c>
      <c r="C11" s="29" t="s">
        <v>39</v>
      </c>
      <c r="D11" s="29" t="s">
        <v>39</v>
      </c>
      <c r="E11" s="29" t="s">
        <v>39</v>
      </c>
      <c r="F11" s="29" t="s">
        <v>39</v>
      </c>
      <c r="G11" s="29" t="s">
        <v>39</v>
      </c>
      <c r="H11" s="29">
        <f>IFERROR(H10/C10-1,"n/a")</f>
        <v>0.5803098396035593</v>
      </c>
      <c r="I11" s="42">
        <f>IFERROR(I10/D10-1,"n/a")</f>
        <v>0.34041840202977625</v>
      </c>
      <c r="J11" s="3"/>
      <c r="K11" s="3"/>
      <c r="L11" s="3"/>
    </row>
    <row r="12">
      <c r="A12" s="3"/>
      <c r="B12" s="50" t="s">
        <v>74</v>
      </c>
      <c r="C12" s="44" t="s">
        <v>39</v>
      </c>
      <c r="D12" s="44">
        <f>IFERROR(D10-C10,"n/a")</f>
        <v>2.1370370000000065</v>
      </c>
      <c r="E12" s="44">
        <f>IFERROR(E10-D10,"n/a")</f>
        <v>19.831839999999993</v>
      </c>
      <c r="F12" s="44">
        <f>IFERROR(F10-E10,"n/a")</f>
        <v>63.085047</v>
      </c>
      <c r="G12" s="44"/>
      <c r="H12" s="44">
        <f>IFERROR(H10-F10,"n/a")</f>
        <v>-55.988837000000004</v>
      </c>
      <c r="I12" s="40">
        <f>IFERROR(I10-H10,"n/a")</f>
        <v>-9.150549999999996</v>
      </c>
      <c r="J12" s="3"/>
      <c r="K12" s="3"/>
      <c r="L12" s="3"/>
    </row>
    <row r="13">
      <c r="A13" s="3"/>
      <c r="B13" s="3" t="s">
        <v>75</v>
      </c>
      <c r="C13" s="28">
        <f>'Cash Flow Statement'!C18</f>
        <v>65.066218</v>
      </c>
      <c r="D13" s="28">
        <f>'Cash Flow Statement'!D18</f>
        <v>29.876296999999994</v>
      </c>
      <c r="E13" s="28">
        <f>'Cash Flow Statement'!E18</f>
        <v>55.95173799999999</v>
      </c>
      <c r="F13" s="28">
        <f>'Cash Flow Statement'!F18</f>
        <v>33.74208200000001</v>
      </c>
      <c r="G13" s="44">
        <f>SUM(C13:F13)</f>
        <v>184.636335</v>
      </c>
      <c r="H13" s="28">
        <f>'Cash Flow Statement'!H18</f>
        <v>48.415037</v>
      </c>
      <c r="I13" s="63">
        <v>45</v>
      </c>
      <c r="J13" s="3"/>
      <c r="K13" s="3"/>
      <c r="L13" s="3"/>
    </row>
    <row r="14">
      <c r="A14" s="3"/>
      <c r="B14" s="49" t="s">
        <v>73</v>
      </c>
      <c r="C14" s="29" t="s">
        <v>39</v>
      </c>
      <c r="D14" s="29" t="s">
        <v>39</v>
      </c>
      <c r="E14" s="29" t="s">
        <v>39</v>
      </c>
      <c r="F14" s="29" t="s">
        <v>39</v>
      </c>
      <c r="G14" s="29" t="s">
        <v>39</v>
      </c>
      <c r="H14" s="29">
        <f>IFERROR(H13/C13-1,"n/a")</f>
        <v>-0.25591130869170864</v>
      </c>
      <c r="I14" s="42">
        <f>IFERROR(I13/D13-1,"n/a")</f>
        <v>0.5062107596533805</v>
      </c>
      <c r="J14" s="3"/>
      <c r="K14" s="3"/>
      <c r="L14" s="3"/>
    </row>
    <row r="15">
      <c r="A15" s="3"/>
      <c r="B15" s="50" t="s">
        <v>74</v>
      </c>
      <c r="C15" s="44" t="s">
        <v>39</v>
      </c>
      <c r="D15" s="44">
        <f>IFERROR(D13-C13,"n/a")</f>
        <v>-35.18992100000001</v>
      </c>
      <c r="E15" s="44">
        <f>IFERROR(E13-D13,"n/a")</f>
        <v>26.075440999999998</v>
      </c>
      <c r="F15" s="44">
        <f>IFERROR(F13-E13,"n/a")</f>
        <v>-22.20965599999998</v>
      </c>
      <c r="G15" s="44"/>
      <c r="H15" s="44">
        <f>IFERROR(H13-F13,"n/a")</f>
        <v>14.672954999999988</v>
      </c>
      <c r="I15" s="40">
        <f>IFERROR(I13-H13,"n/a")</f>
        <v>-3.415036999999998</v>
      </c>
      <c r="J15" s="3"/>
      <c r="K15" s="3"/>
      <c r="L15" s="3"/>
    </row>
    <row r="16">
      <c r="A16" s="3"/>
      <c r="B16" s="30" t="s">
        <v>76</v>
      </c>
      <c r="C16" s="68">
        <f>C10-C13</f>
        <v>-14.98075500000001</v>
      </c>
      <c r="D16" s="68">
        <f>D10-D13</f>
        <v>22.34620300000001</v>
      </c>
      <c r="E16" s="68">
        <f>E10-E13</f>
        <v>16.102602000000005</v>
      </c>
      <c r="F16" s="68">
        <f>F10-F13</f>
        <v>101.39730499999999</v>
      </c>
      <c r="G16" s="68">
        <f>G10-G13</f>
        <v>124.865355</v>
      </c>
      <c r="H16" s="68">
        <f>H10-H13</f>
        <v>30.735512999999997</v>
      </c>
      <c r="I16" s="78">
        <f>I10-I13</f>
        <v>25</v>
      </c>
      <c r="J16" s="3"/>
      <c r="K16" s="3"/>
      <c r="L16" s="3"/>
    </row>
    <row r="17">
      <c r="A17" s="3"/>
      <c r="B17" s="50" t="s">
        <v>74</v>
      </c>
      <c r="C17" s="44" t="s">
        <v>39</v>
      </c>
      <c r="D17" s="44">
        <f>IFERROR(D16-C16,"n/a")</f>
        <v>37.32695800000002</v>
      </c>
      <c r="E17" s="44">
        <f>IFERROR(E16-D16,"n/a")</f>
        <v>-6.243601000000005</v>
      </c>
      <c r="F17" s="44">
        <f>IFERROR(F16-E16,"n/a")</f>
        <v>85.29470299999998</v>
      </c>
      <c r="G17" s="44"/>
      <c r="H17" s="44">
        <f>IFERROR(H16-F16,"n/a")</f>
        <v>-70.66179199999999</v>
      </c>
      <c r="I17" s="40">
        <f>IFERROR(I16-H16,"n/a")</f>
        <v>-5.735512999999997</v>
      </c>
      <c r="J17" s="3"/>
      <c r="K17" s="3"/>
      <c r="L17" s="3"/>
    </row>
    <row r="18">
      <c r="A18" s="3"/>
      <c r="B18" s="50" t="s">
        <v>77</v>
      </c>
      <c r="C18" s="44" t="s">
        <v>39</v>
      </c>
      <c r="D18" s="44" t="s">
        <v>39</v>
      </c>
      <c r="E18" s="44" t="s">
        <v>39</v>
      </c>
      <c r="F18" s="44" t="s">
        <v>39</v>
      </c>
      <c r="G18" s="44" t="s">
        <v>39</v>
      </c>
      <c r="H18" s="44">
        <f>IFERROR(H16-C16,"n/a")</f>
        <v>45.71626800000001</v>
      </c>
      <c r="I18" s="40">
        <f>IFERROR(I16-D16,"n/a")</f>
        <v>2.65379699999999</v>
      </c>
      <c r="J18" s="3"/>
      <c r="K18" s="3"/>
      <c r="L18" s="3"/>
    </row>
    <row r="19">
      <c r="A19" s="3"/>
      <c r="B19" s="3" t="s">
        <v>78</v>
      </c>
      <c r="C19" s="28">
        <f>-'Cash Flow Statement'!C10</f>
        <v>0.517108</v>
      </c>
      <c r="D19" s="28">
        <f>-'Cash Flow Statement'!D10</f>
        <v>0.544739</v>
      </c>
      <c r="E19" s="28">
        <f>-'Cash Flow Statement'!E10</f>
        <v>0.80189</v>
      </c>
      <c r="F19" s="28">
        <f>-'Cash Flow Statement'!F10</f>
        <v>0.7210380000000001</v>
      </c>
      <c r="G19" s="44">
        <f>SUM(C19:F19)</f>
        <v>2.584775</v>
      </c>
      <c r="H19" s="28">
        <f>-'Cash Flow Statement'!H10</f>
        <v>0.677848</v>
      </c>
      <c r="I19" s="63">
        <v>0.68</v>
      </c>
      <c r="J19" s="3"/>
      <c r="K19" s="3"/>
      <c r="L19" s="3"/>
    </row>
    <row r="20">
      <c r="A20" s="3"/>
      <c r="B20" s="49" t="s">
        <v>73</v>
      </c>
      <c r="C20" s="29" t="s">
        <v>39</v>
      </c>
      <c r="D20" s="29" t="s">
        <v>39</v>
      </c>
      <c r="E20" s="29" t="s">
        <v>39</v>
      </c>
      <c r="F20" s="29" t="s">
        <v>39</v>
      </c>
      <c r="G20" s="29" t="s">
        <v>39</v>
      </c>
      <c r="H20" s="29">
        <f>IFERROR(H19/C19-1,"n/a")</f>
        <v>0.3108441563464499</v>
      </c>
      <c r="I20" s="42">
        <f>IFERROR(I19/D19-1,"n/a")</f>
        <v>0.24830423377066824</v>
      </c>
      <c r="J20" s="3"/>
      <c r="K20" s="3"/>
      <c r="L20" s="3"/>
    </row>
    <row r="21">
      <c r="A21" s="3"/>
      <c r="B21" s="50" t="s">
        <v>74</v>
      </c>
      <c r="C21" s="44" t="s">
        <v>39</v>
      </c>
      <c r="D21" s="44">
        <f>IFERROR(D19-C19,"n/a")</f>
        <v>0.02763099999999996</v>
      </c>
      <c r="E21" s="44">
        <f>IFERROR(E19-D19,"n/a")</f>
        <v>0.257151</v>
      </c>
      <c r="F21" s="44">
        <f>IFERROR(F19-E19,"n/a")</f>
        <v>-0.08085199999999992</v>
      </c>
      <c r="G21" s="44"/>
      <c r="H21" s="44">
        <f>IFERROR(H19-F19,"n/a")</f>
        <v>-0.04319000000000006</v>
      </c>
      <c r="I21" s="40">
        <f>IFERROR(I19-H19,"n/a")</f>
        <v>0.0021520000000000428</v>
      </c>
      <c r="J21" s="3"/>
      <c r="K21" s="3"/>
      <c r="L21" s="3"/>
    </row>
    <row r="22">
      <c r="A22" s="3"/>
      <c r="B22" s="3" t="s">
        <v>79</v>
      </c>
      <c r="C22" s="28">
        <f>-'Cash Flow Statement'!C11</f>
        <v>0.858544</v>
      </c>
      <c r="D22" s="28">
        <f>-'Cash Flow Statement'!D11</f>
        <v>0.3057019999999999</v>
      </c>
      <c r="E22" s="28">
        <f>-'Cash Flow Statement'!E11</f>
        <v>1.2639530000000003</v>
      </c>
      <c r="F22" s="28">
        <f>-'Cash Flow Statement'!F11</f>
        <v>0.6697219999999997</v>
      </c>
      <c r="G22" s="44">
        <f>SUM(C22:F22)</f>
        <v>3.097921</v>
      </c>
      <c r="H22" s="28">
        <f>-'Cash Flow Statement'!H11</f>
        <v>0.813693</v>
      </c>
      <c r="I22" s="63">
        <v>0.81</v>
      </c>
      <c r="J22" s="3"/>
      <c r="K22" s="3"/>
      <c r="L22" s="3"/>
    </row>
    <row r="23">
      <c r="A23" s="3"/>
      <c r="B23" s="49" t="s">
        <v>73</v>
      </c>
      <c r="C23" s="29" t="s">
        <v>39</v>
      </c>
      <c r="D23" s="29" t="s">
        <v>39</v>
      </c>
      <c r="E23" s="29" t="s">
        <v>39</v>
      </c>
      <c r="F23" s="29" t="s">
        <v>39</v>
      </c>
      <c r="G23" s="29" t="s">
        <v>39</v>
      </c>
      <c r="H23" s="29">
        <f>IFERROR(H22/C22-1,"n/a")</f>
        <v>-0.05224077042061903</v>
      </c>
      <c r="I23" s="42">
        <f>IFERROR(I22/D22-1,"n/a")</f>
        <v>1.6496391911076809</v>
      </c>
      <c r="J23" s="3"/>
      <c r="K23" s="3"/>
      <c r="L23" s="3"/>
    </row>
    <row r="24">
      <c r="A24" s="3"/>
      <c r="B24" s="50" t="s">
        <v>74</v>
      </c>
      <c r="C24" s="44" t="s">
        <v>39</v>
      </c>
      <c r="D24" s="44">
        <f>IFERROR(D22-C22,"n/a")</f>
        <v>-0.5528420000000001</v>
      </c>
      <c r="E24" s="44">
        <f>IFERROR(E22-D22,"n/a")</f>
        <v>0.9582510000000004</v>
      </c>
      <c r="F24" s="44">
        <f>IFERROR(F22-E22,"n/a")</f>
        <v>-0.5942310000000006</v>
      </c>
      <c r="G24" s="44"/>
      <c r="H24" s="44">
        <f>IFERROR(H22-F22,"n/a")</f>
        <v>0.1439710000000003</v>
      </c>
      <c r="I24" s="40">
        <f>IFERROR(I22-H22,"n/a")</f>
        <v>-0.0036929999999999463</v>
      </c>
      <c r="J24" s="3"/>
      <c r="K24" s="3"/>
      <c r="L24" s="3"/>
    </row>
    <row r="25">
      <c r="A25" s="3"/>
      <c r="B25" s="3" t="s">
        <v>80</v>
      </c>
      <c r="C25" s="28">
        <f>'Income Statement'!C44</f>
        <v>2.901339</v>
      </c>
      <c r="D25" s="28">
        <f>'Income Statement'!D44</f>
        <v>0.052691</v>
      </c>
      <c r="E25" s="28">
        <f>'Income Statement'!E44</f>
        <v>3.070547</v>
      </c>
      <c r="F25" s="28">
        <f>'Income Statement'!F44</f>
        <v>-0.278087</v>
      </c>
      <c r="G25" s="28">
        <f>'Income Statement'!G44</f>
        <v>5.74649</v>
      </c>
      <c r="H25" s="28">
        <f>'Income Statement'!H44</f>
        <v>0.15020699999999998</v>
      </c>
      <c r="I25" s="27">
        <f>'Income Statement'!I44</f>
        <v>0</v>
      </c>
      <c r="J25" s="3"/>
      <c r="K25" s="3"/>
      <c r="L25" s="3"/>
    </row>
    <row r="26">
      <c r="A26" s="3"/>
      <c r="B26" s="49" t="s">
        <v>73</v>
      </c>
      <c r="C26" s="29" t="s">
        <v>39</v>
      </c>
      <c r="D26" s="29" t="s">
        <v>39</v>
      </c>
      <c r="E26" s="29" t="s">
        <v>39</v>
      </c>
      <c r="F26" s="29" t="s">
        <v>39</v>
      </c>
      <c r="G26" s="29" t="s">
        <v>39</v>
      </c>
      <c r="H26" s="29">
        <f>IFERROR(IF(OR(C25&lt;=0,H25&lt;0),"n/a",H25/C25-1),"n/a")</f>
        <v>-0.9482283869620199</v>
      </c>
      <c r="I26" s="42">
        <f>IFERROR(IF(OR(D25&lt;=0,I25&lt;0),"n/a",I25/D25-1),"n/a")</f>
        <v>-1</v>
      </c>
      <c r="J26" s="3"/>
      <c r="K26" s="3"/>
      <c r="L26" s="3"/>
    </row>
    <row r="27">
      <c r="A27" s="3"/>
      <c r="B27" s="50" t="s">
        <v>74</v>
      </c>
      <c r="C27" s="44" t="s">
        <v>39</v>
      </c>
      <c r="D27" s="44">
        <f>IFERROR(D25-C25,"n/a")</f>
        <v>-2.8486480000000003</v>
      </c>
      <c r="E27" s="44">
        <f>IFERROR(E25-D25,"n/a")</f>
        <v>3.017856</v>
      </c>
      <c r="F27" s="44">
        <f>IFERROR(F25-E25,"n/a")</f>
        <v>-3.3486339999999997</v>
      </c>
      <c r="G27" s="44"/>
      <c r="H27" s="44">
        <f>IFERROR(H25-F25,"n/a")</f>
        <v>0.42829399999999995</v>
      </c>
      <c r="I27" s="40">
        <f>IFERROR(I25-H25,"n/a")</f>
        <v>-0.15020699999999998</v>
      </c>
      <c r="J27" s="3"/>
      <c r="K27" s="3"/>
      <c r="L27" s="3"/>
    </row>
    <row r="28">
      <c r="A28" s="3"/>
      <c r="B28" s="3" t="s">
        <v>81</v>
      </c>
      <c r="C28" s="28">
        <f>'Income Statement'!C48</f>
        <v>0.9439770000000001</v>
      </c>
      <c r="D28" s="28">
        <f>'Income Statement'!D48</f>
        <v>3.727713</v>
      </c>
      <c r="E28" s="28">
        <f>'Income Statement'!E48</f>
        <v>-0.583658</v>
      </c>
      <c r="F28" s="28">
        <f>'Income Statement'!F48</f>
        <v>-9.326512000000001</v>
      </c>
      <c r="G28" s="28">
        <f>'Income Statement'!G48</f>
        <v>-5.238479999999999</v>
      </c>
      <c r="H28" s="28">
        <f>'Income Statement'!H48</f>
        <v>-15.177131</v>
      </c>
      <c r="I28" s="27">
        <f>'Income Statement'!I48</f>
        <v>-5</v>
      </c>
      <c r="J28" s="3"/>
      <c r="K28" s="3"/>
      <c r="L28" s="3"/>
    </row>
    <row r="29">
      <c r="A29" s="3"/>
      <c r="B29" s="49" t="s">
        <v>73</v>
      </c>
      <c r="C29" s="29" t="s">
        <v>39</v>
      </c>
      <c r="D29" s="29" t="s">
        <v>39</v>
      </c>
      <c r="E29" s="29" t="s">
        <v>39</v>
      </c>
      <c r="F29" s="29" t="s">
        <v>39</v>
      </c>
      <c r="G29" s="29" t="s">
        <v>39</v>
      </c>
      <c r="H29" s="29" t="str">
        <f>IFERROR(IF(OR(C28&lt;=0,H28&lt;0),"n/a",H28/C28-1),"n/a")</f>
        <v>n/a</v>
      </c>
      <c r="I29" s="42" t="str">
        <f>IFERROR(IF(OR(D28&lt;=0,I28&lt;0),"n/a",I28/D28-1),"n/a")</f>
        <v>n/a</v>
      </c>
      <c r="J29" s="3"/>
      <c r="K29" s="3"/>
      <c r="L29" s="3"/>
    </row>
    <row r="30">
      <c r="A30" s="3"/>
      <c r="B30" s="50" t="s">
        <v>74</v>
      </c>
      <c r="C30" s="44" t="s">
        <v>39</v>
      </c>
      <c r="D30" s="44">
        <f>IFERROR(D28-C28,"n/a")</f>
        <v>2.783736</v>
      </c>
      <c r="E30" s="44">
        <f>IFERROR(E28-D28,"n/a")</f>
        <v>-4.311371</v>
      </c>
      <c r="F30" s="44">
        <f>IFERROR(F28-E28,"n/a")</f>
        <v>-8.742854000000001</v>
      </c>
      <c r="G30" s="44"/>
      <c r="H30" s="44">
        <f>IFERROR(H28-F28,"n/a")</f>
        <v>-5.850618999999998</v>
      </c>
      <c r="I30" s="40">
        <f>IFERROR(I28-H28,"n/a")</f>
        <v>10.177131</v>
      </c>
      <c r="J30" s="3"/>
      <c r="K30" s="3"/>
      <c r="L30" s="3"/>
    </row>
    <row r="31">
      <c r="A31" s="3"/>
      <c r="B31" s="30" t="s">
        <v>82</v>
      </c>
      <c r="C31" s="68">
        <f>C9+C16+C19+C22+C25+C28</f>
        <v>968.3179630000001</v>
      </c>
      <c r="D31" s="68">
        <f>D9+D16+D19+D22+D25+D28</f>
        <v>995.29501</v>
      </c>
      <c r="E31" s="68">
        <f>E9+E16+E19+E22+E25+E28</f>
        <v>1015.950344</v>
      </c>
      <c r="F31" s="68">
        <f>F9+F16+F19+F22+F25+F28</f>
        <v>1109.1338099999998</v>
      </c>
      <c r="G31" s="68">
        <f>G9+G16+G19+G22+G25+G28</f>
        <v>1109.1338110000002</v>
      </c>
      <c r="H31" s="68">
        <f>H9+H16+H19+H22+H25+H28</f>
        <v>1126.333942</v>
      </c>
      <c r="I31" s="78">
        <f>I9+I16+I19+I22+I25+I28</f>
        <v>1147.823942</v>
      </c>
      <c r="J31" s="3"/>
      <c r="K31" s="3"/>
      <c r="L31" s="3"/>
    </row>
    <row r="32">
      <c r="A32" s="3"/>
      <c r="B32" s="49" t="s">
        <v>73</v>
      </c>
      <c r="C32" s="29" t="s">
        <v>39</v>
      </c>
      <c r="D32" s="29" t="s">
        <v>39</v>
      </c>
      <c r="E32" s="29" t="s">
        <v>39</v>
      </c>
      <c r="F32" s="29" t="s">
        <v>39</v>
      </c>
      <c r="G32" s="29" t="s">
        <v>39</v>
      </c>
      <c r="H32" s="29">
        <f>IFERROR(H31/C31-1,"n/a")</f>
        <v>0.16318604532589864</v>
      </c>
      <c r="I32" s="42">
        <f>IFERROR(I31/D31-1,"n/a")</f>
        <v>0.15324997158380205</v>
      </c>
      <c r="J32" s="3"/>
      <c r="K32" s="3"/>
      <c r="L32" s="3"/>
    </row>
    <row r="33">
      <c r="A33" s="3"/>
      <c r="B33" s="50" t="s">
        <v>74</v>
      </c>
      <c r="C33" s="44" t="s">
        <v>39</v>
      </c>
      <c r="D33" s="44">
        <f>IFERROR(D31-C31,"n/a")</f>
        <v>26.97704699999997</v>
      </c>
      <c r="E33" s="44">
        <f>IFERROR(E31-D31,"n/a")</f>
        <v>20.655333999999925</v>
      </c>
      <c r="F33" s="44">
        <f>IFERROR(F31-E31,"n/a")</f>
        <v>93.18346599999984</v>
      </c>
      <c r="G33" s="44"/>
      <c r="H33" s="44">
        <f>IFERROR(H31-F31,"n/a")</f>
        <v>17.200132000000167</v>
      </c>
      <c r="I33" s="40">
        <f>IFERROR(I31-H31,"n/a")</f>
        <v>21.49000000000001</v>
      </c>
      <c r="J33" s="3"/>
      <c r="K33" s="3"/>
      <c r="L33" s="3"/>
    </row>
    <row r="34">
      <c r="A34" s="3"/>
      <c r="B34" s="3" t="s">
        <v>83</v>
      </c>
      <c r="C34" s="28">
        <f>'Balance Sheet'!C12</f>
        <v>968.317962</v>
      </c>
      <c r="D34" s="28">
        <f>'Balance Sheet'!D12</f>
        <v>995.2950099999999</v>
      </c>
      <c r="E34" s="28">
        <f>'Balance Sheet'!E12</f>
        <v>1015.9503439999999</v>
      </c>
      <c r="F34" s="28">
        <f>'Balance Sheet'!F12</f>
        <v>1109.1338119999998</v>
      </c>
      <c r="G34" s="28">
        <f>'Balance Sheet'!G12</f>
        <v>1109.1338119999998</v>
      </c>
      <c r="H34" s="28">
        <f>'Balance Sheet'!H12</f>
        <v>1126.333942</v>
      </c>
      <c r="I34" s="27">
        <f>'Balance Sheet'!I12</f>
        <v>1147.823942</v>
      </c>
      <c r="J34" s="3"/>
      <c r="K34" s="3"/>
      <c r="L34" s="3"/>
    </row>
    <row r="35">
      <c r="A35" s="3"/>
      <c r="B35" s="6" t="s">
        <v>84</v>
      </c>
      <c r="C35" s="65">
        <f>ROUND(C31-C34,2)</f>
        <v>0</v>
      </c>
      <c r="D35" s="65">
        <f>ROUND(D31-D34,2)</f>
        <v>0</v>
      </c>
      <c r="E35" s="65">
        <f>ROUND(E31-E34,2)</f>
        <v>0</v>
      </c>
      <c r="F35" s="65">
        <f>ROUND(F31-F34,2)</f>
        <v>0</v>
      </c>
      <c r="G35" s="65">
        <f>ROUND(G31-G34,2)</f>
        <v>0</v>
      </c>
      <c r="H35" s="65">
        <f>ROUND(H31-H34,2)</f>
        <v>0</v>
      </c>
      <c r="I35" s="75" t="s">
        <v>39</v>
      </c>
      <c r="J35" s="3"/>
      <c r="K35" s="3"/>
      <c r="L35" s="3"/>
    </row>
    <row r="36">
      <c r="A36" s="3"/>
      <c r="B36" s="30" t="s">
        <v>85</v>
      </c>
      <c r="C36" s="52">
        <f>(C9+C31)/2</f>
        <v>973.1978565000001</v>
      </c>
      <c r="D36" s="52">
        <f>(D9+D31)/2</f>
        <v>981.806486</v>
      </c>
      <c r="E36" s="52">
        <f>(E9+E31)/2</f>
        <v>1005.622677</v>
      </c>
      <c r="F36" s="52">
        <f>(F9+F31)/2</f>
        <v>1062.5420769999998</v>
      </c>
      <c r="G36" s="52">
        <f>SUMPRODUCT(C36:F36,C47:F47)/G47</f>
        <v>1005.4817809506849</v>
      </c>
      <c r="H36" s="52">
        <f>(H9+H31)/2</f>
        <v>1117.733877</v>
      </c>
      <c r="I36" s="73">
        <f>(I9+I31)/2</f>
        <v>1137.078942</v>
      </c>
      <c r="J36" s="3"/>
      <c r="K36" s="3"/>
      <c r="L36" s="3"/>
    </row>
    <row r="37">
      <c r="A37" s="3"/>
      <c r="B37" s="49" t="s">
        <v>73</v>
      </c>
      <c r="C37" s="29" t="s">
        <v>39</v>
      </c>
      <c r="D37" s="29" t="s">
        <v>39</v>
      </c>
      <c r="E37" s="29" t="s">
        <v>39</v>
      </c>
      <c r="F37" s="29" t="s">
        <v>39</v>
      </c>
      <c r="G37" s="29" t="s">
        <v>39</v>
      </c>
      <c r="H37" s="29">
        <f>IFERROR(H36/C36-1,"n/a")</f>
        <v>0.14851658327712292</v>
      </c>
      <c r="I37" s="42">
        <f>IFERROR(I36/D36-1,"n/a")</f>
        <v>0.1581497557961744</v>
      </c>
      <c r="J37" s="3"/>
      <c r="K37" s="3"/>
      <c r="L37" s="3"/>
    </row>
    <row r="38">
      <c r="A38" s="3"/>
      <c r="B38" s="50" t="s">
        <v>74</v>
      </c>
      <c r="C38" s="44" t="s">
        <v>39</v>
      </c>
      <c r="D38" s="44">
        <f>IFERROR(D36-C36,"n/a")</f>
        <v>8.608629499999893</v>
      </c>
      <c r="E38" s="44">
        <f>IFERROR(E36-D36,"n/a")</f>
        <v>23.816191000000003</v>
      </c>
      <c r="F38" s="44">
        <f>IFERROR(F36-E36,"n/a")</f>
        <v>56.91939999999988</v>
      </c>
      <c r="G38" s="44"/>
      <c r="H38" s="44">
        <f>IFERROR(H36-F36,"n/a")</f>
        <v>55.19180000000006</v>
      </c>
      <c r="I38" s="40">
        <f>IFERROR(I36-H36,"n/a")</f>
        <v>19.345065000000204</v>
      </c>
      <c r="J38" s="3"/>
      <c r="K38" s="3"/>
      <c r="L38" s="3"/>
    </row>
    <row r="39">
      <c r="A39" s="3"/>
      <c r="B39" s="3"/>
      <c r="C39" s="11"/>
      <c r="D39" s="11"/>
      <c r="E39" s="11"/>
      <c r="F39" s="11"/>
      <c r="G39" s="11"/>
      <c r="H39" s="11"/>
      <c r="I39" s="74"/>
      <c r="J39" s="3"/>
      <c r="K39" s="3"/>
      <c r="L39" s="3"/>
    </row>
    <row r="40">
      <c r="A40" s="3"/>
      <c r="B40" s="30" t="s">
        <v>86</v>
      </c>
      <c r="C40" s="39"/>
      <c r="D40" s="39"/>
      <c r="E40" s="39"/>
      <c r="F40" s="39"/>
      <c r="G40" s="39"/>
      <c r="H40" s="39"/>
      <c r="I40" s="66"/>
      <c r="J40" s="3"/>
      <c r="K40" s="3"/>
      <c r="L40" s="3"/>
    </row>
    <row r="41">
      <c r="A41" s="3"/>
      <c r="B41" s="3" t="s">
        <v>87</v>
      </c>
      <c r="C41" s="44">
        <f>C155</f>
        <v>28.003926</v>
      </c>
      <c r="D41" s="44">
        <f>D155</f>
        <v>26.377435000000002</v>
      </c>
      <c r="E41" s="44">
        <f>E155</f>
        <v>26.721978999999997</v>
      </c>
      <c r="F41" s="44">
        <f>F155</f>
        <v>25.794672</v>
      </c>
      <c r="G41" s="44">
        <f>G155</f>
        <v>106.898012</v>
      </c>
      <c r="H41" s="44">
        <f>H155</f>
        <v>28.115075</v>
      </c>
      <c r="I41" s="27">
        <f>I36*I44*I47/Inputs!$C$131</f>
        <v>28.660619907945208</v>
      </c>
      <c r="J41" s="3"/>
      <c r="K41" s="3"/>
      <c r="L41" s="3"/>
    </row>
    <row r="42">
      <c r="A42" s="3"/>
      <c r="B42" s="49" t="s">
        <v>73</v>
      </c>
      <c r="C42" s="29" t="s">
        <v>39</v>
      </c>
      <c r="D42" s="29" t="s">
        <v>39</v>
      </c>
      <c r="E42" s="29" t="s">
        <v>39</v>
      </c>
      <c r="F42" s="29" t="s">
        <v>39</v>
      </c>
      <c r="G42" s="29" t="s">
        <v>39</v>
      </c>
      <c r="H42" s="29">
        <f>IFERROR(H41/C41-1,"n/a")</f>
        <v>0.003969050625258763</v>
      </c>
      <c r="I42" s="42">
        <f>IFERROR(I41/D41-1,"n/a")</f>
        <v>0.08655826117835974</v>
      </c>
      <c r="J42" s="3"/>
      <c r="K42" s="3"/>
      <c r="L42" s="3"/>
    </row>
    <row r="43">
      <c r="A43" s="3"/>
      <c r="B43" s="50" t="s">
        <v>74</v>
      </c>
      <c r="C43" s="44" t="s">
        <v>39</v>
      </c>
      <c r="D43" s="44">
        <f>IFERROR(D41-C41,"n/a")</f>
        <v>-1.626490999999998</v>
      </c>
      <c r="E43" s="44">
        <f>IFERROR(E41-D41,"n/a")</f>
        <v>0.3445439999999955</v>
      </c>
      <c r="F43" s="44">
        <f>IFERROR(F41-E41,"n/a")</f>
        <v>-0.927306999999999</v>
      </c>
      <c r="G43" s="44"/>
      <c r="H43" s="44">
        <f>IFERROR(H41-F41,"n/a")</f>
        <v>2.3204030000000024</v>
      </c>
      <c r="I43" s="40">
        <f>IFERROR(I41-H41,"n/a")</f>
        <v>0.5455449079452066</v>
      </c>
      <c r="J43" s="3"/>
      <c r="K43" s="3"/>
      <c r="L43" s="3"/>
    </row>
    <row r="44">
      <c r="A44" s="3"/>
      <c r="B44" s="6" t="s">
        <v>88</v>
      </c>
      <c r="C44" s="94">
        <f>C41/C36*Inputs!$C$131/C47</f>
        <v>0.11416232758626096</v>
      </c>
      <c r="D44" s="94">
        <f>D41/D36*Inputs!$C$131/D47</f>
        <v>0.10658883165088402</v>
      </c>
      <c r="E44" s="94">
        <f>E41/E36*Inputs!$C$131/E47</f>
        <v>0.10658228635080702</v>
      </c>
      <c r="F44" s="94">
        <f>F41/F36*Inputs!$C$131/F47</f>
        <v>0.0984541954599068</v>
      </c>
      <c r="G44" s="94">
        <f>G41/G36*Inputs!$C$131/G47</f>
        <v>0.10631521527812042</v>
      </c>
      <c r="H44" s="94">
        <f>H41/H36*Inputs!$C$131/H47</f>
        <v>0.09979433062856603</v>
      </c>
      <c r="I44" s="87">
        <v>0.1</v>
      </c>
      <c r="J44" s="3"/>
      <c r="K44" s="3"/>
      <c r="L44" s="3"/>
    </row>
    <row r="45">
      <c r="A45" s="3"/>
      <c r="B45" s="49" t="s">
        <v>89</v>
      </c>
      <c r="C45" s="89" t="s">
        <v>39</v>
      </c>
      <c r="D45" s="89">
        <f>IFERROR((D44-C44)*10000,"n/a")</f>
        <v>-75.73495935376943</v>
      </c>
      <c r="E45" s="89">
        <f>IFERROR((E44-D44)*10000,"n/a")</f>
        <v>-0.06545300077001603</v>
      </c>
      <c r="F45" s="89">
        <f>IFERROR((F44-E44)*10000,"n/a")</f>
        <v>-81.28090890900219</v>
      </c>
      <c r="G45" s="89"/>
      <c r="H45" s="89">
        <f>IFERROR((H44-F44)*10000,"n/a")</f>
        <v>13.401351686592317</v>
      </c>
      <c r="I45" s="88">
        <f>IFERROR((I44-H44)*10000,"n/a")</f>
        <v>2.0566937143397244</v>
      </c>
      <c r="J45" s="3"/>
      <c r="K45" s="3"/>
      <c r="L45" s="3"/>
    </row>
    <row r="46">
      <c r="A46" s="3"/>
      <c r="B46" s="49" t="s">
        <v>90</v>
      </c>
      <c r="C46" s="89" t="s">
        <v>39</v>
      </c>
      <c r="D46" s="89" t="s">
        <v>39</v>
      </c>
      <c r="E46" s="89" t="s">
        <v>39</v>
      </c>
      <c r="F46" s="89" t="s">
        <v>39</v>
      </c>
      <c r="G46" s="89" t="s">
        <v>39</v>
      </c>
      <c r="H46" s="89">
        <f>IFERROR((H44-C44)*10000,"n/a")</f>
        <v>-143.6799695769493</v>
      </c>
      <c r="I46" s="88">
        <f>IFERROR((I44-D44)*10000,"n/a")</f>
        <v>-65.88831650884016</v>
      </c>
      <c r="J46" s="3"/>
      <c r="K46" s="3"/>
      <c r="L46" s="3"/>
    </row>
    <row r="47">
      <c r="A47" s="3"/>
      <c r="B47" s="3" t="s">
        <v>6</v>
      </c>
      <c r="C47" s="41">
        <f>C6</f>
        <v>92</v>
      </c>
      <c r="D47" s="41">
        <f>D6</f>
        <v>92</v>
      </c>
      <c r="E47" s="41">
        <f>E6</f>
        <v>91</v>
      </c>
      <c r="F47" s="41">
        <f>F6</f>
        <v>90</v>
      </c>
      <c r="G47" s="41">
        <f>G6</f>
        <v>365</v>
      </c>
      <c r="H47" s="41">
        <f>H6</f>
        <v>92</v>
      </c>
      <c r="I47" s="71">
        <f>I6</f>
        <v>92</v>
      </c>
      <c r="J47" s="3"/>
      <c r="K47" s="3"/>
      <c r="L47" s="3"/>
    </row>
    <row r="48">
      <c r="A48" s="3"/>
      <c r="B48" s="6" t="s">
        <v>91</v>
      </c>
      <c r="C48" s="95">
        <v>0.115</v>
      </c>
      <c r="D48" s="95">
        <v>0.113</v>
      </c>
      <c r="E48" s="95">
        <v>0.106</v>
      </c>
      <c r="F48" s="95">
        <v>0.104</v>
      </c>
      <c r="G48" s="29">
        <f>F48</f>
        <v>0.104</v>
      </c>
      <c r="H48" s="95">
        <v>0.105</v>
      </c>
      <c r="I48" s="42" t="s">
        <v>39</v>
      </c>
      <c r="J48" s="3"/>
      <c r="K48" s="3"/>
      <c r="L48" s="3"/>
    </row>
    <row r="49">
      <c r="A49" s="3"/>
      <c r="B49" s="49" t="s">
        <v>89</v>
      </c>
      <c r="C49" s="89" t="s">
        <v>39</v>
      </c>
      <c r="D49" s="89">
        <f>IFERROR((D48-C48)*10000,"n/a")</f>
        <v>-20.000000000000018</v>
      </c>
      <c r="E49" s="89">
        <f>IFERROR((E48-D48)*10000,"n/a")</f>
        <v>-70.00000000000006</v>
      </c>
      <c r="F49" s="89">
        <f>IFERROR((F48-E48)*10000,"n/a")</f>
        <v>-20.000000000000018</v>
      </c>
      <c r="G49" s="89"/>
      <c r="H49" s="89">
        <f>IFERROR((H48-F48)*10000,"n/a")</f>
        <v>10.000000000000009</v>
      </c>
      <c r="I49" s="88" t="str">
        <f>IFERROR((I48-H48)*10000,"n/a")</f>
        <v>n/a</v>
      </c>
      <c r="J49" s="3"/>
      <c r="K49" s="3"/>
      <c r="L49" s="3"/>
    </row>
    <row r="50">
      <c r="A50" s="3"/>
      <c r="B50" s="49" t="s">
        <v>90</v>
      </c>
      <c r="C50" s="89" t="s">
        <v>39</v>
      </c>
      <c r="D50" s="89" t="s">
        <v>39</v>
      </c>
      <c r="E50" s="89" t="s">
        <v>39</v>
      </c>
      <c r="F50" s="89" t="s">
        <v>39</v>
      </c>
      <c r="G50" s="89" t="s">
        <v>39</v>
      </c>
      <c r="H50" s="89">
        <f>IFERROR((H48-C48)*10000,"n/a")</f>
        <v>-100.00000000000009</v>
      </c>
      <c r="I50" s="88" t="str">
        <f>IFERROR((I48-D48)*10000,"n/a")</f>
        <v>n/a</v>
      </c>
      <c r="J50" s="3"/>
      <c r="K50" s="3"/>
      <c r="L50" s="3"/>
    </row>
    <row r="51">
      <c r="A51" s="3"/>
      <c r="B51" s="6" t="s">
        <v>92</v>
      </c>
      <c r="C51" s="95">
        <v>0.107</v>
      </c>
      <c r="D51" s="95">
        <v>0.104</v>
      </c>
      <c r="E51" s="95">
        <v>0.097</v>
      </c>
      <c r="F51" s="95">
        <v>0.096</v>
      </c>
      <c r="G51" s="29">
        <f>F51</f>
        <v>0.096</v>
      </c>
      <c r="H51" s="95">
        <v>0.098</v>
      </c>
      <c r="I51" s="42" t="s">
        <v>39</v>
      </c>
      <c r="J51" s="3"/>
      <c r="K51" s="3"/>
      <c r="L51" s="3"/>
    </row>
    <row r="52">
      <c r="A52" s="3"/>
      <c r="B52" s="49" t="s">
        <v>89</v>
      </c>
      <c r="C52" s="89" t="s">
        <v>39</v>
      </c>
      <c r="D52" s="89">
        <f>IFERROR((D51-C51)*10000,"n/a")</f>
        <v>-30.00000000000003</v>
      </c>
      <c r="E52" s="89">
        <f>IFERROR((E51-D51)*10000,"n/a")</f>
        <v>-69.99999999999993</v>
      </c>
      <c r="F52" s="89">
        <f>IFERROR((F51-E51)*10000,"n/a")</f>
        <v>-10.000000000000009</v>
      </c>
      <c r="G52" s="89"/>
      <c r="H52" s="89">
        <f>IFERROR((H51-F51)*10000,"n/a")</f>
        <v>20.000000000000018</v>
      </c>
      <c r="I52" s="88" t="str">
        <f>IFERROR((I51-H51)*10000,"n/a")</f>
        <v>n/a</v>
      </c>
      <c r="J52" s="3"/>
      <c r="K52" s="3"/>
      <c r="L52" s="3"/>
    </row>
    <row r="53">
      <c r="A53" s="3"/>
      <c r="B53" s="49" t="s">
        <v>90</v>
      </c>
      <c r="C53" s="89" t="s">
        <v>39</v>
      </c>
      <c r="D53" s="89" t="s">
        <v>39</v>
      </c>
      <c r="E53" s="89" t="s">
        <v>39</v>
      </c>
      <c r="F53" s="89" t="s">
        <v>39</v>
      </c>
      <c r="G53" s="89" t="s">
        <v>39</v>
      </c>
      <c r="H53" s="89">
        <f>IFERROR((H51-C51)*10000,"n/a")</f>
        <v>-89.99999999999994</v>
      </c>
      <c r="I53" s="88" t="str">
        <f>IFERROR((I51-D51)*10000,"n/a")</f>
        <v>n/a</v>
      </c>
      <c r="J53" s="3"/>
      <c r="K53" s="3"/>
      <c r="L53" s="3"/>
    </row>
    <row r="54">
      <c r="A54" s="3"/>
      <c r="B54" s="3" t="s">
        <v>93</v>
      </c>
      <c r="C54" s="62">
        <v>15.6</v>
      </c>
      <c r="D54" s="62">
        <v>13.1</v>
      </c>
      <c r="E54" s="62">
        <v>13.5</v>
      </c>
      <c r="F54" s="62">
        <v>13</v>
      </c>
      <c r="G54" s="44">
        <f>SUM(C54:F54)</f>
        <v>55.2</v>
      </c>
      <c r="H54" s="62">
        <v>13.4</v>
      </c>
      <c r="I54" s="40" t="s">
        <v>39</v>
      </c>
      <c r="J54" s="3"/>
      <c r="K54" s="3"/>
      <c r="L54" s="3"/>
    </row>
    <row r="55">
      <c r="A55" s="3"/>
      <c r="B55" s="49" t="s">
        <v>73</v>
      </c>
      <c r="C55" s="29" t="s">
        <v>39</v>
      </c>
      <c r="D55" s="29" t="s">
        <v>39</v>
      </c>
      <c r="E55" s="29" t="s">
        <v>39</v>
      </c>
      <c r="F55" s="29" t="s">
        <v>39</v>
      </c>
      <c r="G55" s="29" t="s">
        <v>39</v>
      </c>
      <c r="H55" s="29">
        <f>IFERROR(H54/C54-1,"n/a")</f>
        <v>-0.14102564102564097</v>
      </c>
      <c r="I55" s="42" t="str">
        <f>IFERROR(I54/D54-1,"n/a")</f>
        <v>n/a</v>
      </c>
      <c r="J55" s="3"/>
      <c r="K55" s="3"/>
      <c r="L55" s="3"/>
    </row>
    <row r="56">
      <c r="A56" s="3"/>
      <c r="B56" s="50" t="s">
        <v>74</v>
      </c>
      <c r="C56" s="44" t="s">
        <v>39</v>
      </c>
      <c r="D56" s="44">
        <f>IFERROR(D54-C54,"n/a")</f>
        <v>-2.5</v>
      </c>
      <c r="E56" s="44">
        <f>IFERROR(E54-D54,"n/a")</f>
        <v>0.40000000000000036</v>
      </c>
      <c r="F56" s="44">
        <f>IFERROR(F54-E54,"n/a")</f>
        <v>-0.5</v>
      </c>
      <c r="G56" s="44"/>
      <c r="H56" s="44">
        <f>IFERROR(H54-F54,"n/a")</f>
        <v>0.40000000000000036</v>
      </c>
      <c r="I56" s="40" t="str">
        <f>IFERROR(I54-H54,"n/a")</f>
        <v>n/a</v>
      </c>
      <c r="J56" s="3"/>
      <c r="K56" s="3"/>
      <c r="L56" s="3"/>
    </row>
    <row r="57">
      <c r="A57" s="3"/>
      <c r="B57" s="3" t="s">
        <v>94</v>
      </c>
      <c r="C57" s="96">
        <v>46</v>
      </c>
      <c r="D57" s="96">
        <v>44</v>
      </c>
      <c r="E57" s="96">
        <v>46</v>
      </c>
      <c r="F57" s="96">
        <v>49</v>
      </c>
      <c r="G57" s="47">
        <f>F57</f>
        <v>49</v>
      </c>
      <c r="H57" s="96">
        <v>50</v>
      </c>
      <c r="I57" s="107" t="s">
        <v>39</v>
      </c>
      <c r="J57" s="3"/>
      <c r="K57" s="3"/>
      <c r="L57" s="3"/>
    </row>
    <row r="58">
      <c r="A58" s="3"/>
      <c r="B58" s="50" t="s">
        <v>95</v>
      </c>
      <c r="C58" s="47" t="s">
        <v>39</v>
      </c>
      <c r="D58" s="47" t="s">
        <v>39</v>
      </c>
      <c r="E58" s="47" t="s">
        <v>39</v>
      </c>
      <c r="F58" s="47" t="s">
        <v>39</v>
      </c>
      <c r="G58" s="47" t="s">
        <v>39</v>
      </c>
      <c r="H58" s="47">
        <f>IFERROR(H57-C57,"n/a")</f>
        <v>4</v>
      </c>
      <c r="I58" s="107" t="str">
        <f>IFERROR(I57-D57,"n/a")</f>
        <v>n/a</v>
      </c>
      <c r="J58" s="3"/>
      <c r="K58" s="3"/>
      <c r="L58" s="3"/>
    </row>
    <row r="59">
      <c r="A59" s="3"/>
      <c r="B59" s="50" t="s">
        <v>96</v>
      </c>
      <c r="C59" s="47" t="s">
        <v>39</v>
      </c>
      <c r="D59" s="47">
        <f>IFERROR(D57-C57,"n/a")</f>
        <v>-2</v>
      </c>
      <c r="E59" s="47">
        <f>IFERROR(E57-D57,"n/a")</f>
        <v>2</v>
      </c>
      <c r="F59" s="47">
        <f>IFERROR(F57-E57,"n/a")</f>
        <v>3</v>
      </c>
      <c r="G59" s="47"/>
      <c r="H59" s="47">
        <f>IFERROR(H57-F57,"n/a")</f>
        <v>1</v>
      </c>
      <c r="I59" s="107" t="str">
        <f>IFERROR(I57-H57,"n/a")</f>
        <v>n/a</v>
      </c>
      <c r="J59" s="3"/>
      <c r="K59" s="3"/>
      <c r="L59" s="3"/>
    </row>
    <row r="60">
      <c r="A60" s="3"/>
      <c r="B60" s="30" t="s">
        <v>97</v>
      </c>
      <c r="C60" s="85"/>
      <c r="D60" s="85"/>
      <c r="E60" s="85"/>
      <c r="F60" s="85"/>
      <c r="G60" s="85"/>
      <c r="H60" s="85"/>
      <c r="I60" s="98"/>
      <c r="J60" s="3"/>
      <c r="K60" s="3"/>
      <c r="L60" s="3"/>
    </row>
    <row r="61">
      <c r="A61" s="3"/>
      <c r="B61" s="79" t="s">
        <v>98</v>
      </c>
      <c r="C61" s="95">
        <v>0.869</v>
      </c>
      <c r="D61" s="95">
        <v>0.843</v>
      </c>
      <c r="E61" s="95">
        <v>0.839</v>
      </c>
      <c r="F61" s="95">
        <v>0.821</v>
      </c>
      <c r="G61" s="29">
        <f>F61</f>
        <v>0.821</v>
      </c>
      <c r="H61" s="95">
        <v>0.817</v>
      </c>
      <c r="I61" s="42" t="s">
        <v>39</v>
      </c>
      <c r="J61" s="3"/>
      <c r="K61" s="3"/>
      <c r="L61" s="3"/>
    </row>
    <row r="62">
      <c r="A62" s="3"/>
      <c r="B62" s="49" t="s">
        <v>89</v>
      </c>
      <c r="C62" s="89" t="s">
        <v>39</v>
      </c>
      <c r="D62" s="89">
        <f>IFERROR((D61-C61)*10000,"n/a")</f>
        <v>-260.0000000000002</v>
      </c>
      <c r="E62" s="89">
        <f>IFERROR((E61-D61)*10000,"n/a")</f>
        <v>-40.000000000000036</v>
      </c>
      <c r="F62" s="89">
        <f>IFERROR((F61-E61)*10000,"n/a")</f>
        <v>-180.00000000000017</v>
      </c>
      <c r="G62" s="89"/>
      <c r="H62" s="89">
        <f>IFERROR((H61-F61)*10000,"n/a")</f>
        <v>-40.000000000000036</v>
      </c>
      <c r="I62" s="88" t="str">
        <f>IFERROR((I61-H61)*10000,"n/a")</f>
        <v>n/a</v>
      </c>
      <c r="J62" s="3"/>
      <c r="K62" s="3"/>
      <c r="L62" s="3"/>
    </row>
    <row r="63">
      <c r="A63" s="3"/>
      <c r="B63" s="49" t="s">
        <v>90</v>
      </c>
      <c r="C63" s="89" t="s">
        <v>39</v>
      </c>
      <c r="D63" s="89" t="s">
        <v>39</v>
      </c>
      <c r="E63" s="89" t="s">
        <v>39</v>
      </c>
      <c r="F63" s="89" t="s">
        <v>39</v>
      </c>
      <c r="G63" s="89" t="s">
        <v>39</v>
      </c>
      <c r="H63" s="89">
        <f>IFERROR((H61-C61)*10000,"n/a")</f>
        <v>-520.0000000000005</v>
      </c>
      <c r="I63" s="88" t="str">
        <f>IFERROR((I61-D61)*10000,"n/a")</f>
        <v>n/a</v>
      </c>
      <c r="J63" s="3"/>
      <c r="K63" s="3"/>
      <c r="L63" s="3"/>
    </row>
    <row r="64">
      <c r="A64" s="3"/>
      <c r="B64" s="79" t="s">
        <v>99</v>
      </c>
      <c r="C64" s="95">
        <v>0.007</v>
      </c>
      <c r="D64" s="95">
        <v>0.007</v>
      </c>
      <c r="E64" s="95">
        <v>0.008</v>
      </c>
      <c r="F64" s="95">
        <v>0.039</v>
      </c>
      <c r="G64" s="29">
        <f>F64</f>
        <v>0.039</v>
      </c>
      <c r="H64" s="95">
        <v>0.038</v>
      </c>
      <c r="I64" s="42" t="s">
        <v>39</v>
      </c>
      <c r="J64" s="3"/>
      <c r="K64" s="3"/>
      <c r="L64" s="3"/>
    </row>
    <row r="65">
      <c r="A65" s="3"/>
      <c r="B65" s="49" t="s">
        <v>89</v>
      </c>
      <c r="C65" s="89" t="s">
        <v>39</v>
      </c>
      <c r="D65" s="89">
        <f>IFERROR((D64-C64)*10000,"n/a")</f>
        <v>0</v>
      </c>
      <c r="E65" s="89">
        <f>IFERROR((E64-D64)*10000,"n/a")</f>
        <v>10</v>
      </c>
      <c r="F65" s="89">
        <f>IFERROR((F64-E64)*10000,"n/a")</f>
        <v>310</v>
      </c>
      <c r="G65" s="89"/>
      <c r="H65" s="89">
        <f>IFERROR((H64-F64)*10000,"n/a")</f>
        <v>-10.000000000000009</v>
      </c>
      <c r="I65" s="88" t="str">
        <f>IFERROR((I64-H64)*10000,"n/a")</f>
        <v>n/a</v>
      </c>
      <c r="J65" s="3"/>
      <c r="K65" s="3"/>
      <c r="L65" s="3"/>
    </row>
    <row r="66">
      <c r="A66" s="3"/>
      <c r="B66" s="49" t="s">
        <v>90</v>
      </c>
      <c r="C66" s="89" t="s">
        <v>39</v>
      </c>
      <c r="D66" s="89" t="s">
        <v>39</v>
      </c>
      <c r="E66" s="89" t="s">
        <v>39</v>
      </c>
      <c r="F66" s="89" t="s">
        <v>39</v>
      </c>
      <c r="G66" s="89" t="s">
        <v>39</v>
      </c>
      <c r="H66" s="89">
        <f>IFERROR((H64-C64)*10000,"n/a")</f>
        <v>310</v>
      </c>
      <c r="I66" s="88" t="str">
        <f>IFERROR((I64-D64)*10000,"n/a")</f>
        <v>n/a</v>
      </c>
      <c r="J66" s="3"/>
      <c r="K66" s="3"/>
      <c r="L66" s="3"/>
    </row>
    <row r="67">
      <c r="A67" s="3"/>
      <c r="B67" s="79" t="s">
        <v>100</v>
      </c>
      <c r="C67" s="95">
        <v>0.017</v>
      </c>
      <c r="D67" s="95">
        <v>0.017</v>
      </c>
      <c r="E67" s="95">
        <v>0.016</v>
      </c>
      <c r="F67" s="95">
        <v>0.015</v>
      </c>
      <c r="G67" s="29">
        <f>F67</f>
        <v>0.015</v>
      </c>
      <c r="H67" s="95">
        <v>0.014</v>
      </c>
      <c r="I67" s="42" t="s">
        <v>39</v>
      </c>
      <c r="J67" s="3"/>
      <c r="K67" s="3"/>
      <c r="L67" s="3"/>
    </row>
    <row r="68">
      <c r="A68" s="3"/>
      <c r="B68" s="49" t="s">
        <v>89</v>
      </c>
      <c r="C68" s="89" t="s">
        <v>39</v>
      </c>
      <c r="D68" s="89">
        <f>IFERROR((D67-C67)*10000,"n/a")</f>
        <v>0</v>
      </c>
      <c r="E68" s="89">
        <f>IFERROR((E67-D67)*10000,"n/a")</f>
        <v>-10.000000000000009</v>
      </c>
      <c r="F68" s="89">
        <f>IFERROR((F67-E67)*10000,"n/a")</f>
        <v>-10.000000000000009</v>
      </c>
      <c r="G68" s="89"/>
      <c r="H68" s="89">
        <f>IFERROR((H67-F67)*10000,"n/a")</f>
        <v>-9.999999999999991</v>
      </c>
      <c r="I68" s="88" t="str">
        <f>IFERROR((I67-H67)*10000,"n/a")</f>
        <v>n/a</v>
      </c>
      <c r="J68" s="3"/>
      <c r="K68" s="3"/>
      <c r="L68" s="3"/>
    </row>
    <row r="69">
      <c r="A69" s="3"/>
      <c r="B69" s="49" t="s">
        <v>90</v>
      </c>
      <c r="C69" s="89" t="s">
        <v>39</v>
      </c>
      <c r="D69" s="89" t="s">
        <v>39</v>
      </c>
      <c r="E69" s="89" t="s">
        <v>39</v>
      </c>
      <c r="F69" s="89" t="s">
        <v>39</v>
      </c>
      <c r="G69" s="89" t="s">
        <v>39</v>
      </c>
      <c r="H69" s="89">
        <f>IFERROR((H67-C67)*10000,"n/a")</f>
        <v>-30.00000000000001</v>
      </c>
      <c r="I69" s="88" t="str">
        <f>IFERROR((I67-D67)*10000,"n/a")</f>
        <v>n/a</v>
      </c>
      <c r="J69" s="3"/>
      <c r="K69" s="3"/>
      <c r="L69" s="3"/>
    </row>
    <row r="70">
      <c r="A70" s="3"/>
      <c r="B70" s="79" t="s">
        <v>101</v>
      </c>
      <c r="C70" s="95">
        <v>0.028</v>
      </c>
      <c r="D70" s="95">
        <v>0.054</v>
      </c>
      <c r="E70" s="95">
        <v>0.054</v>
      </c>
      <c r="F70" s="95">
        <v>0.049</v>
      </c>
      <c r="G70" s="29">
        <f>F70</f>
        <v>0.049</v>
      </c>
      <c r="H70" s="95">
        <v>0.059</v>
      </c>
      <c r="I70" s="42" t="s">
        <v>39</v>
      </c>
      <c r="J70" s="3"/>
      <c r="K70" s="3"/>
      <c r="L70" s="3"/>
    </row>
    <row r="71">
      <c r="A71" s="3"/>
      <c r="B71" s="49" t="s">
        <v>89</v>
      </c>
      <c r="C71" s="89" t="s">
        <v>39</v>
      </c>
      <c r="D71" s="89">
        <f>IFERROR((D70-C70)*10000,"n/a")</f>
        <v>260</v>
      </c>
      <c r="E71" s="89">
        <f>IFERROR((E70-D70)*10000,"n/a")</f>
        <v>0</v>
      </c>
      <c r="F71" s="89">
        <f>IFERROR((F70-E70)*10000,"n/a")</f>
        <v>-49.99999999999997</v>
      </c>
      <c r="G71" s="89"/>
      <c r="H71" s="89">
        <f>IFERROR((H70-F70)*10000,"n/a")</f>
        <v>99.99999999999994</v>
      </c>
      <c r="I71" s="88" t="str">
        <f>IFERROR((I70-H70)*10000,"n/a")</f>
        <v>n/a</v>
      </c>
      <c r="J71" s="3"/>
      <c r="K71" s="3"/>
      <c r="L71" s="3"/>
    </row>
    <row r="72">
      <c r="A72" s="3"/>
      <c r="B72" s="49" t="s">
        <v>90</v>
      </c>
      <c r="C72" s="89" t="s">
        <v>39</v>
      </c>
      <c r="D72" s="89" t="s">
        <v>39</v>
      </c>
      <c r="E72" s="89" t="s">
        <v>39</v>
      </c>
      <c r="F72" s="89" t="s">
        <v>39</v>
      </c>
      <c r="G72" s="89" t="s">
        <v>39</v>
      </c>
      <c r="H72" s="89">
        <f>IFERROR((H70-C70)*10000,"n/a")</f>
        <v>309.99999999999994</v>
      </c>
      <c r="I72" s="88" t="str">
        <f>IFERROR((I70-D70)*10000,"n/a")</f>
        <v>n/a</v>
      </c>
      <c r="J72" s="3"/>
      <c r="K72" s="3"/>
      <c r="L72" s="3"/>
    </row>
    <row r="73">
      <c r="A73" s="3"/>
      <c r="B73" s="79" t="s">
        <v>102</v>
      </c>
      <c r="C73" s="95">
        <v>0.079</v>
      </c>
      <c r="D73" s="95">
        <v>0.079</v>
      </c>
      <c r="E73" s="95">
        <v>0.083</v>
      </c>
      <c r="F73" s="95">
        <v>0.076</v>
      </c>
      <c r="G73" s="29">
        <f>F73</f>
        <v>0.076</v>
      </c>
      <c r="H73" s="95">
        <v>0.072</v>
      </c>
      <c r="I73" s="42" t="s">
        <v>39</v>
      </c>
      <c r="J73" s="3"/>
      <c r="K73" s="3"/>
      <c r="L73" s="3"/>
    </row>
    <row r="74">
      <c r="A74" s="3"/>
      <c r="B74" s="49" t="s">
        <v>89</v>
      </c>
      <c r="C74" s="89" t="s">
        <v>39</v>
      </c>
      <c r="D74" s="89">
        <f>IFERROR((D73-C73)*10000,"n/a")</f>
        <v>0</v>
      </c>
      <c r="E74" s="89">
        <f>IFERROR((E73-D73)*10000,"n/a")</f>
        <v>40.000000000000036</v>
      </c>
      <c r="F74" s="89">
        <f>IFERROR((F73-E73)*10000,"n/a")</f>
        <v>-70.00000000000006</v>
      </c>
      <c r="G74" s="89"/>
      <c r="H74" s="89">
        <f>IFERROR((H73-F73)*10000,"n/a")</f>
        <v>-40.000000000000036</v>
      </c>
      <c r="I74" s="88" t="str">
        <f>IFERROR((I73-H73)*10000,"n/a")</f>
        <v>n/a</v>
      </c>
      <c r="J74" s="3"/>
      <c r="K74" s="3"/>
      <c r="L74" s="3"/>
    </row>
    <row r="75">
      <c r="A75" s="3"/>
      <c r="B75" s="49" t="s">
        <v>90</v>
      </c>
      <c r="C75" s="89" t="s">
        <v>39</v>
      </c>
      <c r="D75" s="89" t="s">
        <v>39</v>
      </c>
      <c r="E75" s="89" t="s">
        <v>39</v>
      </c>
      <c r="F75" s="89" t="s">
        <v>39</v>
      </c>
      <c r="G75" s="89" t="s">
        <v>39</v>
      </c>
      <c r="H75" s="89">
        <f>IFERROR((H73-C73)*10000,"n/a")</f>
        <v>-70.00000000000006</v>
      </c>
      <c r="I75" s="88" t="str">
        <f>IFERROR((I73-D73)*10000,"n/a")</f>
        <v>n/a</v>
      </c>
      <c r="J75" s="3"/>
      <c r="K75" s="3"/>
      <c r="L75" s="3"/>
    </row>
    <row r="76">
      <c r="A76" s="3"/>
      <c r="B76" s="112" t="s">
        <v>103</v>
      </c>
      <c r="C76" s="111">
        <f>SUM(C61,C64,C67,C70,C73)</f>
        <v>1</v>
      </c>
      <c r="D76" s="111">
        <f>SUM(D61,D64,D67,D70,D73)</f>
        <v>1</v>
      </c>
      <c r="E76" s="111">
        <f>SUM(E61,E64,E67,E70,E73)</f>
        <v>1</v>
      </c>
      <c r="F76" s="111">
        <f>SUM(F61,F64,F67,F70,F73)</f>
        <v>1</v>
      </c>
      <c r="G76" s="111">
        <f>SUM(G61,G64,G67,G70,G73)</f>
        <v>1</v>
      </c>
      <c r="H76" s="111">
        <f>SUM(H61,H64,H67,H70,H73)</f>
        <v>1</v>
      </c>
      <c r="I76" s="110" t="s">
        <v>39</v>
      </c>
      <c r="J76" s="3"/>
      <c r="K76" s="3"/>
      <c r="L76" s="3"/>
    </row>
    <row r="77">
      <c r="A77" s="3"/>
      <c r="B77" s="3"/>
      <c r="C77" s="11"/>
      <c r="D77" s="11"/>
      <c r="E77" s="11"/>
      <c r="F77" s="11"/>
      <c r="G77" s="11"/>
      <c r="H77" s="11"/>
      <c r="I77" s="74"/>
      <c r="J77" s="3"/>
      <c r="K77" s="3"/>
      <c r="L77" s="3"/>
    </row>
    <row r="78">
      <c r="A78" s="3"/>
      <c r="B78" s="30" t="s">
        <v>104</v>
      </c>
      <c r="C78" s="39"/>
      <c r="D78" s="39"/>
      <c r="E78" s="39"/>
      <c r="F78" s="39"/>
      <c r="G78" s="39"/>
      <c r="H78" s="39"/>
      <c r="I78" s="66"/>
      <c r="J78" s="3"/>
      <c r="K78" s="3"/>
      <c r="L78" s="3"/>
    </row>
    <row r="79">
      <c r="A79" s="3"/>
      <c r="B79" s="3" t="s">
        <v>105</v>
      </c>
      <c r="C79" s="28">
        <f>'Balance Sheet'!C21</f>
        <v>224.286725</v>
      </c>
      <c r="D79" s="28">
        <f>'Balance Sheet'!D21</f>
        <v>200.804707</v>
      </c>
      <c r="E79" s="28">
        <f>'Balance Sheet'!E21</f>
        <v>169.55821</v>
      </c>
      <c r="F79" s="28">
        <f>'Balance Sheet'!F21</f>
        <v>21.785753</v>
      </c>
      <c r="G79" s="28">
        <f>'Balance Sheet'!G21</f>
        <v>21.785753</v>
      </c>
      <c r="H79" s="28">
        <f>'Balance Sheet'!H21</f>
        <v>60.808817</v>
      </c>
      <c r="I79" s="27">
        <f>'Balance Sheet'!I21</f>
        <v>114.3918183016863</v>
      </c>
      <c r="J79" s="3"/>
      <c r="K79" s="3"/>
      <c r="L79" s="3"/>
    </row>
    <row r="80">
      <c r="A80" s="3"/>
      <c r="B80" s="49" t="s">
        <v>73</v>
      </c>
      <c r="C80" s="29" t="s">
        <v>39</v>
      </c>
      <c r="D80" s="29" t="s">
        <v>39</v>
      </c>
      <c r="E80" s="29" t="s">
        <v>39</v>
      </c>
      <c r="F80" s="29" t="s">
        <v>39</v>
      </c>
      <c r="G80" s="29" t="s">
        <v>39</v>
      </c>
      <c r="H80" s="29">
        <f>IFERROR(H79/C79-1,"n/a")</f>
        <v>-0.7288791077581609</v>
      </c>
      <c r="I80" s="42">
        <f>IFERROR(I79/D79-1,"n/a")</f>
        <v>-0.4303329836701174</v>
      </c>
      <c r="J80" s="3"/>
      <c r="K80" s="3"/>
      <c r="L80" s="3"/>
    </row>
    <row r="81">
      <c r="A81" s="3"/>
      <c r="B81" s="50" t="s">
        <v>74</v>
      </c>
      <c r="C81" s="44" t="s">
        <v>39</v>
      </c>
      <c r="D81" s="44">
        <f>IFERROR(D79-C79,"n/a")</f>
        <v>-23.482017999999982</v>
      </c>
      <c r="E81" s="44">
        <f>IFERROR(E79-D79,"n/a")</f>
        <v>-31.246497000000005</v>
      </c>
      <c r="F81" s="44">
        <f>IFERROR(F79-E79,"n/a")</f>
        <v>-147.772457</v>
      </c>
      <c r="G81" s="44"/>
      <c r="H81" s="44">
        <f>IFERROR(H79-F79,"n/a")</f>
        <v>39.023064</v>
      </c>
      <c r="I81" s="40">
        <f>IFERROR(I79-H79,"n/a")</f>
        <v>53.5830013016863</v>
      </c>
      <c r="J81" s="3"/>
      <c r="K81" s="3"/>
      <c r="L81" s="3"/>
    </row>
    <row r="82">
      <c r="A82" s="3"/>
      <c r="B82" s="3" t="s">
        <v>106</v>
      </c>
      <c r="C82" s="28">
        <f>('Balance Sheet'!C89+C79)/2</f>
        <v>214.5053245</v>
      </c>
      <c r="D82" s="44">
        <f>(C79+D79)/2</f>
        <v>212.545716</v>
      </c>
      <c r="E82" s="44">
        <f>(D79+E79)/2</f>
        <v>185.18145850000002</v>
      </c>
      <c r="F82" s="44">
        <f>(E79+F79)/2</f>
        <v>95.6719815</v>
      </c>
      <c r="G82" s="44">
        <f>SUMPRODUCT(C82:F82,C47:F47)/G47</f>
        <v>177.39914187534245</v>
      </c>
      <c r="H82" s="44">
        <f>(F79+H79)/2</f>
        <v>41.297285</v>
      </c>
      <c r="I82" s="63">
        <v>45</v>
      </c>
      <c r="J82" s="3"/>
      <c r="K82" s="3"/>
      <c r="L82" s="3"/>
    </row>
    <row r="83">
      <c r="A83" s="3"/>
      <c r="B83" s="49" t="s">
        <v>73</v>
      </c>
      <c r="C83" s="29" t="s">
        <v>39</v>
      </c>
      <c r="D83" s="29" t="s">
        <v>39</v>
      </c>
      <c r="E83" s="29" t="s">
        <v>39</v>
      </c>
      <c r="F83" s="29" t="s">
        <v>39</v>
      </c>
      <c r="G83" s="29" t="s">
        <v>39</v>
      </c>
      <c r="H83" s="29">
        <f>IFERROR(H82/C82-1,"n/a")</f>
        <v>-0.8074766437790686</v>
      </c>
      <c r="I83" s="42">
        <f>IFERROR(I82/D82-1,"n/a")</f>
        <v>-0.788280842131864</v>
      </c>
      <c r="J83" s="3"/>
      <c r="K83" s="3"/>
      <c r="L83" s="3"/>
    </row>
    <row r="84">
      <c r="A84" s="3"/>
      <c r="B84" s="50" t="s">
        <v>74</v>
      </c>
      <c r="C84" s="44" t="s">
        <v>39</v>
      </c>
      <c r="D84" s="44">
        <f>IFERROR(D82-C82,"n/a")</f>
        <v>-1.9596085000000016</v>
      </c>
      <c r="E84" s="44">
        <f>IFERROR(E82-D82,"n/a")</f>
        <v>-27.36425749999998</v>
      </c>
      <c r="F84" s="44">
        <f>IFERROR(F82-E82,"n/a")</f>
        <v>-89.50947700000002</v>
      </c>
      <c r="G84" s="44"/>
      <c r="H84" s="44">
        <f>IFERROR(H82-F82,"n/a")</f>
        <v>-54.3746965</v>
      </c>
      <c r="I84" s="40">
        <f>IFERROR(I82-H82,"n/a")</f>
        <v>3.7027149999999978</v>
      </c>
      <c r="J84" s="3"/>
      <c r="K84" s="3"/>
      <c r="L84" s="3"/>
    </row>
    <row r="85">
      <c r="A85" s="3"/>
      <c r="B85" s="3" t="s">
        <v>107</v>
      </c>
      <c r="C85" s="44">
        <f>C162</f>
        <v>2.027211</v>
      </c>
      <c r="D85" s="44">
        <f>D162</f>
        <v>2.360397</v>
      </c>
      <c r="E85" s="44">
        <f>E162</f>
        <v>1.942036</v>
      </c>
      <c r="F85" s="44">
        <f>F162</f>
        <v>1.553219</v>
      </c>
      <c r="G85" s="44">
        <f>G162</f>
        <v>7.8828629999999995</v>
      </c>
      <c r="H85" s="44">
        <f>H162</f>
        <v>0.554386</v>
      </c>
      <c r="I85" s="27">
        <f>I82*I88*I47/Inputs!$C$131</f>
        <v>0.4536986301369863</v>
      </c>
      <c r="J85" s="3"/>
      <c r="K85" s="3"/>
      <c r="L85" s="3"/>
    </row>
    <row r="86">
      <c r="A86" s="3"/>
      <c r="B86" s="49" t="s">
        <v>73</v>
      </c>
      <c r="C86" s="29" t="s">
        <v>39</v>
      </c>
      <c r="D86" s="29" t="s">
        <v>39</v>
      </c>
      <c r="E86" s="29" t="s">
        <v>39</v>
      </c>
      <c r="F86" s="29" t="s">
        <v>39</v>
      </c>
      <c r="G86" s="29" t="s">
        <v>39</v>
      </c>
      <c r="H86" s="29">
        <f>IFERROR(H85/C85-1,"n/a")</f>
        <v>-0.7265277270101631</v>
      </c>
      <c r="I86" s="42">
        <f>IFERROR(I85/D85-1,"n/a")</f>
        <v>-0.8077871518490379</v>
      </c>
      <c r="J86" s="3"/>
      <c r="K86" s="3"/>
      <c r="L86" s="3"/>
    </row>
    <row r="87">
      <c r="A87" s="3"/>
      <c r="B87" s="50" t="s">
        <v>74</v>
      </c>
      <c r="C87" s="44" t="s">
        <v>39</v>
      </c>
      <c r="D87" s="44">
        <f>IFERROR(D85-C85,"n/a")</f>
        <v>0.333186</v>
      </c>
      <c r="E87" s="44">
        <f>IFERROR(E85-D85,"n/a")</f>
        <v>-0.41836099999999976</v>
      </c>
      <c r="F87" s="44">
        <f>IFERROR(F85-E85,"n/a")</f>
        <v>-0.3888170000000002</v>
      </c>
      <c r="G87" s="44"/>
      <c r="H87" s="44">
        <f>IFERROR(H85-F85,"n/a")</f>
        <v>-0.9988329999999999</v>
      </c>
      <c r="I87" s="40">
        <f>IFERROR(I85-H85,"n/a")</f>
        <v>-0.10068736986301374</v>
      </c>
      <c r="J87" s="3"/>
      <c r="K87" s="3"/>
      <c r="L87" s="3"/>
    </row>
    <row r="88">
      <c r="A88" s="3"/>
      <c r="B88" s="6" t="s">
        <v>108</v>
      </c>
      <c r="C88" s="94">
        <f>C85/C82*Inputs!$C$131/C47</f>
        <v>0.037494357364906625</v>
      </c>
      <c r="D88" s="94">
        <f>D85/D82*Inputs!$C$131/D47</f>
        <v>0.0440593144328945</v>
      </c>
      <c r="E88" s="94">
        <f>E85/E82*Inputs!$C$131/E47</f>
        <v>0.04206406579816983</v>
      </c>
      <c r="F88" s="94">
        <f>F85/F82*Inputs!$C$131/F47</f>
        <v>0.0658412823240673</v>
      </c>
      <c r="G88" s="94">
        <f>G85/G82*Inputs!$C$131/G47</f>
        <v>0.04443574482191831</v>
      </c>
      <c r="H88" s="94">
        <f>H85/H82*Inputs!$C$131/H47</f>
        <v>0.05325934127757246</v>
      </c>
      <c r="I88" s="87">
        <v>0.04</v>
      </c>
      <c r="J88" s="3"/>
      <c r="K88" s="3"/>
      <c r="L88" s="3"/>
    </row>
    <row r="89">
      <c r="A89" s="3"/>
      <c r="B89" s="49" t="s">
        <v>89</v>
      </c>
      <c r="C89" s="89" t="s">
        <v>39</v>
      </c>
      <c r="D89" s="89">
        <f>IFERROR((D88-C88)*10000,"n/a")</f>
        <v>65.64957067987875</v>
      </c>
      <c r="E89" s="89">
        <f>IFERROR((E88-D88)*10000,"n/a")</f>
        <v>-19.952486347246737</v>
      </c>
      <c r="F89" s="89">
        <f>IFERROR((F88-E88)*10000,"n/a")</f>
        <v>237.77216525897475</v>
      </c>
      <c r="G89" s="89"/>
      <c r="H89" s="89">
        <f>IFERROR((H88-F88)*10000,"n/a")</f>
        <v>-125.81941046494842</v>
      </c>
      <c r="I89" s="88">
        <f>IFERROR((I88-H88)*10000,"n/a")</f>
        <v>-132.5934127757246</v>
      </c>
      <c r="J89" s="3"/>
      <c r="K89" s="3"/>
      <c r="L89" s="3"/>
    </row>
    <row r="90">
      <c r="A90" s="3"/>
      <c r="B90" s="49" t="s">
        <v>90</v>
      </c>
      <c r="C90" s="89" t="s">
        <v>39</v>
      </c>
      <c r="D90" s="89" t="s">
        <v>39</v>
      </c>
      <c r="E90" s="89" t="s">
        <v>39</v>
      </c>
      <c r="F90" s="89" t="s">
        <v>39</v>
      </c>
      <c r="G90" s="89" t="s">
        <v>39</v>
      </c>
      <c r="H90" s="89">
        <f>IFERROR((H88-C88)*10000,"n/a")</f>
        <v>157.64983912665835</v>
      </c>
      <c r="I90" s="88">
        <f>IFERROR((I88-D88)*10000,"n/a")</f>
        <v>-40.593144328944994</v>
      </c>
      <c r="J90" s="3"/>
      <c r="K90" s="3"/>
      <c r="L90" s="3"/>
    </row>
    <row r="91">
      <c r="A91" s="3"/>
      <c r="B91" s="6" t="s">
        <v>109</v>
      </c>
      <c r="C91" s="29" t="s">
        <v>39</v>
      </c>
      <c r="D91" s="29">
        <f>D169/C169-1</f>
        <v>-0.058911617683553685</v>
      </c>
      <c r="E91" s="29">
        <f>E169/D169-1</f>
        <v>-0.05252609880174541</v>
      </c>
      <c r="F91" s="29">
        <f>F169/E169-1</f>
        <v>-0.06335821773801087</v>
      </c>
      <c r="G91" s="29"/>
      <c r="H91" s="29">
        <f>H169/F169-1</f>
        <v>-0.07462270942852867</v>
      </c>
      <c r="I91" s="42">
        <f>AVERAGE(D91:F91,H91)</f>
        <v>-0.06235466091295966</v>
      </c>
      <c r="J91" s="3"/>
      <c r="K91" s="3"/>
      <c r="L91" s="3"/>
    </row>
    <row r="92">
      <c r="A92" s="3"/>
      <c r="B92" s="49" t="s">
        <v>89</v>
      </c>
      <c r="C92" s="89" t="s">
        <v>39</v>
      </c>
      <c r="D92" s="89" t="str">
        <f>IFERROR((D91-C91)*10000,"n/a")</f>
        <v>n/a</v>
      </c>
      <c r="E92" s="89">
        <f>IFERROR((E91-D91)*10000,"n/a")</f>
        <v>63.85518881808272</v>
      </c>
      <c r="F92" s="89">
        <f>IFERROR((F91-E91)*10000,"n/a")</f>
        <v>-108.32118936265456</v>
      </c>
      <c r="G92" s="89"/>
      <c r="H92" s="89">
        <f>IFERROR((H91-F91)*10000,"n/a")</f>
        <v>-112.64491690517798</v>
      </c>
      <c r="I92" s="88">
        <f>IFERROR((I91-H91)*10000,"n/a")</f>
        <v>122.68048515569008</v>
      </c>
      <c r="J92" s="3"/>
      <c r="K92" s="3"/>
      <c r="L92" s="3"/>
    </row>
    <row r="93">
      <c r="A93" s="3"/>
      <c r="B93" s="49" t="s">
        <v>90</v>
      </c>
      <c r="C93" s="89" t="s">
        <v>39</v>
      </c>
      <c r="D93" s="89" t="s">
        <v>39</v>
      </c>
      <c r="E93" s="89" t="s">
        <v>39</v>
      </c>
      <c r="F93" s="89" t="s">
        <v>39</v>
      </c>
      <c r="G93" s="89" t="s">
        <v>39</v>
      </c>
      <c r="H93" s="89" t="str">
        <f>IFERROR((H91-C91)*10000,"n/a")</f>
        <v>n/a</v>
      </c>
      <c r="I93" s="88">
        <f>IFERROR((I91-D91)*10000,"n/a")</f>
        <v>-34.430432294059734</v>
      </c>
      <c r="J93" s="3"/>
      <c r="K93" s="3"/>
      <c r="L93" s="3"/>
    </row>
    <row r="94">
      <c r="A94" s="3"/>
      <c r="B94" s="6" t="s">
        <v>110</v>
      </c>
      <c r="C94" s="29">
        <f>C197/C10</f>
        <v>0.00527847770919079</v>
      </c>
      <c r="D94" s="29">
        <f>D197/D10</f>
        <v>0.004243381684139977</v>
      </c>
      <c r="E94" s="29">
        <f>E197/E10</f>
        <v>0.009193908375262337</v>
      </c>
      <c r="F94" s="29">
        <f>F197/F10</f>
        <v>0.00814142363987488</v>
      </c>
      <c r="G94" s="29">
        <f>G197/G10</f>
        <v>0.0072654304407837</v>
      </c>
      <c r="H94" s="29">
        <f>H197/H10</f>
        <v>0.008292589249221894</v>
      </c>
      <c r="I94" s="87">
        <v>0.0075</v>
      </c>
      <c r="J94" s="3"/>
      <c r="K94" s="3"/>
      <c r="L94" s="3"/>
    </row>
    <row r="95">
      <c r="A95" s="3"/>
      <c r="B95" s="49" t="s">
        <v>89</v>
      </c>
      <c r="C95" s="89" t="s">
        <v>39</v>
      </c>
      <c r="D95" s="89">
        <f>IFERROR((D94-C94)*10000,"n/a")</f>
        <v>-10.350960250508122</v>
      </c>
      <c r="E95" s="89">
        <f>IFERROR((E94-D94)*10000,"n/a")</f>
        <v>49.5052669112236</v>
      </c>
      <c r="F95" s="89">
        <f>IFERROR((F94-E94)*10000,"n/a")</f>
        <v>-10.524847353874568</v>
      </c>
      <c r="G95" s="89"/>
      <c r="H95" s="89">
        <f>IFERROR((H94-F94)*10000,"n/a")</f>
        <v>1.511656093470138</v>
      </c>
      <c r="I95" s="88">
        <f>IFERROR((I94-H94)*10000,"n/a")</f>
        <v>-7.925892492218947</v>
      </c>
      <c r="J95" s="3"/>
      <c r="K95" s="3"/>
      <c r="L95" s="3"/>
    </row>
    <row r="96">
      <c r="A96" s="3"/>
      <c r="B96" s="49" t="s">
        <v>90</v>
      </c>
      <c r="C96" s="89" t="s">
        <v>39</v>
      </c>
      <c r="D96" s="89" t="s">
        <v>39</v>
      </c>
      <c r="E96" s="89" t="s">
        <v>39</v>
      </c>
      <c r="F96" s="89" t="s">
        <v>39</v>
      </c>
      <c r="G96" s="89" t="s">
        <v>39</v>
      </c>
      <c r="H96" s="89">
        <f>IFERROR((H94-C94)*10000,"n/a")</f>
        <v>30.141115400311048</v>
      </c>
      <c r="I96" s="88">
        <f>IFERROR((I94-D94)*10000,"n/a")</f>
        <v>32.566183158600225</v>
      </c>
      <c r="J96" s="3"/>
      <c r="K96" s="3"/>
      <c r="L96" s="3"/>
    </row>
    <row r="97">
      <c r="A97" s="3"/>
      <c r="B97" s="3"/>
      <c r="C97" s="11"/>
      <c r="D97" s="11"/>
      <c r="E97" s="11"/>
      <c r="F97" s="11"/>
      <c r="G97" s="11"/>
      <c r="H97" s="11"/>
      <c r="I97" s="74"/>
      <c r="J97" s="3"/>
      <c r="K97" s="3"/>
      <c r="L97" s="3"/>
    </row>
    <row r="98">
      <c r="A98" s="3"/>
      <c r="B98" s="30" t="s">
        <v>111</v>
      </c>
      <c r="C98" s="39"/>
      <c r="D98" s="39"/>
      <c r="E98" s="39"/>
      <c r="F98" s="39"/>
      <c r="G98" s="39"/>
      <c r="H98" s="39"/>
      <c r="I98" s="66"/>
      <c r="J98" s="3"/>
      <c r="K98" s="3"/>
      <c r="L98" s="3"/>
    </row>
    <row r="99">
      <c r="A99" s="3"/>
      <c r="B99" s="46" t="s">
        <v>112</v>
      </c>
      <c r="C99" s="62">
        <v>25.464663</v>
      </c>
      <c r="D99" s="62">
        <v>23.697449</v>
      </c>
      <c r="E99" s="62">
        <v>23.373796</v>
      </c>
      <c r="F99" s="62">
        <v>23.525328</v>
      </c>
      <c r="G99" s="44">
        <f>SUM(C99:F99)</f>
        <v>96.061236</v>
      </c>
      <c r="H99" s="62">
        <v>26.005778</v>
      </c>
      <c r="I99" s="40">
        <f>I41*H99/H155</f>
        <v>26.51039410950899</v>
      </c>
      <c r="J99" s="3"/>
      <c r="K99" s="3"/>
      <c r="L99" s="3"/>
    </row>
    <row r="100">
      <c r="A100" s="3"/>
      <c r="B100" s="49" t="s">
        <v>113</v>
      </c>
      <c r="C100" s="29" t="s">
        <v>39</v>
      </c>
      <c r="D100" s="29" t="s">
        <v>39</v>
      </c>
      <c r="E100" s="29" t="s">
        <v>39</v>
      </c>
      <c r="F100" s="29" t="s">
        <v>39</v>
      </c>
      <c r="G100" s="29" t="s">
        <v>39</v>
      </c>
      <c r="H100" s="29">
        <f>IFERROR(H99/C99-1,"n/a")</f>
        <v>0.021249643083829373</v>
      </c>
      <c r="I100" s="42">
        <f>IFERROR(I99/D99-1,"n/a")</f>
        <v>0.11870244385836592</v>
      </c>
      <c r="J100" s="3"/>
      <c r="K100" s="3"/>
      <c r="L100" s="3"/>
    </row>
    <row r="101">
      <c r="A101" s="3"/>
      <c r="B101" s="49" t="s">
        <v>114</v>
      </c>
      <c r="C101" s="29" t="s">
        <v>39</v>
      </c>
      <c r="D101" s="29">
        <f>IFERROR(D99/C99-1,"n/a")</f>
        <v>-0.06939868004536331</v>
      </c>
      <c r="E101" s="29">
        <f>IFERROR(E99/D99-1,"n/a")</f>
        <v>-0.013657714802973064</v>
      </c>
      <c r="F101" s="29">
        <f>IFERROR(F99/E99-1,"n/a")</f>
        <v>0.006482986332215779</v>
      </c>
      <c r="G101" s="29"/>
      <c r="H101" s="29">
        <f>IFERROR(H99/F99-1,"n/a")</f>
        <v>0.10543742471943429</v>
      </c>
      <c r="I101" s="42">
        <f>IFERROR(I99/H99-1,"n/a")</f>
        <v>0.0194039997384039</v>
      </c>
      <c r="J101" s="3"/>
      <c r="K101" s="3"/>
      <c r="L101" s="3"/>
    </row>
    <row r="102">
      <c r="A102" s="3"/>
      <c r="B102" s="49" t="s">
        <v>115</v>
      </c>
      <c r="C102" s="29">
        <f>IFERROR(C99/C211,"n/a")</f>
        <v>0.787925516738541</v>
      </c>
      <c r="D102" s="29">
        <f>IFERROR(D99/D211,"n/a")</f>
        <v>0.7737751518689041</v>
      </c>
      <c r="E102" s="29">
        <f>IFERROR(E99/E211,"n/a")</f>
        <v>0.7386126682816178</v>
      </c>
      <c r="F102" s="29">
        <f>IFERROR(F99/F211,"n/a")</f>
        <v>0.7558823535081867</v>
      </c>
      <c r="G102" s="29">
        <f>IFERROR(G99/G211,"n/a")</f>
        <v>0.7641318059018185</v>
      </c>
      <c r="H102" s="29">
        <f>IFERROR(H99/H211,"n/a")</f>
        <v>0.8449764880669527</v>
      </c>
      <c r="I102" s="42">
        <f>IFERROR(I99/I211,"n/a")</f>
        <v>0.8456178670680597</v>
      </c>
      <c r="J102" s="3"/>
      <c r="K102" s="3"/>
      <c r="L102" s="3"/>
    </row>
    <row r="103">
      <c r="A103" s="3"/>
      <c r="B103" s="49" t="s">
        <v>116</v>
      </c>
      <c r="C103" s="29" t="s">
        <v>39</v>
      </c>
      <c r="D103" s="29" t="s">
        <v>39</v>
      </c>
      <c r="E103" s="29" t="s">
        <v>39</v>
      </c>
      <c r="F103" s="29" t="s">
        <v>39</v>
      </c>
      <c r="G103" s="29" t="s">
        <v>39</v>
      </c>
      <c r="H103" s="29" t="str">
        <f>IF(AND(ISNUMBER(H100),ISNUMBER(H104),ISNUMBER(H105)),(1+H100)/((1+H104)*(1+H105))-1,"n/a")</f>
        <v>n/a</v>
      </c>
      <c r="I103" s="42" t="str">
        <f>IF(AND(ISNUMBER(I100),ISNUMBER(I104),ISNUMBER(I105)),(1+I100)/((1+I104)*(1+I105))-1,"n/a")</f>
        <v>n/a</v>
      </c>
      <c r="J103" s="3"/>
      <c r="K103" s="3"/>
      <c r="L103" s="3"/>
    </row>
    <row r="104">
      <c r="A104" s="3"/>
      <c r="B104" s="49" t="s">
        <v>117</v>
      </c>
      <c r="C104" s="29" t="s">
        <v>39</v>
      </c>
      <c r="D104" s="29" t="s">
        <v>39</v>
      </c>
      <c r="E104" s="29" t="s">
        <v>39</v>
      </c>
      <c r="F104" s="29" t="s">
        <v>39</v>
      </c>
      <c r="G104" s="29" t="s">
        <v>39</v>
      </c>
      <c r="H104" s="29" t="s">
        <v>39</v>
      </c>
      <c r="I104" s="42" t="s">
        <v>39</v>
      </c>
      <c r="J104" s="3"/>
      <c r="K104" s="3"/>
      <c r="L104" s="3"/>
    </row>
    <row r="105">
      <c r="A105" s="3"/>
      <c r="B105" s="49" t="s">
        <v>118</v>
      </c>
      <c r="C105" s="29" t="s">
        <v>39</v>
      </c>
      <c r="D105" s="29" t="s">
        <v>39</v>
      </c>
      <c r="E105" s="29" t="s">
        <v>39</v>
      </c>
      <c r="F105" s="29" t="s">
        <v>39</v>
      </c>
      <c r="G105" s="29" t="s">
        <v>39</v>
      </c>
      <c r="H105" s="29" t="s">
        <v>39</v>
      </c>
      <c r="I105" s="42" t="s">
        <v>39</v>
      </c>
      <c r="J105" s="3"/>
      <c r="K105" s="3"/>
      <c r="L105" s="3"/>
    </row>
    <row r="106">
      <c r="A106" s="3"/>
      <c r="B106" s="46" t="s">
        <v>119</v>
      </c>
      <c r="C106" s="62">
        <v>0.595624</v>
      </c>
      <c r="D106" s="62">
        <v>0.684587</v>
      </c>
      <c r="E106" s="62">
        <v>0.687188</v>
      </c>
      <c r="F106" s="62">
        <v>0.686621</v>
      </c>
      <c r="G106" s="44">
        <f>SUM(C106:F106)</f>
        <v>2.65402</v>
      </c>
      <c r="H106" s="62">
        <v>0.726094</v>
      </c>
      <c r="I106" s="40">
        <f>I41*H106/H155</f>
        <v>0.7401831277860567</v>
      </c>
      <c r="J106" s="3"/>
      <c r="K106" s="3"/>
      <c r="L106" s="3"/>
    </row>
    <row r="107">
      <c r="A107" s="3"/>
      <c r="B107" s="49" t="s">
        <v>113</v>
      </c>
      <c r="C107" s="29" t="s">
        <v>39</v>
      </c>
      <c r="D107" s="29" t="s">
        <v>39</v>
      </c>
      <c r="E107" s="29" t="s">
        <v>39</v>
      </c>
      <c r="F107" s="29" t="s">
        <v>39</v>
      </c>
      <c r="G107" s="29" t="s">
        <v>39</v>
      </c>
      <c r="H107" s="29">
        <f>IFERROR(H106/C106-1,"n/a")</f>
        <v>0.2190475870683517</v>
      </c>
      <c r="I107" s="42">
        <f>IFERROR(I106/D106-1,"n/a")</f>
        <v>0.08121119417408851</v>
      </c>
      <c r="J107" s="3"/>
      <c r="K107" s="3"/>
      <c r="L107" s="3"/>
    </row>
    <row r="108">
      <c r="A108" s="3"/>
      <c r="B108" s="49" t="s">
        <v>114</v>
      </c>
      <c r="C108" s="29" t="s">
        <v>39</v>
      </c>
      <c r="D108" s="29">
        <f>IFERROR(D106/C106-1,"n/a")</f>
        <v>0.14936100627241333</v>
      </c>
      <c r="E108" s="29">
        <f>IFERROR(E106/D106-1,"n/a")</f>
        <v>0.003799371007629615</v>
      </c>
      <c r="F108" s="29">
        <f>IFERROR(F106/E106-1,"n/a")</f>
        <v>-0.0008251017188891652</v>
      </c>
      <c r="G108" s="29"/>
      <c r="H108" s="29">
        <f>IFERROR(H106/F106-1,"n/a")</f>
        <v>0.05748877473890257</v>
      </c>
      <c r="I108" s="42">
        <f>IFERROR(I106/H106-1,"n/a")</f>
        <v>0.0194039997384039</v>
      </c>
      <c r="J108" s="3"/>
      <c r="K108" s="3"/>
      <c r="L108" s="3"/>
    </row>
    <row r="109">
      <c r="A109" s="3"/>
      <c r="B109" s="49" t="s">
        <v>115</v>
      </c>
      <c r="C109" s="29">
        <f>IFERROR(C106/C211,"n/a")</f>
        <v>0.018429749020510377</v>
      </c>
      <c r="D109" s="29">
        <f>IFERROR(D106/D211,"n/a")</f>
        <v>0.022353309417080185</v>
      </c>
      <c r="E109" s="29">
        <f>IFERROR(E106/E211,"n/a")</f>
        <v>0.02171516181159057</v>
      </c>
      <c r="F109" s="29">
        <f>IFERROR(F106/F211,"n/a")</f>
        <v>0.022061528640456986</v>
      </c>
      <c r="G109" s="29">
        <f>IFERROR(G106/G211,"n/a")</f>
        <v>0.021111753085287642</v>
      </c>
      <c r="H109" s="29">
        <f>IFERROR(H106/H211,"n/a")</f>
        <v>0.023592155486618627</v>
      </c>
      <c r="I109" s="42">
        <f>IFERROR(I106/I211,"n/a")</f>
        <v>0.023610063101012234</v>
      </c>
      <c r="J109" s="3"/>
      <c r="K109" s="3"/>
      <c r="L109" s="3"/>
    </row>
    <row r="110">
      <c r="A110" s="3"/>
      <c r="B110" s="49" t="s">
        <v>116</v>
      </c>
      <c r="C110" s="29" t="s">
        <v>39</v>
      </c>
      <c r="D110" s="29" t="s">
        <v>39</v>
      </c>
      <c r="E110" s="29" t="s">
        <v>39</v>
      </c>
      <c r="F110" s="29" t="s">
        <v>39</v>
      </c>
      <c r="G110" s="29" t="s">
        <v>39</v>
      </c>
      <c r="H110" s="29" t="str">
        <f>IF(AND(ISNUMBER(H107),ISNUMBER(H111),ISNUMBER(H112)),(1+H107)/((1+H111)*(1+H112))-1,"n/a")</f>
        <v>n/a</v>
      </c>
      <c r="I110" s="42" t="str">
        <f>IF(AND(ISNUMBER(I107),ISNUMBER(I111),ISNUMBER(I112)),(1+I107)/((1+I111)*(1+I112))-1,"n/a")</f>
        <v>n/a</v>
      </c>
      <c r="J110" s="3"/>
      <c r="K110" s="3"/>
      <c r="L110" s="3"/>
    </row>
    <row r="111">
      <c r="A111" s="3"/>
      <c r="B111" s="49" t="s">
        <v>117</v>
      </c>
      <c r="C111" s="29" t="s">
        <v>39</v>
      </c>
      <c r="D111" s="29" t="s">
        <v>39</v>
      </c>
      <c r="E111" s="29" t="s">
        <v>39</v>
      </c>
      <c r="F111" s="29" t="s">
        <v>39</v>
      </c>
      <c r="G111" s="29" t="s">
        <v>39</v>
      </c>
      <c r="H111" s="29" t="s">
        <v>39</v>
      </c>
      <c r="I111" s="42" t="s">
        <v>39</v>
      </c>
      <c r="J111" s="3"/>
      <c r="K111" s="3"/>
      <c r="L111" s="3"/>
    </row>
    <row r="112">
      <c r="A112" s="3"/>
      <c r="B112" s="49" t="s">
        <v>118</v>
      </c>
      <c r="C112" s="29" t="s">
        <v>39</v>
      </c>
      <c r="D112" s="29" t="s">
        <v>39</v>
      </c>
      <c r="E112" s="29" t="s">
        <v>39</v>
      </c>
      <c r="F112" s="29" t="s">
        <v>39</v>
      </c>
      <c r="G112" s="29" t="s">
        <v>39</v>
      </c>
      <c r="H112" s="29" t="s">
        <v>39</v>
      </c>
      <c r="I112" s="42" t="s">
        <v>39</v>
      </c>
      <c r="J112" s="3"/>
      <c r="K112" s="3"/>
      <c r="L112" s="3"/>
    </row>
    <row r="113">
      <c r="A113" s="3"/>
      <c r="B113" s="46" t="s">
        <v>120</v>
      </c>
      <c r="C113" s="62">
        <v>1.190661</v>
      </c>
      <c r="D113" s="62">
        <v>1.191555</v>
      </c>
      <c r="E113" s="62">
        <v>1.92725</v>
      </c>
      <c r="F113" s="62">
        <v>0.867477</v>
      </c>
      <c r="G113" s="44">
        <f>SUM(C113:F113)</f>
        <v>5.176943</v>
      </c>
      <c r="H113" s="62">
        <v>0.686716</v>
      </c>
      <c r="I113" s="40">
        <f>I41*H113/H155</f>
        <v>0.7000410370843578</v>
      </c>
      <c r="J113" s="3"/>
      <c r="K113" s="3"/>
      <c r="L113" s="3"/>
    </row>
    <row r="114">
      <c r="A114" s="3"/>
      <c r="B114" s="49" t="s">
        <v>113</v>
      </c>
      <c r="C114" s="29" t="s">
        <v>39</v>
      </c>
      <c r="D114" s="29" t="s">
        <v>39</v>
      </c>
      <c r="E114" s="29" t="s">
        <v>39</v>
      </c>
      <c r="F114" s="29" t="s">
        <v>39</v>
      </c>
      <c r="G114" s="29" t="s">
        <v>39</v>
      </c>
      <c r="H114" s="29">
        <f>IFERROR(H113/C113-1,"n/a")</f>
        <v>-0.42324809496573756</v>
      </c>
      <c r="I114" s="42">
        <f>IFERROR(I113/D113-1,"n/a")</f>
        <v>-0.41249792323110734</v>
      </c>
      <c r="J114" s="3"/>
      <c r="K114" s="3"/>
      <c r="L114" s="3"/>
    </row>
    <row r="115">
      <c r="A115" s="3"/>
      <c r="B115" s="49" t="s">
        <v>114</v>
      </c>
      <c r="C115" s="29" t="s">
        <v>39</v>
      </c>
      <c r="D115" s="29">
        <f>IFERROR(D113/C113-1,"n/a")</f>
        <v>0.000750843439064397</v>
      </c>
      <c r="E115" s="29">
        <f>IFERROR(E113/D113-1,"n/a")</f>
        <v>0.6174242901083038</v>
      </c>
      <c r="F115" s="29">
        <f>IFERROR(F113/E113-1,"n/a")</f>
        <v>-0.5498887015177065</v>
      </c>
      <c r="G115" s="29"/>
      <c r="H115" s="29">
        <f>IFERROR(H113/F113-1,"n/a")</f>
        <v>-0.2083755534728875</v>
      </c>
      <c r="I115" s="42">
        <f>IFERROR(I113/H113-1,"n/a")</f>
        <v>0.0194039997384039</v>
      </c>
      <c r="J115" s="3"/>
      <c r="K115" s="3"/>
      <c r="L115" s="3"/>
    </row>
    <row r="116">
      <c r="A116" s="3"/>
      <c r="B116" s="49" t="s">
        <v>115</v>
      </c>
      <c r="C116" s="29">
        <f>IFERROR(C113/C211,"n/a")</f>
        <v>0.03684133513510185</v>
      </c>
      <c r="D116" s="29">
        <f>IFERROR(D113/D211,"n/a")</f>
        <v>0.038906957921299966</v>
      </c>
      <c r="E116" s="29">
        <f>IFERROR(E113/E211,"n/a")</f>
        <v>0.06090115892796138</v>
      </c>
      <c r="F116" s="29">
        <f>IFERROR(F113/F211,"n/a")</f>
        <v>0.02787253620328785</v>
      </c>
      <c r="G116" s="29">
        <f>IFERROR(G113/G211,"n/a")</f>
        <v>0.04118067774644059</v>
      </c>
      <c r="H116" s="29">
        <f>IFERROR(H113/H211,"n/a")</f>
        <v>0.022312690432848635</v>
      </c>
      <c r="I116" s="42">
        <f>IFERROR(I113/I211,"n/a")</f>
        <v>0.02232962686990213</v>
      </c>
      <c r="J116" s="3"/>
      <c r="K116" s="3"/>
      <c r="L116" s="3"/>
    </row>
    <row r="117">
      <c r="A117" s="3"/>
      <c r="B117" s="49" t="s">
        <v>116</v>
      </c>
      <c r="C117" s="29" t="s">
        <v>39</v>
      </c>
      <c r="D117" s="29" t="s">
        <v>39</v>
      </c>
      <c r="E117" s="29" t="s">
        <v>39</v>
      </c>
      <c r="F117" s="29" t="s">
        <v>39</v>
      </c>
      <c r="G117" s="29" t="s">
        <v>39</v>
      </c>
      <c r="H117" s="29" t="str">
        <f>IF(AND(ISNUMBER(H114),ISNUMBER(H118),ISNUMBER(H119)),(1+H114)/((1+H118)*(1+H119))-1,"n/a")</f>
        <v>n/a</v>
      </c>
      <c r="I117" s="42" t="str">
        <f>IF(AND(ISNUMBER(I114),ISNUMBER(I118),ISNUMBER(I119)),(1+I114)/((1+I118)*(1+I119))-1,"n/a")</f>
        <v>n/a</v>
      </c>
      <c r="J117" s="3"/>
      <c r="K117" s="3"/>
      <c r="L117" s="3"/>
    </row>
    <row r="118">
      <c r="A118" s="3"/>
      <c r="B118" s="49" t="s">
        <v>117</v>
      </c>
      <c r="C118" s="29" t="s">
        <v>39</v>
      </c>
      <c r="D118" s="29" t="s">
        <v>39</v>
      </c>
      <c r="E118" s="29" t="s">
        <v>39</v>
      </c>
      <c r="F118" s="29" t="s">
        <v>39</v>
      </c>
      <c r="G118" s="29" t="s">
        <v>39</v>
      </c>
      <c r="H118" s="29" t="s">
        <v>39</v>
      </c>
      <c r="I118" s="42" t="s">
        <v>39</v>
      </c>
      <c r="J118" s="3"/>
      <c r="K118" s="3"/>
      <c r="L118" s="3"/>
    </row>
    <row r="119">
      <c r="A119" s="3"/>
      <c r="B119" s="49" t="s">
        <v>118</v>
      </c>
      <c r="C119" s="29" t="s">
        <v>39</v>
      </c>
      <c r="D119" s="29" t="s">
        <v>39</v>
      </c>
      <c r="E119" s="29" t="s">
        <v>39</v>
      </c>
      <c r="F119" s="29" t="s">
        <v>39</v>
      </c>
      <c r="G119" s="29" t="s">
        <v>39</v>
      </c>
      <c r="H119" s="29" t="s">
        <v>39</v>
      </c>
      <c r="I119" s="42" t="s">
        <v>39</v>
      </c>
      <c r="J119" s="3"/>
      <c r="K119" s="3"/>
      <c r="L119" s="3"/>
    </row>
    <row r="120">
      <c r="A120" s="3"/>
      <c r="B120" s="30" t="s">
        <v>121</v>
      </c>
      <c r="C120" s="68">
        <f>C99+C106+C113</f>
        <v>27.250948</v>
      </c>
      <c r="D120" s="68">
        <f>D99+D106+D113</f>
        <v>25.573591</v>
      </c>
      <c r="E120" s="68">
        <f>E99+E106+E113</f>
        <v>25.988234</v>
      </c>
      <c r="F120" s="68">
        <f>F99+F106+F113</f>
        <v>25.079425999999998</v>
      </c>
      <c r="G120" s="68">
        <f>G99+G106+G113</f>
        <v>103.89219899999999</v>
      </c>
      <c r="H120" s="68">
        <f>H99+H106+H113</f>
        <v>27.418588</v>
      </c>
      <c r="I120" s="78">
        <f>I99+I106+I113</f>
        <v>27.950618274379405</v>
      </c>
      <c r="J120" s="3"/>
      <c r="K120" s="3"/>
      <c r="L120" s="3"/>
    </row>
    <row r="121">
      <c r="A121" s="3"/>
      <c r="B121" s="49" t="s">
        <v>113</v>
      </c>
      <c r="C121" s="29" t="s">
        <v>39</v>
      </c>
      <c r="D121" s="29" t="s">
        <v>39</v>
      </c>
      <c r="E121" s="29" t="s">
        <v>39</v>
      </c>
      <c r="F121" s="29" t="s">
        <v>39</v>
      </c>
      <c r="G121" s="29" t="s">
        <v>39</v>
      </c>
      <c r="H121" s="29">
        <f>IFERROR(H120/C120-1,"n/a")</f>
        <v>0.006151712593631453</v>
      </c>
      <c r="I121" s="42">
        <f>IFERROR(I120/D120-1,"n/a")</f>
        <v>0.09294851373744906</v>
      </c>
      <c r="J121" s="3"/>
      <c r="K121" s="3"/>
      <c r="L121" s="3"/>
    </row>
    <row r="122">
      <c r="A122" s="3"/>
      <c r="B122" s="49" t="s">
        <v>114</v>
      </c>
      <c r="C122" s="29" t="s">
        <v>39</v>
      </c>
      <c r="D122" s="29">
        <f>IFERROR(D120/C120-1,"n/a")</f>
        <v>-0.061552243980649846</v>
      </c>
      <c r="E122" s="29">
        <f>IFERROR(E120/D120-1,"n/a")</f>
        <v>0.016213718284616263</v>
      </c>
      <c r="F122" s="29">
        <f>IFERROR(F120/E120-1,"n/a")</f>
        <v>-0.034969979106698856</v>
      </c>
      <c r="G122" s="29"/>
      <c r="H122" s="29">
        <f>IFERROR(H120/F120-1,"n/a")</f>
        <v>0.09327015698046681</v>
      </c>
      <c r="I122" s="42">
        <f>IFERROR(I120/H120-1,"n/a")</f>
        <v>0.0194039997384039</v>
      </c>
      <c r="J122" s="3"/>
      <c r="K122" s="3"/>
      <c r="L122" s="3"/>
    </row>
    <row r="123">
      <c r="A123" s="3"/>
      <c r="B123" s="49" t="s">
        <v>115</v>
      </c>
      <c r="C123" s="29">
        <f>IFERROR(C120/C211,"n/a")</f>
        <v>0.8431966008941533</v>
      </c>
      <c r="D123" s="29">
        <f>IFERROR(D120/D211,"n/a")</f>
        <v>0.8350354192072843</v>
      </c>
      <c r="E123" s="29">
        <f>IFERROR(E120/E211,"n/a")</f>
        <v>0.8212289890211697</v>
      </c>
      <c r="F123" s="29">
        <f>IFERROR(F120/F211,"n/a")</f>
        <v>0.8058164183519315</v>
      </c>
      <c r="G123" s="29">
        <f>IFERROR(G120/G211,"n/a")</f>
        <v>0.8264242367335467</v>
      </c>
      <c r="H123" s="29">
        <f>IFERROR(H120/H211,"n/a")</f>
        <v>0.89088133398642</v>
      </c>
      <c r="I123" s="42">
        <f>IFERROR(I120/I211,"n/a")</f>
        <v>0.8915575570389741</v>
      </c>
      <c r="J123" s="3"/>
      <c r="K123" s="3"/>
      <c r="L123" s="3"/>
    </row>
    <row r="124">
      <c r="A124" s="3"/>
      <c r="B124" s="49" t="s">
        <v>116</v>
      </c>
      <c r="C124" s="29" t="s">
        <v>39</v>
      </c>
      <c r="D124" s="29" t="s">
        <v>39</v>
      </c>
      <c r="E124" s="29" t="s">
        <v>39</v>
      </c>
      <c r="F124" s="29" t="s">
        <v>39</v>
      </c>
      <c r="G124" s="29" t="s">
        <v>39</v>
      </c>
      <c r="H124" s="29" t="str">
        <f>IF(AND(ISNUMBER(H121),ISNUMBER(H125),ISNUMBER(H126)),(1+H121)/((1+H125)*(1+H126))-1,"n/a")</f>
        <v>n/a</v>
      </c>
      <c r="I124" s="42" t="str">
        <f>IF(AND(ISNUMBER(I121),ISNUMBER(I125),ISNUMBER(I126)),(1+I121)/((1+I125)*(1+I126))-1,"n/a")</f>
        <v>n/a</v>
      </c>
      <c r="J124" s="3"/>
      <c r="K124" s="3"/>
      <c r="L124" s="3"/>
    </row>
    <row r="125">
      <c r="A125" s="3"/>
      <c r="B125" s="49" t="s">
        <v>117</v>
      </c>
      <c r="C125" s="29" t="s">
        <v>39</v>
      </c>
      <c r="D125" s="29" t="s">
        <v>39</v>
      </c>
      <c r="E125" s="29" t="s">
        <v>39</v>
      </c>
      <c r="F125" s="29" t="s">
        <v>39</v>
      </c>
      <c r="G125" s="29" t="s">
        <v>39</v>
      </c>
      <c r="H125" s="29" t="s">
        <v>39</v>
      </c>
      <c r="I125" s="42" t="s">
        <v>39</v>
      </c>
      <c r="J125" s="3"/>
      <c r="K125" s="3"/>
      <c r="L125" s="3"/>
    </row>
    <row r="126">
      <c r="A126" s="3"/>
      <c r="B126" s="49" t="s">
        <v>118</v>
      </c>
      <c r="C126" s="29" t="s">
        <v>39</v>
      </c>
      <c r="D126" s="29" t="s">
        <v>39</v>
      </c>
      <c r="E126" s="29" t="s">
        <v>39</v>
      </c>
      <c r="F126" s="29" t="s">
        <v>39</v>
      </c>
      <c r="G126" s="29" t="s">
        <v>39</v>
      </c>
      <c r="H126" s="29" t="s">
        <v>39</v>
      </c>
      <c r="I126" s="42" t="s">
        <v>39</v>
      </c>
      <c r="J126" s="3"/>
      <c r="K126" s="3"/>
      <c r="L126" s="3"/>
    </row>
    <row r="127">
      <c r="A127" s="3"/>
      <c r="B127" s="46" t="s">
        <v>122</v>
      </c>
      <c r="C127" s="62">
        <v>0.168229</v>
      </c>
      <c r="D127" s="62">
        <v>0.121084</v>
      </c>
      <c r="E127" s="62">
        <v>0.11021</v>
      </c>
      <c r="F127" s="62">
        <v>0.171561</v>
      </c>
      <c r="G127" s="44">
        <f>SUM(C127:F127)</f>
        <v>0.5710839999999999</v>
      </c>
      <c r="H127" s="62">
        <v>0.173291</v>
      </c>
      <c r="I127" s="40">
        <f>I41*H127/H155</f>
        <v>0.17665353851866777</v>
      </c>
      <c r="J127" s="3"/>
      <c r="K127" s="3"/>
      <c r="L127" s="3"/>
    </row>
    <row r="128">
      <c r="A128" s="3"/>
      <c r="B128" s="49" t="s">
        <v>113</v>
      </c>
      <c r="C128" s="29" t="s">
        <v>39</v>
      </c>
      <c r="D128" s="29" t="s">
        <v>39</v>
      </c>
      <c r="E128" s="29" t="s">
        <v>39</v>
      </c>
      <c r="F128" s="29" t="s">
        <v>39</v>
      </c>
      <c r="G128" s="29" t="s">
        <v>39</v>
      </c>
      <c r="H128" s="29">
        <f>IFERROR(H127/C127-1,"n/a")</f>
        <v>0.030089936931206873</v>
      </c>
      <c r="I128" s="42">
        <f>IFERROR(I127/D127-1,"n/a")</f>
        <v>0.45893378579058974</v>
      </c>
      <c r="J128" s="3"/>
      <c r="K128" s="3"/>
      <c r="L128" s="3"/>
    </row>
    <row r="129">
      <c r="A129" s="3"/>
      <c r="B129" s="49" t="s">
        <v>114</v>
      </c>
      <c r="C129" s="29" t="s">
        <v>39</v>
      </c>
      <c r="D129" s="29">
        <f>IFERROR(D127/C127-1,"n/a")</f>
        <v>-0.2802430020983302</v>
      </c>
      <c r="E129" s="29">
        <f>IFERROR(E127/D127-1,"n/a")</f>
        <v>-0.08980542433352046</v>
      </c>
      <c r="F129" s="29">
        <f>IFERROR(F127/E127-1,"n/a")</f>
        <v>0.5566736230832048</v>
      </c>
      <c r="G129" s="29"/>
      <c r="H129" s="29">
        <f>IFERROR(H127/F127-1,"n/a")</f>
        <v>0.010083876871783248</v>
      </c>
      <c r="I129" s="42">
        <f>IFERROR(I127/H127-1,"n/a")</f>
        <v>0.01940399973840412</v>
      </c>
      <c r="J129" s="3"/>
      <c r="K129" s="3"/>
      <c r="L129" s="3"/>
    </row>
    <row r="130">
      <c r="A130" s="3"/>
      <c r="B130" s="49" t="s">
        <v>115</v>
      </c>
      <c r="C130" s="29">
        <f>IFERROR(C127/C211,"n/a")</f>
        <v>0.005205327938383006</v>
      </c>
      <c r="D130" s="29">
        <f>IFERROR(D127/D211,"n/a")</f>
        <v>0.0039536656662451045</v>
      </c>
      <c r="E130" s="29">
        <f>IFERROR(E127/E211,"n/a")</f>
        <v>0.0034826393698018546</v>
      </c>
      <c r="F130" s="29">
        <f>IFERROR(F127/F211,"n/a")</f>
        <v>0.005512353853269039</v>
      </c>
      <c r="G130" s="29">
        <f>IFERROR(G127/G211,"n/a")</f>
        <v>0.004542763204104869</v>
      </c>
      <c r="H130" s="29">
        <f>IFERROR(H127/H211,"n/a")</f>
        <v>0.005630549510712977</v>
      </c>
      <c r="I130" s="42">
        <f>IFERROR(I127/I211,"n/a")</f>
        <v>0.005634823376639266</v>
      </c>
      <c r="J130" s="3"/>
      <c r="K130" s="3"/>
      <c r="L130" s="3"/>
    </row>
    <row r="131">
      <c r="A131" s="3"/>
      <c r="B131" s="49" t="s">
        <v>116</v>
      </c>
      <c r="C131" s="29" t="s">
        <v>39</v>
      </c>
      <c r="D131" s="29" t="s">
        <v>39</v>
      </c>
      <c r="E131" s="29" t="s">
        <v>39</v>
      </c>
      <c r="F131" s="29" t="s">
        <v>39</v>
      </c>
      <c r="G131" s="29" t="s">
        <v>39</v>
      </c>
      <c r="H131" s="29" t="str">
        <f>IF(AND(ISNUMBER(H128),ISNUMBER(H132),ISNUMBER(H133)),(1+H128)/((1+H132)*(1+H133))-1,"n/a")</f>
        <v>n/a</v>
      </c>
      <c r="I131" s="42" t="str">
        <f>IF(AND(ISNUMBER(I128),ISNUMBER(I132),ISNUMBER(I133)),(1+I128)/((1+I132)*(1+I133))-1,"n/a")</f>
        <v>n/a</v>
      </c>
      <c r="J131" s="3"/>
      <c r="K131" s="3"/>
      <c r="L131" s="3"/>
    </row>
    <row r="132">
      <c r="A132" s="3"/>
      <c r="B132" s="49" t="s">
        <v>117</v>
      </c>
      <c r="C132" s="29" t="s">
        <v>39</v>
      </c>
      <c r="D132" s="29" t="s">
        <v>39</v>
      </c>
      <c r="E132" s="29" t="s">
        <v>39</v>
      </c>
      <c r="F132" s="29" t="s">
        <v>39</v>
      </c>
      <c r="G132" s="29" t="s">
        <v>39</v>
      </c>
      <c r="H132" s="29" t="s">
        <v>39</v>
      </c>
      <c r="I132" s="42" t="s">
        <v>39</v>
      </c>
      <c r="J132" s="3"/>
      <c r="K132" s="3"/>
      <c r="L132" s="3"/>
    </row>
    <row r="133">
      <c r="A133" s="3"/>
      <c r="B133" s="49" t="s">
        <v>118</v>
      </c>
      <c r="C133" s="29" t="s">
        <v>39</v>
      </c>
      <c r="D133" s="29" t="s">
        <v>39</v>
      </c>
      <c r="E133" s="29" t="s">
        <v>39</v>
      </c>
      <c r="F133" s="29" t="s">
        <v>39</v>
      </c>
      <c r="G133" s="29" t="s">
        <v>39</v>
      </c>
      <c r="H133" s="29" t="s">
        <v>39</v>
      </c>
      <c r="I133" s="42" t="s">
        <v>39</v>
      </c>
      <c r="J133" s="3"/>
      <c r="K133" s="3"/>
      <c r="L133" s="3"/>
    </row>
    <row r="134">
      <c r="A134" s="3"/>
      <c r="B134" s="46" t="s">
        <v>123</v>
      </c>
      <c r="C134" s="62">
        <v>0.584749</v>
      </c>
      <c r="D134" s="62">
        <v>0.60488</v>
      </c>
      <c r="E134" s="62">
        <v>0.604628</v>
      </c>
      <c r="F134" s="62">
        <v>0.519757</v>
      </c>
      <c r="G134" s="44">
        <f>SUM(C134:F134)</f>
        <v>2.3140140000000002</v>
      </c>
      <c r="H134" s="62">
        <v>0.50361</v>
      </c>
      <c r="I134" s="40">
        <f>I41*H134/H155</f>
        <v>0.5133820483082576</v>
      </c>
      <c r="J134" s="3"/>
      <c r="K134" s="3"/>
      <c r="L134" s="3"/>
    </row>
    <row r="135">
      <c r="A135" s="3"/>
      <c r="B135" s="49" t="s">
        <v>113</v>
      </c>
      <c r="C135" s="29" t="s">
        <v>39</v>
      </c>
      <c r="D135" s="29" t="s">
        <v>39</v>
      </c>
      <c r="E135" s="29" t="s">
        <v>39</v>
      </c>
      <c r="F135" s="29" t="s">
        <v>39</v>
      </c>
      <c r="G135" s="29" t="s">
        <v>39</v>
      </c>
      <c r="H135" s="29">
        <f>IFERROR(H134/C134-1,"n/a")</f>
        <v>-0.1387586810751279</v>
      </c>
      <c r="I135" s="42">
        <f>IFERROR(I134/D134-1,"n/a")</f>
        <v>-0.15126628701848688</v>
      </c>
      <c r="J135" s="3"/>
      <c r="K135" s="3"/>
      <c r="L135" s="3"/>
    </row>
    <row r="136">
      <c r="A136" s="3"/>
      <c r="B136" s="49" t="s">
        <v>114</v>
      </c>
      <c r="C136" s="29" t="s">
        <v>39</v>
      </c>
      <c r="D136" s="29">
        <f>IFERROR(D134/C134-1,"n/a")</f>
        <v>0.03442673694183318</v>
      </c>
      <c r="E136" s="29">
        <f>IFERROR(E134/D134-1,"n/a")</f>
        <v>-0.00041661155931738136</v>
      </c>
      <c r="F136" s="29">
        <f>IFERROR(F134/E134-1,"n/a")</f>
        <v>-0.14036895413378148</v>
      </c>
      <c r="G136" s="29"/>
      <c r="H136" s="29">
        <f>IFERROR(H134/F134-1,"n/a")</f>
        <v>-0.031066440663617856</v>
      </c>
      <c r="I136" s="42">
        <f>IFERROR(I134/H134-1,"n/a")</f>
        <v>0.0194039997384039</v>
      </c>
      <c r="J136" s="3"/>
      <c r="K136" s="3"/>
      <c r="L136" s="3"/>
    </row>
    <row r="137">
      <c r="A137" s="3"/>
      <c r="B137" s="49" t="s">
        <v>115</v>
      </c>
      <c r="C137" s="29">
        <f>IFERROR(C134/C211,"n/a")</f>
        <v>0.018093255661280304</v>
      </c>
      <c r="D137" s="29">
        <f>IFERROR(D134/D211,"n/a")</f>
        <v>0.01975069611342819</v>
      </c>
      <c r="E137" s="29">
        <f>IFERROR(E134/E211,"n/a")</f>
        <v>0.01910626328722036</v>
      </c>
      <c r="F137" s="29">
        <f>IFERROR(F134/F211,"n/a")</f>
        <v>0.016700092105510905</v>
      </c>
      <c r="G137" s="29">
        <f>IFERROR(G134/G211,"n/a")</f>
        <v>0.01840713039234776</v>
      </c>
      <c r="H137" s="29">
        <f>IFERROR(H134/H211,"n/a")</f>
        <v>0.016363233169005675</v>
      </c>
      <c r="I137" s="42">
        <f>IFERROR(I134/I211,"n/a")</f>
        <v>0.01637565367335465</v>
      </c>
      <c r="J137" s="3"/>
      <c r="K137" s="3"/>
      <c r="L137" s="3"/>
    </row>
    <row r="138">
      <c r="A138" s="3"/>
      <c r="B138" s="49" t="s">
        <v>116</v>
      </c>
      <c r="C138" s="29" t="s">
        <v>39</v>
      </c>
      <c r="D138" s="29" t="s">
        <v>39</v>
      </c>
      <c r="E138" s="29" t="s">
        <v>39</v>
      </c>
      <c r="F138" s="29" t="s">
        <v>39</v>
      </c>
      <c r="G138" s="29" t="s">
        <v>39</v>
      </c>
      <c r="H138" s="29" t="str">
        <f>IF(AND(ISNUMBER(H135),ISNUMBER(H139),ISNUMBER(H140)),(1+H135)/((1+H139)*(1+H140))-1,"n/a")</f>
        <v>n/a</v>
      </c>
      <c r="I138" s="42" t="str">
        <f>IF(AND(ISNUMBER(I135),ISNUMBER(I139),ISNUMBER(I140)),(1+I135)/((1+I139)*(1+I140))-1,"n/a")</f>
        <v>n/a</v>
      </c>
      <c r="J138" s="3"/>
      <c r="K138" s="3"/>
      <c r="L138" s="3"/>
    </row>
    <row r="139">
      <c r="A139" s="3"/>
      <c r="B139" s="49" t="s">
        <v>117</v>
      </c>
      <c r="C139" s="29" t="s">
        <v>39</v>
      </c>
      <c r="D139" s="29" t="s">
        <v>39</v>
      </c>
      <c r="E139" s="29" t="s">
        <v>39</v>
      </c>
      <c r="F139" s="29" t="s">
        <v>39</v>
      </c>
      <c r="G139" s="29" t="s">
        <v>39</v>
      </c>
      <c r="H139" s="29" t="s">
        <v>39</v>
      </c>
      <c r="I139" s="42" t="s">
        <v>39</v>
      </c>
      <c r="J139" s="3"/>
      <c r="K139" s="3"/>
      <c r="L139" s="3"/>
    </row>
    <row r="140">
      <c r="A140" s="3"/>
      <c r="B140" s="49" t="s">
        <v>118</v>
      </c>
      <c r="C140" s="29" t="s">
        <v>39</v>
      </c>
      <c r="D140" s="29" t="s">
        <v>39</v>
      </c>
      <c r="E140" s="29" t="s">
        <v>39</v>
      </c>
      <c r="F140" s="29" t="s">
        <v>39</v>
      </c>
      <c r="G140" s="29" t="s">
        <v>39</v>
      </c>
      <c r="H140" s="29" t="s">
        <v>39</v>
      </c>
      <c r="I140" s="42" t="s">
        <v>39</v>
      </c>
      <c r="J140" s="3"/>
      <c r="K140" s="3"/>
      <c r="L140" s="3"/>
    </row>
    <row r="141">
      <c r="A141" s="3"/>
      <c r="B141" s="46" t="s">
        <v>124</v>
      </c>
      <c r="C141" s="62">
        <v>0</v>
      </c>
      <c r="D141" s="62">
        <v>0.07788</v>
      </c>
      <c r="E141" s="62">
        <v>0.018907</v>
      </c>
      <c r="F141" s="62">
        <v>0.023928</v>
      </c>
      <c r="G141" s="44">
        <f>SUM(C141:F141)</f>
        <v>0.120715</v>
      </c>
      <c r="H141" s="62">
        <v>0.019586</v>
      </c>
      <c r="I141" s="40">
        <f>I41*H141/H155</f>
        <v>0.019966046738876378</v>
      </c>
      <c r="J141" s="3"/>
      <c r="K141" s="3"/>
      <c r="L141" s="3"/>
    </row>
    <row r="142">
      <c r="A142" s="3"/>
      <c r="B142" s="49" t="s">
        <v>113</v>
      </c>
      <c r="C142" s="29" t="s">
        <v>39</v>
      </c>
      <c r="D142" s="29" t="s">
        <v>39</v>
      </c>
      <c r="E142" s="29" t="s">
        <v>39</v>
      </c>
      <c r="F142" s="29" t="s">
        <v>39</v>
      </c>
      <c r="G142" s="29" t="s">
        <v>39</v>
      </c>
      <c r="H142" s="29" t="str">
        <f>IFERROR(H141/C141-1,"n/a")</f>
        <v>n/a</v>
      </c>
      <c r="I142" s="42">
        <f>IFERROR(I141/D141-1,"n/a")</f>
        <v>-0.743630627389877</v>
      </c>
      <c r="J142" s="3"/>
      <c r="K142" s="3"/>
      <c r="L142" s="3"/>
    </row>
    <row r="143">
      <c r="A143" s="3"/>
      <c r="B143" s="49" t="s">
        <v>114</v>
      </c>
      <c r="C143" s="29" t="s">
        <v>39</v>
      </c>
      <c r="D143" s="29" t="str">
        <f>IFERROR(D141/C141-1,"n/a")</f>
        <v>n/a</v>
      </c>
      <c r="E143" s="29">
        <f>IFERROR(E141/D141-1,"n/a")</f>
        <v>-0.7572290703646636</v>
      </c>
      <c r="F143" s="29">
        <f>IFERROR(F141/E141-1,"n/a")</f>
        <v>0.26556301898767654</v>
      </c>
      <c r="G143" s="29"/>
      <c r="H143" s="29">
        <f>IFERROR(H141/F141-1,"n/a")</f>
        <v>-0.1814610498161151</v>
      </c>
      <c r="I143" s="42">
        <f>IFERROR(I141/H141-1,"n/a")</f>
        <v>0.0194039997384039</v>
      </c>
      <c r="J143" s="3"/>
      <c r="K143" s="3"/>
      <c r="L143" s="3"/>
    </row>
    <row r="144">
      <c r="A144" s="3"/>
      <c r="B144" s="49" t="s">
        <v>115</v>
      </c>
      <c r="C144" s="29">
        <f>IFERROR(C141/C211,"n/a")</f>
        <v>0</v>
      </c>
      <c r="D144" s="29">
        <f>IFERROR(D141/D211,"n/a")</f>
        <v>0.0025429576334376858</v>
      </c>
      <c r="E144" s="29">
        <f>IFERROR(E141/E211,"n/a")</f>
        <v>0.0005974617781040165</v>
      </c>
      <c r="F144" s="29">
        <f>IFERROR(F141/F211,"n/a")</f>
        <v>0.0007688204370516702</v>
      </c>
      <c r="G144" s="29">
        <f>IFERROR(G141/G211,"n/a")</f>
        <v>0.0009602434321107218</v>
      </c>
      <c r="H144" s="29">
        <f>IFERROR(H141/H211,"n/a")</f>
        <v>0.0006363858637599435</v>
      </c>
      <c r="I144" s="42">
        <f>IFERROR(I141/I211,"n/a")</f>
        <v>0.0006368689121469473</v>
      </c>
      <c r="J144" s="3"/>
      <c r="K144" s="3"/>
      <c r="L144" s="3"/>
    </row>
    <row r="145">
      <c r="A145" s="3"/>
      <c r="B145" s="49" t="s">
        <v>116</v>
      </c>
      <c r="C145" s="29" t="s">
        <v>39</v>
      </c>
      <c r="D145" s="29" t="s">
        <v>39</v>
      </c>
      <c r="E145" s="29" t="s">
        <v>39</v>
      </c>
      <c r="F145" s="29" t="s">
        <v>39</v>
      </c>
      <c r="G145" s="29" t="s">
        <v>39</v>
      </c>
      <c r="H145" s="29" t="str">
        <f>IF(AND(ISNUMBER(H142),ISNUMBER(H146),ISNUMBER(H147)),(1+H142)/((1+H146)*(1+H147))-1,"n/a")</f>
        <v>n/a</v>
      </c>
      <c r="I145" s="42" t="str">
        <f>IF(AND(ISNUMBER(I142),ISNUMBER(I146),ISNUMBER(I147)),(1+I142)/((1+I146)*(1+I147))-1,"n/a")</f>
        <v>n/a</v>
      </c>
      <c r="J145" s="3"/>
      <c r="K145" s="3"/>
      <c r="L145" s="3"/>
    </row>
    <row r="146">
      <c r="A146" s="3"/>
      <c r="B146" s="49" t="s">
        <v>117</v>
      </c>
      <c r="C146" s="29" t="s">
        <v>39</v>
      </c>
      <c r="D146" s="29" t="s">
        <v>39</v>
      </c>
      <c r="E146" s="29" t="s">
        <v>39</v>
      </c>
      <c r="F146" s="29" t="s">
        <v>39</v>
      </c>
      <c r="G146" s="29" t="s">
        <v>39</v>
      </c>
      <c r="H146" s="29" t="s">
        <v>39</v>
      </c>
      <c r="I146" s="42" t="s">
        <v>39</v>
      </c>
      <c r="J146" s="3"/>
      <c r="K146" s="3"/>
      <c r="L146" s="3"/>
    </row>
    <row r="147">
      <c r="A147" s="3"/>
      <c r="B147" s="49" t="s">
        <v>118</v>
      </c>
      <c r="C147" s="29" t="s">
        <v>39</v>
      </c>
      <c r="D147" s="29" t="s">
        <v>39</v>
      </c>
      <c r="E147" s="29" t="s">
        <v>39</v>
      </c>
      <c r="F147" s="29" t="s">
        <v>39</v>
      </c>
      <c r="G147" s="29" t="s">
        <v>39</v>
      </c>
      <c r="H147" s="29" t="s">
        <v>39</v>
      </c>
      <c r="I147" s="42" t="s">
        <v>39</v>
      </c>
      <c r="J147" s="3"/>
      <c r="K147" s="3"/>
      <c r="L147" s="3"/>
    </row>
    <row r="148">
      <c r="A148" s="3"/>
      <c r="B148" s="30" t="s">
        <v>125</v>
      </c>
      <c r="C148" s="68">
        <f>C127+C134+C141</f>
        <v>0.7529779999999999</v>
      </c>
      <c r="D148" s="68">
        <f>D127+D134+D141</f>
        <v>0.803844</v>
      </c>
      <c r="E148" s="68">
        <f>E127+E134+E141</f>
        <v>0.7337450000000001</v>
      </c>
      <c r="F148" s="68">
        <f>F127+F134+F141</f>
        <v>0.7152459999999999</v>
      </c>
      <c r="G148" s="68">
        <f>G127+G134+G141</f>
        <v>3.0058130000000003</v>
      </c>
      <c r="H148" s="68">
        <f>H127+H134+H141</f>
        <v>0.696487</v>
      </c>
      <c r="I148" s="78">
        <f>I127+I134+I141</f>
        <v>0.7100016335658018</v>
      </c>
      <c r="J148" s="3"/>
      <c r="K148" s="3"/>
      <c r="L148" s="3"/>
    </row>
    <row r="149">
      <c r="A149" s="3"/>
      <c r="B149" s="49" t="s">
        <v>113</v>
      </c>
      <c r="C149" s="29" t="s">
        <v>39</v>
      </c>
      <c r="D149" s="29" t="s">
        <v>39</v>
      </c>
      <c r="E149" s="29" t="s">
        <v>39</v>
      </c>
      <c r="F149" s="29" t="s">
        <v>39</v>
      </c>
      <c r="G149" s="29" t="s">
        <v>39</v>
      </c>
      <c r="H149" s="29">
        <f>IFERROR(H148/C148-1,"n/a")</f>
        <v>-0.07502344025987473</v>
      </c>
      <c r="I149" s="42">
        <f>IFERROR(I148/D148-1,"n/a")</f>
        <v>-0.11674201267185946</v>
      </c>
      <c r="J149" s="3"/>
      <c r="K149" s="3"/>
      <c r="L149" s="3"/>
    </row>
    <row r="150">
      <c r="A150" s="3"/>
      <c r="B150" s="49" t="s">
        <v>114</v>
      </c>
      <c r="C150" s="29" t="s">
        <v>39</v>
      </c>
      <c r="D150" s="29">
        <f>IFERROR(D148/C148-1,"n/a")</f>
        <v>0.06755310248108182</v>
      </c>
      <c r="E150" s="29">
        <f>IFERROR(E148/D148-1,"n/a")</f>
        <v>-0.08720473126626549</v>
      </c>
      <c r="F150" s="29">
        <f>IFERROR(F148/E148-1,"n/a")</f>
        <v>-0.025211756127810236</v>
      </c>
      <c r="G150" s="29"/>
      <c r="H150" s="29">
        <f>IFERROR(H148/F148-1,"n/a")</f>
        <v>-0.026227339964152163</v>
      </c>
      <c r="I150" s="42">
        <f>IFERROR(I148/H148-1,"n/a")</f>
        <v>0.01940399973840412</v>
      </c>
      <c r="J150" s="3"/>
      <c r="K150" s="3"/>
      <c r="L150" s="3"/>
    </row>
    <row r="151">
      <c r="A151" s="3"/>
      <c r="B151" s="49" t="s">
        <v>115</v>
      </c>
      <c r="C151" s="29">
        <f>IFERROR(C148/C211,"n/a")</f>
        <v>0.02329858359966331</v>
      </c>
      <c r="D151" s="29">
        <f>IFERROR(D148/D211,"n/a")</f>
        <v>0.026247319413110978</v>
      </c>
      <c r="E151" s="29">
        <f>IFERROR(E148/E211,"n/a")</f>
        <v>0.02318636443512623</v>
      </c>
      <c r="F151" s="29">
        <f>IFERROR(F148/F211,"n/a")</f>
        <v>0.02298126639583161</v>
      </c>
      <c r="G151" s="29">
        <f>IFERROR(G148/G211,"n/a")</f>
        <v>0.023910137028563355</v>
      </c>
      <c r="H151" s="29">
        <f>IFERROR(H148/H211,"n/a")</f>
        <v>0.022630168543478595</v>
      </c>
      <c r="I151" s="42">
        <f>IFERROR(I148/I211,"n/a")</f>
        <v>0.022647345962140866</v>
      </c>
      <c r="J151" s="3"/>
      <c r="K151" s="3"/>
      <c r="L151" s="3"/>
    </row>
    <row r="152">
      <c r="A152" s="3"/>
      <c r="B152" s="49" t="s">
        <v>116</v>
      </c>
      <c r="C152" s="29" t="s">
        <v>39</v>
      </c>
      <c r="D152" s="29" t="s">
        <v>39</v>
      </c>
      <c r="E152" s="29" t="s">
        <v>39</v>
      </c>
      <c r="F152" s="29" t="s">
        <v>39</v>
      </c>
      <c r="G152" s="29" t="s">
        <v>39</v>
      </c>
      <c r="H152" s="29" t="str">
        <f>IF(AND(ISNUMBER(H149),ISNUMBER(H153),ISNUMBER(H154)),(1+H149)/((1+H153)*(1+H154))-1,"n/a")</f>
        <v>n/a</v>
      </c>
      <c r="I152" s="42" t="str">
        <f>IF(AND(ISNUMBER(I149),ISNUMBER(I153),ISNUMBER(I154)),(1+I149)/((1+I153)*(1+I154))-1,"n/a")</f>
        <v>n/a</v>
      </c>
      <c r="J152" s="3"/>
      <c r="K152" s="3"/>
      <c r="L152" s="3"/>
    </row>
    <row r="153">
      <c r="A153" s="3"/>
      <c r="B153" s="49" t="s">
        <v>117</v>
      </c>
      <c r="C153" s="29" t="s">
        <v>39</v>
      </c>
      <c r="D153" s="29" t="s">
        <v>39</v>
      </c>
      <c r="E153" s="29" t="s">
        <v>39</v>
      </c>
      <c r="F153" s="29" t="s">
        <v>39</v>
      </c>
      <c r="G153" s="29" t="s">
        <v>39</v>
      </c>
      <c r="H153" s="29" t="s">
        <v>39</v>
      </c>
      <c r="I153" s="42" t="s">
        <v>39</v>
      </c>
      <c r="J153" s="3"/>
      <c r="K153" s="3"/>
      <c r="L153" s="3"/>
    </row>
    <row r="154">
      <c r="A154" s="3"/>
      <c r="B154" s="49" t="s">
        <v>118</v>
      </c>
      <c r="C154" s="29" t="s">
        <v>39</v>
      </c>
      <c r="D154" s="29" t="s">
        <v>39</v>
      </c>
      <c r="E154" s="29" t="s">
        <v>39</v>
      </c>
      <c r="F154" s="29" t="s">
        <v>39</v>
      </c>
      <c r="G154" s="29" t="s">
        <v>39</v>
      </c>
      <c r="H154" s="29" t="s">
        <v>39</v>
      </c>
      <c r="I154" s="42" t="s">
        <v>39</v>
      </c>
      <c r="J154" s="3"/>
      <c r="K154" s="3"/>
      <c r="L154" s="3"/>
    </row>
    <row r="155">
      <c r="A155" s="3"/>
      <c r="B155" s="30" t="s">
        <v>126</v>
      </c>
      <c r="C155" s="68">
        <f>C120+C148</f>
        <v>28.003926</v>
      </c>
      <c r="D155" s="68">
        <f>D120+D148</f>
        <v>26.377435000000002</v>
      </c>
      <c r="E155" s="68">
        <f>E120+E148</f>
        <v>26.721978999999997</v>
      </c>
      <c r="F155" s="68">
        <f>F120+F148</f>
        <v>25.794672</v>
      </c>
      <c r="G155" s="68">
        <f>G120+G148</f>
        <v>106.898012</v>
      </c>
      <c r="H155" s="68">
        <f>H120+H148</f>
        <v>28.115075</v>
      </c>
      <c r="I155" s="78">
        <f>I120+I148</f>
        <v>28.660619907945208</v>
      </c>
      <c r="J155" s="3"/>
      <c r="K155" s="3"/>
      <c r="L155" s="3"/>
    </row>
    <row r="156">
      <c r="A156" s="3"/>
      <c r="B156" s="49" t="s">
        <v>113</v>
      </c>
      <c r="C156" s="29" t="s">
        <v>39</v>
      </c>
      <c r="D156" s="29" t="s">
        <v>39</v>
      </c>
      <c r="E156" s="29" t="s">
        <v>39</v>
      </c>
      <c r="F156" s="29" t="s">
        <v>39</v>
      </c>
      <c r="G156" s="29" t="s">
        <v>39</v>
      </c>
      <c r="H156" s="29">
        <f>IFERROR(H155/C155-1,"n/a")</f>
        <v>0.003969050625258763</v>
      </c>
      <c r="I156" s="42">
        <f>IFERROR(I155/D155-1,"n/a")</f>
        <v>0.08655826117835974</v>
      </c>
      <c r="J156" s="3"/>
      <c r="K156" s="3"/>
      <c r="L156" s="3"/>
    </row>
    <row r="157">
      <c r="A157" s="3"/>
      <c r="B157" s="49" t="s">
        <v>114</v>
      </c>
      <c r="C157" s="29" t="s">
        <v>39</v>
      </c>
      <c r="D157" s="29">
        <f>IFERROR(D155/C155-1,"n/a")</f>
        <v>-0.05808082052495056</v>
      </c>
      <c r="E157" s="29">
        <f>IFERROR(E155/D155-1,"n/a")</f>
        <v>0.013062073700494281</v>
      </c>
      <c r="F157" s="29">
        <f>IFERROR(F155/E155-1,"n/a")</f>
        <v>-0.034702033109149544</v>
      </c>
      <c r="G157" s="29"/>
      <c r="H157" s="29">
        <f>IFERROR(H155/F155-1,"n/a")</f>
        <v>0.08995667787518302</v>
      </c>
      <c r="I157" s="42">
        <f>IFERROR(I155/H155-1,"n/a")</f>
        <v>0.0194039997384039</v>
      </c>
      <c r="J157" s="3"/>
      <c r="K157" s="3"/>
      <c r="L157" s="3"/>
    </row>
    <row r="158">
      <c r="A158" s="3"/>
      <c r="B158" s="49" t="s">
        <v>115</v>
      </c>
      <c r="C158" s="29">
        <f>IFERROR(C155/C211,"n/a")</f>
        <v>0.8664951844938166</v>
      </c>
      <c r="D158" s="29">
        <f>IFERROR(D155/D211,"n/a")</f>
        <v>0.8612827386203953</v>
      </c>
      <c r="E158" s="29">
        <f>IFERROR(E155/E211,"n/a")</f>
        <v>0.8444153534562959</v>
      </c>
      <c r="F158" s="29">
        <f>IFERROR(F155/F211,"n/a")</f>
        <v>0.8287976847477632</v>
      </c>
      <c r="G158" s="29">
        <f>IFERROR(G155/G211,"n/a")</f>
        <v>0.8503343737621101</v>
      </c>
      <c r="H158" s="29">
        <f>IFERROR(H155/H211,"n/a")</f>
        <v>0.9135115025298985</v>
      </c>
      <c r="I158" s="42">
        <f>IFERROR(I155/I211,"n/a")</f>
        <v>0.914204903001115</v>
      </c>
      <c r="J158" s="3"/>
      <c r="K158" s="3"/>
      <c r="L158" s="3"/>
    </row>
    <row r="159">
      <c r="A159" s="3"/>
      <c r="B159" s="49" t="s">
        <v>116</v>
      </c>
      <c r="C159" s="29" t="s">
        <v>39</v>
      </c>
      <c r="D159" s="29" t="s">
        <v>39</v>
      </c>
      <c r="E159" s="29" t="s">
        <v>39</v>
      </c>
      <c r="F159" s="29" t="s">
        <v>39</v>
      </c>
      <c r="G159" s="29" t="s">
        <v>39</v>
      </c>
      <c r="H159" s="29" t="str">
        <f>IF(AND(ISNUMBER(H156),ISNUMBER(H160),ISNUMBER(H161)),(1+H156)/((1+H160)*(1+H161))-1,"n/a")</f>
        <v>n/a</v>
      </c>
      <c r="I159" s="42" t="str">
        <f>IF(AND(ISNUMBER(I156),ISNUMBER(I160),ISNUMBER(I161)),(1+I156)/((1+I160)*(1+I161))-1,"n/a")</f>
        <v>n/a</v>
      </c>
      <c r="J159" s="3"/>
      <c r="K159" s="3"/>
      <c r="L159" s="3"/>
    </row>
    <row r="160">
      <c r="A160" s="3"/>
      <c r="B160" s="49" t="s">
        <v>117</v>
      </c>
      <c r="C160" s="29" t="s">
        <v>39</v>
      </c>
      <c r="D160" s="29" t="s">
        <v>39</v>
      </c>
      <c r="E160" s="29" t="s">
        <v>39</v>
      </c>
      <c r="F160" s="29" t="s">
        <v>39</v>
      </c>
      <c r="G160" s="29" t="s">
        <v>39</v>
      </c>
      <c r="H160" s="29" t="s">
        <v>39</v>
      </c>
      <c r="I160" s="42" t="s">
        <v>39</v>
      </c>
      <c r="J160" s="3"/>
      <c r="K160" s="3"/>
      <c r="L160" s="3"/>
    </row>
    <row r="161">
      <c r="A161" s="3"/>
      <c r="B161" s="49" t="s">
        <v>118</v>
      </c>
      <c r="C161" s="29" t="s">
        <v>39</v>
      </c>
      <c r="D161" s="29" t="s">
        <v>39</v>
      </c>
      <c r="E161" s="29" t="s">
        <v>39</v>
      </c>
      <c r="F161" s="29" t="s">
        <v>39</v>
      </c>
      <c r="G161" s="29" t="s">
        <v>39</v>
      </c>
      <c r="H161" s="29" t="s">
        <v>39</v>
      </c>
      <c r="I161" s="42" t="s">
        <v>39</v>
      </c>
      <c r="J161" s="3"/>
      <c r="K161" s="3"/>
      <c r="L161" s="3"/>
    </row>
    <row r="162">
      <c r="A162" s="3"/>
      <c r="B162" s="3" t="s">
        <v>127</v>
      </c>
      <c r="C162" s="62">
        <v>2.027211</v>
      </c>
      <c r="D162" s="62">
        <v>2.360397</v>
      </c>
      <c r="E162" s="62">
        <v>1.942036</v>
      </c>
      <c r="F162" s="62">
        <v>1.553219</v>
      </c>
      <c r="G162" s="44">
        <f>SUM(C162:F162)</f>
        <v>7.8828629999999995</v>
      </c>
      <c r="H162" s="62">
        <v>0.554386</v>
      </c>
      <c r="I162" s="40">
        <f>I85</f>
        <v>0.4536986301369863</v>
      </c>
      <c r="J162" s="3"/>
      <c r="K162" s="3"/>
      <c r="L162" s="3"/>
    </row>
    <row r="163">
      <c r="A163" s="3"/>
      <c r="B163" s="49" t="s">
        <v>113</v>
      </c>
      <c r="C163" s="29" t="s">
        <v>39</v>
      </c>
      <c r="D163" s="29" t="s">
        <v>39</v>
      </c>
      <c r="E163" s="29" t="s">
        <v>39</v>
      </c>
      <c r="F163" s="29" t="s">
        <v>39</v>
      </c>
      <c r="G163" s="29" t="s">
        <v>39</v>
      </c>
      <c r="H163" s="29">
        <f>IFERROR(H162/C162-1,"n/a")</f>
        <v>-0.7265277270101631</v>
      </c>
      <c r="I163" s="42">
        <f>IFERROR(I162/D162-1,"n/a")</f>
        <v>-0.8077871518490379</v>
      </c>
      <c r="J163" s="3"/>
      <c r="K163" s="3"/>
      <c r="L163" s="3"/>
    </row>
    <row r="164">
      <c r="A164" s="3"/>
      <c r="B164" s="49" t="s">
        <v>114</v>
      </c>
      <c r="C164" s="29" t="s">
        <v>39</v>
      </c>
      <c r="D164" s="29">
        <f>IFERROR(D162/C162-1,"n/a")</f>
        <v>0.16435684297293185</v>
      </c>
      <c r="E164" s="29">
        <f>IFERROR(E162/D162-1,"n/a")</f>
        <v>-0.17724179449473954</v>
      </c>
      <c r="F164" s="29">
        <f>IFERROR(F162/E162-1,"n/a")</f>
        <v>-0.20021101565573463</v>
      </c>
      <c r="G164" s="29"/>
      <c r="H164" s="29">
        <f>IFERROR(H162/F162-1,"n/a")</f>
        <v>-0.6430728699558788</v>
      </c>
      <c r="I164" s="42">
        <f>IFERROR(I162/H162-1,"n/a")</f>
        <v>-0.1816196113592582</v>
      </c>
      <c r="J164" s="3"/>
      <c r="K164" s="3"/>
      <c r="L164" s="3"/>
    </row>
    <row r="165">
      <c r="A165" s="3"/>
      <c r="B165" s="49" t="s">
        <v>115</v>
      </c>
      <c r="C165" s="29">
        <f>IFERROR(C162/C211,"n/a")</f>
        <v>0.06272579671339278</v>
      </c>
      <c r="D165" s="29">
        <f>IFERROR(D162/D211,"n/a")</f>
        <v>0.07707228517069097</v>
      </c>
      <c r="E165" s="29">
        <f>IFERROR(E162/E211,"n/a")</f>
        <v>0.06136839698006092</v>
      </c>
      <c r="F165" s="29">
        <f>IFERROR(F162/F211,"n/a")</f>
        <v>0.0499058220669073</v>
      </c>
      <c r="G165" s="29">
        <f>IFERROR(G162/G211,"n/a")</f>
        <v>0.06270527624552558</v>
      </c>
      <c r="H165" s="29">
        <f>IFERROR(H162/H211,"n/a")</f>
        <v>0.018013040614031455</v>
      </c>
      <c r="I165" s="42">
        <f>IFERROR(I162/I211,"n/a")</f>
        <v>0.014471896054179208</v>
      </c>
      <c r="J165" s="3"/>
      <c r="K165" s="3"/>
      <c r="L165" s="3"/>
    </row>
    <row r="166">
      <c r="A166" s="3"/>
      <c r="B166" s="49" t="s">
        <v>116</v>
      </c>
      <c r="C166" s="29" t="s">
        <v>39</v>
      </c>
      <c r="D166" s="29" t="s">
        <v>39</v>
      </c>
      <c r="E166" s="29" t="s">
        <v>39</v>
      </c>
      <c r="F166" s="29" t="s">
        <v>39</v>
      </c>
      <c r="G166" s="29" t="s">
        <v>39</v>
      </c>
      <c r="H166" s="29" t="str">
        <f>IF(AND(ISNUMBER(H163),ISNUMBER(H167),ISNUMBER(H168)),(1+H163)/((1+H167)*(1+H168))-1,"n/a")</f>
        <v>n/a</v>
      </c>
      <c r="I166" s="42" t="str">
        <f>IF(AND(ISNUMBER(I163),ISNUMBER(I167),ISNUMBER(I168)),(1+I163)/((1+I167)*(1+I168))-1,"n/a")</f>
        <v>n/a</v>
      </c>
      <c r="J166" s="3"/>
      <c r="K166" s="3"/>
      <c r="L166" s="3"/>
    </row>
    <row r="167">
      <c r="A167" s="3"/>
      <c r="B167" s="49" t="s">
        <v>117</v>
      </c>
      <c r="C167" s="29" t="s">
        <v>39</v>
      </c>
      <c r="D167" s="29" t="s">
        <v>39</v>
      </c>
      <c r="E167" s="29" t="s">
        <v>39</v>
      </c>
      <c r="F167" s="29" t="s">
        <v>39</v>
      </c>
      <c r="G167" s="29" t="s">
        <v>39</v>
      </c>
      <c r="H167" s="29" t="s">
        <v>39</v>
      </c>
      <c r="I167" s="42" t="s">
        <v>39</v>
      </c>
      <c r="J167" s="3"/>
      <c r="K167" s="3"/>
      <c r="L167" s="3"/>
    </row>
    <row r="168">
      <c r="A168" s="3"/>
      <c r="B168" s="49" t="s">
        <v>118</v>
      </c>
      <c r="C168" s="29" t="s">
        <v>39</v>
      </c>
      <c r="D168" s="29" t="s">
        <v>39</v>
      </c>
      <c r="E168" s="29" t="s">
        <v>39</v>
      </c>
      <c r="F168" s="29" t="s">
        <v>39</v>
      </c>
      <c r="G168" s="29" t="s">
        <v>39</v>
      </c>
      <c r="H168" s="29" t="s">
        <v>39</v>
      </c>
      <c r="I168" s="42" t="s">
        <v>39</v>
      </c>
      <c r="J168" s="3"/>
      <c r="K168" s="3"/>
      <c r="L168" s="3"/>
    </row>
    <row r="169">
      <c r="A169" s="3"/>
      <c r="B169" s="3" t="s">
        <v>128</v>
      </c>
      <c r="C169" s="62">
        <v>0.705175</v>
      </c>
      <c r="D169" s="62">
        <v>0.663632</v>
      </c>
      <c r="E169" s="62">
        <v>0.628774</v>
      </c>
      <c r="F169" s="62">
        <v>0.588936</v>
      </c>
      <c r="G169" s="44">
        <f>SUM(C169:F169)</f>
        <v>2.586517</v>
      </c>
      <c r="H169" s="62">
        <v>0.544988</v>
      </c>
      <c r="I169" s="40">
        <f>H169*(1+I91)</f>
        <v>0.511005458058368</v>
      </c>
      <c r="J169" s="3"/>
      <c r="K169" s="3"/>
      <c r="L169" s="3"/>
    </row>
    <row r="170">
      <c r="A170" s="3"/>
      <c r="B170" s="49" t="s">
        <v>113</v>
      </c>
      <c r="C170" s="29" t="s">
        <v>39</v>
      </c>
      <c r="D170" s="29" t="s">
        <v>39</v>
      </c>
      <c r="E170" s="29" t="s">
        <v>39</v>
      </c>
      <c r="F170" s="29" t="s">
        <v>39</v>
      </c>
      <c r="G170" s="29" t="s">
        <v>39</v>
      </c>
      <c r="H170" s="29">
        <f>IFERROR(H169/C169-1,"n/a")</f>
        <v>-0.22715921579749698</v>
      </c>
      <c r="I170" s="42">
        <f>IFERROR(I169/D169-1,"n/a")</f>
        <v>-0.22998671242741764</v>
      </c>
      <c r="J170" s="3"/>
      <c r="K170" s="3"/>
      <c r="L170" s="3"/>
    </row>
    <row r="171">
      <c r="A171" s="3"/>
      <c r="B171" s="49" t="s">
        <v>114</v>
      </c>
      <c r="C171" s="29" t="s">
        <v>39</v>
      </c>
      <c r="D171" s="29">
        <f>IFERROR(D169/C169-1,"n/a")</f>
        <v>-0.058911617683553685</v>
      </c>
      <c r="E171" s="29">
        <f>IFERROR(E169/D169-1,"n/a")</f>
        <v>-0.05252609880174541</v>
      </c>
      <c r="F171" s="29">
        <f>IFERROR(F169/E169-1,"n/a")</f>
        <v>-0.06335821773801087</v>
      </c>
      <c r="G171" s="29"/>
      <c r="H171" s="29">
        <f>IFERROR(H169/F169-1,"n/a")</f>
        <v>-0.07462270942852867</v>
      </c>
      <c r="I171" s="42">
        <f>IFERROR(I169/H169-1,"n/a")</f>
        <v>-0.062354660912959714</v>
      </c>
      <c r="J171" s="3"/>
      <c r="K171" s="3"/>
      <c r="L171" s="3"/>
    </row>
    <row r="172">
      <c r="A172" s="3"/>
      <c r="B172" s="49" t="s">
        <v>115</v>
      </c>
      <c r="C172" s="29">
        <f>IFERROR(C169/C211,"n/a")</f>
        <v>0.021819467089201246</v>
      </c>
      <c r="D172" s="29">
        <f>IFERROR(D169/D211,"n/a")</f>
        <v>0.021669081409778097</v>
      </c>
      <c r="E172" s="29">
        <f>IFERROR(E169/E211,"n/a")</f>
        <v>0.01986927762551303</v>
      </c>
      <c r="F172" s="29">
        <f>IFERROR(F169/F211,"n/a")</f>
        <v>0.018922853264604748</v>
      </c>
      <c r="G172" s="29">
        <f>IFERROR(G169/G211,"n/a")</f>
        <v>0.020574791544486833</v>
      </c>
      <c r="H172" s="29">
        <f>IFERROR(H169/H211,"n/a")</f>
        <v>0.01770768197277668</v>
      </c>
      <c r="I172" s="42">
        <f>IFERROR(I169/I211,"n/a")</f>
        <v>0.01629984615537869</v>
      </c>
      <c r="J172" s="3"/>
      <c r="K172" s="3"/>
      <c r="L172" s="3"/>
    </row>
    <row r="173">
      <c r="A173" s="3"/>
      <c r="B173" s="49" t="s">
        <v>116</v>
      </c>
      <c r="C173" s="29" t="s">
        <v>39</v>
      </c>
      <c r="D173" s="29" t="s">
        <v>39</v>
      </c>
      <c r="E173" s="29" t="s">
        <v>39</v>
      </c>
      <c r="F173" s="29" t="s">
        <v>39</v>
      </c>
      <c r="G173" s="29" t="s">
        <v>39</v>
      </c>
      <c r="H173" s="29" t="str">
        <f>IF(AND(ISNUMBER(H170),ISNUMBER(H174),ISNUMBER(H175)),(1+H170)/((1+H174)*(1+H175))-1,"n/a")</f>
        <v>n/a</v>
      </c>
      <c r="I173" s="42" t="str">
        <f>IF(AND(ISNUMBER(I170),ISNUMBER(I174),ISNUMBER(I175)),(1+I170)/((1+I174)*(1+I175))-1,"n/a")</f>
        <v>n/a</v>
      </c>
      <c r="J173" s="3"/>
      <c r="K173" s="3"/>
      <c r="L173" s="3"/>
    </row>
    <row r="174">
      <c r="A174" s="3"/>
      <c r="B174" s="49" t="s">
        <v>117</v>
      </c>
      <c r="C174" s="29" t="s">
        <v>39</v>
      </c>
      <c r="D174" s="29" t="s">
        <v>39</v>
      </c>
      <c r="E174" s="29" t="s">
        <v>39</v>
      </c>
      <c r="F174" s="29" t="s">
        <v>39</v>
      </c>
      <c r="G174" s="29" t="s">
        <v>39</v>
      </c>
      <c r="H174" s="29" t="s">
        <v>39</v>
      </c>
      <c r="I174" s="42" t="s">
        <v>39</v>
      </c>
      <c r="J174" s="3"/>
      <c r="K174" s="3"/>
      <c r="L174" s="3"/>
    </row>
    <row r="175">
      <c r="A175" s="3"/>
      <c r="B175" s="49" t="s">
        <v>118</v>
      </c>
      <c r="C175" s="29" t="s">
        <v>39</v>
      </c>
      <c r="D175" s="29" t="s">
        <v>39</v>
      </c>
      <c r="E175" s="29" t="s">
        <v>39</v>
      </c>
      <c r="F175" s="29" t="s">
        <v>39</v>
      </c>
      <c r="G175" s="29" t="s">
        <v>39</v>
      </c>
      <c r="H175" s="29" t="s">
        <v>39</v>
      </c>
      <c r="I175" s="42" t="s">
        <v>39</v>
      </c>
      <c r="J175" s="3"/>
      <c r="K175" s="3"/>
      <c r="L175" s="3"/>
    </row>
    <row r="176">
      <c r="A176" s="3"/>
      <c r="B176" s="46" t="s">
        <v>129</v>
      </c>
      <c r="C176" s="62">
        <v>0.562183</v>
      </c>
      <c r="D176" s="62">
        <v>0.127689</v>
      </c>
      <c r="E176" s="62">
        <v>0</v>
      </c>
      <c r="F176" s="62">
        <v>0.553419</v>
      </c>
      <c r="G176" s="44">
        <f>SUM(C176:F176)</f>
        <v>1.243291</v>
      </c>
      <c r="H176" s="62">
        <v>0</v>
      </c>
      <c r="I176" s="63">
        <v>0.1</v>
      </c>
      <c r="J176" s="3"/>
      <c r="K176" s="3"/>
      <c r="L176" s="3"/>
    </row>
    <row r="177">
      <c r="A177" s="3"/>
      <c r="B177" s="49" t="s">
        <v>113</v>
      </c>
      <c r="C177" s="29" t="s">
        <v>39</v>
      </c>
      <c r="D177" s="29" t="s">
        <v>39</v>
      </c>
      <c r="E177" s="29" t="s">
        <v>39</v>
      </c>
      <c r="F177" s="29" t="s">
        <v>39</v>
      </c>
      <c r="G177" s="29" t="s">
        <v>39</v>
      </c>
      <c r="H177" s="29">
        <f>IFERROR(H176/C176-1,"n/a")</f>
        <v>-1</v>
      </c>
      <c r="I177" s="42">
        <f>IFERROR(I176/D176-1,"n/a")</f>
        <v>-0.21684718339089504</v>
      </c>
      <c r="J177" s="3"/>
      <c r="K177" s="3"/>
      <c r="L177" s="3"/>
    </row>
    <row r="178">
      <c r="A178" s="3"/>
      <c r="B178" s="49" t="s">
        <v>114</v>
      </c>
      <c r="C178" s="29" t="s">
        <v>39</v>
      </c>
      <c r="D178" s="29">
        <f>IFERROR(D176/C176-1,"n/a")</f>
        <v>-0.7728693325838739</v>
      </c>
      <c r="E178" s="29">
        <f>IFERROR(E176/D176-1,"n/a")</f>
        <v>-1</v>
      </c>
      <c r="F178" s="29" t="str">
        <f>IFERROR(F176/E176-1,"n/a")</f>
        <v>n/a</v>
      </c>
      <c r="G178" s="29"/>
      <c r="H178" s="29">
        <f>IFERROR(H176/F176-1,"n/a")</f>
        <v>-1</v>
      </c>
      <c r="I178" s="42" t="str">
        <f>IFERROR(I176/H176-1,"n/a")</f>
        <v>n/a</v>
      </c>
      <c r="J178" s="3"/>
      <c r="K178" s="3"/>
      <c r="L178" s="3"/>
    </row>
    <row r="179">
      <c r="A179" s="3"/>
      <c r="B179" s="49" t="s">
        <v>115</v>
      </c>
      <c r="C179" s="29">
        <f>IFERROR(C176/C211,"n/a")</f>
        <v>0.01739502033765863</v>
      </c>
      <c r="D179" s="29">
        <f>IFERROR(D176/D211,"n/a")</f>
        <v>0.00416933381171064</v>
      </c>
      <c r="E179" s="29">
        <f>IFERROR(E176/E211,"n/a")</f>
        <v>0</v>
      </c>
      <c r="F179" s="29">
        <f>IFERROR(F176/F211,"n/a")</f>
        <v>0.017781671575254857</v>
      </c>
      <c r="G179" s="29">
        <f>IFERROR(G176/G211,"n/a")</f>
        <v>0.009889922685270027</v>
      </c>
      <c r="H179" s="29">
        <f>IFERROR(H176/H211,"n/a")</f>
        <v>0</v>
      </c>
      <c r="I179" s="42">
        <f>IFERROR(I176/I211,"n/a")</f>
        <v>0.0031897596979320116</v>
      </c>
      <c r="J179" s="3"/>
      <c r="K179" s="3"/>
      <c r="L179" s="3"/>
    </row>
    <row r="180">
      <c r="A180" s="3"/>
      <c r="B180" s="49" t="s">
        <v>116</v>
      </c>
      <c r="C180" s="29" t="s">
        <v>39</v>
      </c>
      <c r="D180" s="29" t="s">
        <v>39</v>
      </c>
      <c r="E180" s="29" t="s">
        <v>39</v>
      </c>
      <c r="F180" s="29" t="s">
        <v>39</v>
      </c>
      <c r="G180" s="29" t="s">
        <v>39</v>
      </c>
      <c r="H180" s="29" t="str">
        <f>IF(AND(ISNUMBER(H177),ISNUMBER(H181),ISNUMBER(H182)),(1+H177)/((1+H181)*(1+H182))-1,"n/a")</f>
        <v>n/a</v>
      </c>
      <c r="I180" s="42" t="str">
        <f>IF(AND(ISNUMBER(I177),ISNUMBER(I181),ISNUMBER(I182)),(1+I177)/((1+I181)*(1+I182))-1,"n/a")</f>
        <v>n/a</v>
      </c>
      <c r="J180" s="3"/>
      <c r="K180" s="3"/>
      <c r="L180" s="3"/>
    </row>
    <row r="181">
      <c r="A181" s="3"/>
      <c r="B181" s="49" t="s">
        <v>117</v>
      </c>
      <c r="C181" s="29" t="s">
        <v>39</v>
      </c>
      <c r="D181" s="29" t="s">
        <v>39</v>
      </c>
      <c r="E181" s="29" t="s">
        <v>39</v>
      </c>
      <c r="F181" s="29" t="s">
        <v>39</v>
      </c>
      <c r="G181" s="29" t="s">
        <v>39</v>
      </c>
      <c r="H181" s="29" t="s">
        <v>39</v>
      </c>
      <c r="I181" s="42" t="s">
        <v>39</v>
      </c>
      <c r="J181" s="3"/>
      <c r="K181" s="3"/>
      <c r="L181" s="3"/>
    </row>
    <row r="182">
      <c r="A182" s="3"/>
      <c r="B182" s="49" t="s">
        <v>118</v>
      </c>
      <c r="C182" s="29" t="s">
        <v>39</v>
      </c>
      <c r="D182" s="29" t="s">
        <v>39</v>
      </c>
      <c r="E182" s="29" t="s">
        <v>39</v>
      </c>
      <c r="F182" s="29" t="s">
        <v>39</v>
      </c>
      <c r="G182" s="29" t="s">
        <v>39</v>
      </c>
      <c r="H182" s="29" t="s">
        <v>39</v>
      </c>
      <c r="I182" s="42" t="s">
        <v>39</v>
      </c>
      <c r="J182" s="3"/>
      <c r="K182" s="3"/>
      <c r="L182" s="3"/>
    </row>
    <row r="183">
      <c r="A183" s="3"/>
      <c r="B183" s="46" t="s">
        <v>130</v>
      </c>
      <c r="C183" s="62">
        <v>0.436418</v>
      </c>
      <c r="D183" s="62">
        <v>0.903439</v>
      </c>
      <c r="E183" s="62">
        <v>1.065007</v>
      </c>
      <c r="F183" s="62">
        <v>0.899844</v>
      </c>
      <c r="G183" s="44">
        <f>SUM(C183:F183)</f>
        <v>3.3047079999999998</v>
      </c>
      <c r="H183" s="62">
        <v>0.778852</v>
      </c>
      <c r="I183" s="63">
        <v>0.8</v>
      </c>
      <c r="J183" s="3"/>
      <c r="K183" s="3"/>
      <c r="L183" s="3"/>
    </row>
    <row r="184">
      <c r="A184" s="3"/>
      <c r="B184" s="49" t="s">
        <v>113</v>
      </c>
      <c r="C184" s="29" t="s">
        <v>39</v>
      </c>
      <c r="D184" s="29" t="s">
        <v>39</v>
      </c>
      <c r="E184" s="29" t="s">
        <v>39</v>
      </c>
      <c r="F184" s="29" t="s">
        <v>39</v>
      </c>
      <c r="G184" s="29" t="s">
        <v>39</v>
      </c>
      <c r="H184" s="29">
        <f>IFERROR(H183/C183-1,"n/a")</f>
        <v>0.7846468294158353</v>
      </c>
      <c r="I184" s="42">
        <f>IFERROR(I183/D183-1,"n/a")</f>
        <v>-0.11449472515576586</v>
      </c>
      <c r="J184" s="3"/>
      <c r="K184" s="3"/>
      <c r="L184" s="3"/>
    </row>
    <row r="185">
      <c r="A185" s="3"/>
      <c r="B185" s="49" t="s">
        <v>114</v>
      </c>
      <c r="C185" s="29" t="s">
        <v>39</v>
      </c>
      <c r="D185" s="29">
        <f>IFERROR(D183/C183-1,"n/a")</f>
        <v>1.0701231388256214</v>
      </c>
      <c r="E185" s="29">
        <f>IFERROR(E183/D183-1,"n/a")</f>
        <v>0.17883664530754162</v>
      </c>
      <c r="F185" s="29">
        <f>IFERROR(F183/E183-1,"n/a")</f>
        <v>-0.15508160979223617</v>
      </c>
      <c r="G185" s="29"/>
      <c r="H185" s="29">
        <f>IFERROR(H183/F183-1,"n/a")</f>
        <v>-0.13445886175826027</v>
      </c>
      <c r="I185" s="42">
        <f>IFERROR(I183/H183-1,"n/a")</f>
        <v>0.02715278384083253</v>
      </c>
      <c r="J185" s="3"/>
      <c r="K185" s="3"/>
      <c r="L185" s="3"/>
    </row>
    <row r="186">
      <c r="A186" s="3"/>
      <c r="B186" s="49" t="s">
        <v>115</v>
      </c>
      <c r="C186" s="29">
        <f>IFERROR(C183/C211,"n/a")</f>
        <v>0.01350361000905453</v>
      </c>
      <c r="D186" s="29">
        <f>IFERROR(D183/D211,"n/a")</f>
        <v>0.029499320767787742</v>
      </c>
      <c r="E186" s="29">
        <f>IFERROR(E183/E211,"n/a")</f>
        <v>0.033654253763855946</v>
      </c>
      <c r="F186" s="29">
        <f>IFERROR(F183/F211,"n/a")</f>
        <v>0.02891250657632577</v>
      </c>
      <c r="G186" s="29">
        <f>IFERROR(G183/G211,"n/a")</f>
        <v>0.026287736835055784</v>
      </c>
      <c r="H186" s="29">
        <f>IFERROR(H183/H211,"n/a")</f>
        <v>0.02530636182789541</v>
      </c>
      <c r="I186" s="42">
        <f>IFERROR(I183/I211,"n/a")</f>
        <v>0.025518077583456093</v>
      </c>
      <c r="J186" s="3"/>
      <c r="K186" s="3"/>
      <c r="L186" s="3"/>
    </row>
    <row r="187">
      <c r="A187" s="3"/>
      <c r="B187" s="49" t="s">
        <v>116</v>
      </c>
      <c r="C187" s="29" t="s">
        <v>39</v>
      </c>
      <c r="D187" s="29" t="s">
        <v>39</v>
      </c>
      <c r="E187" s="29" t="s">
        <v>39</v>
      </c>
      <c r="F187" s="29" t="s">
        <v>39</v>
      </c>
      <c r="G187" s="29" t="s">
        <v>39</v>
      </c>
      <c r="H187" s="29" t="str">
        <f>IF(AND(ISNUMBER(H184),ISNUMBER(H188),ISNUMBER(H189)),(1+H184)/((1+H188)*(1+H189))-1,"n/a")</f>
        <v>n/a</v>
      </c>
      <c r="I187" s="42" t="str">
        <f>IF(AND(ISNUMBER(I184),ISNUMBER(I188),ISNUMBER(I189)),(1+I184)/((1+I188)*(1+I189))-1,"n/a")</f>
        <v>n/a</v>
      </c>
      <c r="J187" s="3"/>
      <c r="K187" s="3"/>
      <c r="L187" s="3"/>
    </row>
    <row r="188">
      <c r="A188" s="3"/>
      <c r="B188" s="49" t="s">
        <v>117</v>
      </c>
      <c r="C188" s="29" t="s">
        <v>39</v>
      </c>
      <c r="D188" s="29" t="s">
        <v>39</v>
      </c>
      <c r="E188" s="29" t="s">
        <v>39</v>
      </c>
      <c r="F188" s="29" t="s">
        <v>39</v>
      </c>
      <c r="G188" s="29" t="s">
        <v>39</v>
      </c>
      <c r="H188" s="29" t="s">
        <v>39</v>
      </c>
      <c r="I188" s="42" t="s">
        <v>39</v>
      </c>
      <c r="J188" s="3"/>
      <c r="K188" s="3"/>
      <c r="L188" s="3"/>
    </row>
    <row r="189">
      <c r="A189" s="3"/>
      <c r="B189" s="49" t="s">
        <v>118</v>
      </c>
      <c r="C189" s="29" t="s">
        <v>39</v>
      </c>
      <c r="D189" s="29" t="s">
        <v>39</v>
      </c>
      <c r="E189" s="29" t="s">
        <v>39</v>
      </c>
      <c r="F189" s="29" t="s">
        <v>39</v>
      </c>
      <c r="G189" s="29" t="s">
        <v>39</v>
      </c>
      <c r="H189" s="29" t="s">
        <v>39</v>
      </c>
      <c r="I189" s="42" t="s">
        <v>39</v>
      </c>
      <c r="J189" s="3"/>
      <c r="K189" s="3"/>
      <c r="L189" s="3"/>
    </row>
    <row r="190">
      <c r="A190" s="3"/>
      <c r="B190" s="30" t="s">
        <v>131</v>
      </c>
      <c r="C190" s="68">
        <f>C176+C183</f>
        <v>0.998601</v>
      </c>
      <c r="D190" s="68">
        <f>D176+D183</f>
        <v>1.031128</v>
      </c>
      <c r="E190" s="68">
        <f>E176+E183</f>
        <v>1.065007</v>
      </c>
      <c r="F190" s="68">
        <f>F176+F183</f>
        <v>1.453263</v>
      </c>
      <c r="G190" s="68">
        <f>G176+G183</f>
        <v>4.547999</v>
      </c>
      <c r="H190" s="68">
        <f>H176+H183</f>
        <v>0.778852</v>
      </c>
      <c r="I190" s="78">
        <f>I176+I183</f>
        <v>0.9</v>
      </c>
      <c r="J190" s="3"/>
      <c r="K190" s="3"/>
      <c r="L190" s="3"/>
    </row>
    <row r="191">
      <c r="A191" s="3"/>
      <c r="B191" s="49" t="s">
        <v>113</v>
      </c>
      <c r="C191" s="29" t="s">
        <v>39</v>
      </c>
      <c r="D191" s="29" t="s">
        <v>39</v>
      </c>
      <c r="E191" s="29" t="s">
        <v>39</v>
      </c>
      <c r="F191" s="29" t="s">
        <v>39</v>
      </c>
      <c r="G191" s="29" t="s">
        <v>39</v>
      </c>
      <c r="H191" s="29">
        <f>IFERROR(H190/C190-1,"n/a")</f>
        <v>-0.22005685954650556</v>
      </c>
      <c r="I191" s="42">
        <f>IFERROR(I190/D190-1,"n/a")</f>
        <v>-0.12716946877594248</v>
      </c>
      <c r="J191" s="3"/>
      <c r="K191" s="3"/>
      <c r="L191" s="3"/>
    </row>
    <row r="192">
      <c r="A192" s="3"/>
      <c r="B192" s="49" t="s">
        <v>114</v>
      </c>
      <c r="C192" s="29" t="s">
        <v>39</v>
      </c>
      <c r="D192" s="29">
        <f>IFERROR(D190/C190-1,"n/a")</f>
        <v>0.0325725690240648</v>
      </c>
      <c r="E192" s="29">
        <f>IFERROR(E190/D190-1,"n/a")</f>
        <v>0.03285625063037756</v>
      </c>
      <c r="F192" s="29">
        <f>IFERROR(F190/E190-1,"n/a")</f>
        <v>0.36455722826234926</v>
      </c>
      <c r="G192" s="29"/>
      <c r="H192" s="29">
        <f>IFERROR(H190/F190-1,"n/a")</f>
        <v>-0.46406672433000773</v>
      </c>
      <c r="I192" s="42">
        <f>IFERROR(I190/H190-1,"n/a")</f>
        <v>0.15554688182093646</v>
      </c>
      <c r="J192" s="3"/>
      <c r="K192" s="3"/>
      <c r="L192" s="3"/>
    </row>
    <row r="193">
      <c r="A193" s="3"/>
      <c r="B193" s="49" t="s">
        <v>115</v>
      </c>
      <c r="C193" s="29">
        <f>IFERROR(C190/C211,"n/a")</f>
        <v>0.03089863034671316</v>
      </c>
      <c r="D193" s="29">
        <f>IFERROR(D190/D211,"n/a")</f>
        <v>0.033668654579498386</v>
      </c>
      <c r="E193" s="29">
        <f>IFERROR(E190/E211,"n/a")</f>
        <v>0.033654253763855946</v>
      </c>
      <c r="F193" s="29">
        <f>IFERROR(F190/F211,"n/a")</f>
        <v>0.046694178151580626</v>
      </c>
      <c r="G193" s="29">
        <f>IFERROR(G190/G211,"n/a")</f>
        <v>0.03617765952032581</v>
      </c>
      <c r="H193" s="29">
        <f>IFERROR(H190/H211,"n/a")</f>
        <v>0.02530636182789541</v>
      </c>
      <c r="I193" s="42">
        <f>IFERROR(I190/I211,"n/a")</f>
        <v>0.028707837281388104</v>
      </c>
      <c r="J193" s="3"/>
      <c r="K193" s="3"/>
      <c r="L193" s="3"/>
    </row>
    <row r="194">
      <c r="A194" s="3"/>
      <c r="B194" s="49" t="s">
        <v>116</v>
      </c>
      <c r="C194" s="29" t="s">
        <v>39</v>
      </c>
      <c r="D194" s="29" t="s">
        <v>39</v>
      </c>
      <c r="E194" s="29" t="s">
        <v>39</v>
      </c>
      <c r="F194" s="29" t="s">
        <v>39</v>
      </c>
      <c r="G194" s="29" t="s">
        <v>39</v>
      </c>
      <c r="H194" s="29" t="str">
        <f>IF(AND(ISNUMBER(H191),ISNUMBER(H195),ISNUMBER(H196)),(1+H191)/((1+H195)*(1+H196))-1,"n/a")</f>
        <v>n/a</v>
      </c>
      <c r="I194" s="42" t="str">
        <f>IF(AND(ISNUMBER(I191),ISNUMBER(I195),ISNUMBER(I196)),(1+I191)/((1+I195)*(1+I196))-1,"n/a")</f>
        <v>n/a</v>
      </c>
      <c r="J194" s="3"/>
      <c r="K194" s="3"/>
      <c r="L194" s="3"/>
    </row>
    <row r="195">
      <c r="A195" s="3"/>
      <c r="B195" s="49" t="s">
        <v>117</v>
      </c>
      <c r="C195" s="29" t="s">
        <v>39</v>
      </c>
      <c r="D195" s="29" t="s">
        <v>39</v>
      </c>
      <c r="E195" s="29" t="s">
        <v>39</v>
      </c>
      <c r="F195" s="29" t="s">
        <v>39</v>
      </c>
      <c r="G195" s="29" t="s">
        <v>39</v>
      </c>
      <c r="H195" s="29" t="s">
        <v>39</v>
      </c>
      <c r="I195" s="42" t="s">
        <v>39</v>
      </c>
      <c r="J195" s="3"/>
      <c r="K195" s="3"/>
      <c r="L195" s="3"/>
    </row>
    <row r="196">
      <c r="A196" s="3"/>
      <c r="B196" s="49" t="s">
        <v>118</v>
      </c>
      <c r="C196" s="29" t="s">
        <v>39</v>
      </c>
      <c r="D196" s="29" t="s">
        <v>39</v>
      </c>
      <c r="E196" s="29" t="s">
        <v>39</v>
      </c>
      <c r="F196" s="29" t="s">
        <v>39</v>
      </c>
      <c r="G196" s="29" t="s">
        <v>39</v>
      </c>
      <c r="H196" s="29" t="s">
        <v>39</v>
      </c>
      <c r="I196" s="42" t="s">
        <v>39</v>
      </c>
      <c r="J196" s="3"/>
      <c r="K196" s="3"/>
      <c r="L196" s="3"/>
    </row>
    <row r="197">
      <c r="A197" s="3"/>
      <c r="B197" s="3" t="s">
        <v>132</v>
      </c>
      <c r="C197" s="62">
        <v>0.264375</v>
      </c>
      <c r="D197" s="62">
        <v>0.2216</v>
      </c>
      <c r="E197" s="62">
        <v>0.662461</v>
      </c>
      <c r="F197" s="62">
        <v>1.100227</v>
      </c>
      <c r="G197" s="44">
        <f>SUM(C197:F197)</f>
        <v>2.248663</v>
      </c>
      <c r="H197" s="62">
        <v>0.656363</v>
      </c>
      <c r="I197" s="40">
        <f>I10*I94</f>
        <v>0.525</v>
      </c>
      <c r="J197" s="3"/>
      <c r="K197" s="3"/>
      <c r="L197" s="3"/>
    </row>
    <row r="198">
      <c r="A198" s="3"/>
      <c r="B198" s="49" t="s">
        <v>113</v>
      </c>
      <c r="C198" s="29" t="s">
        <v>39</v>
      </c>
      <c r="D198" s="29" t="s">
        <v>39</v>
      </c>
      <c r="E198" s="29" t="s">
        <v>39</v>
      </c>
      <c r="F198" s="29" t="s">
        <v>39</v>
      </c>
      <c r="G198" s="29" t="s">
        <v>39</v>
      </c>
      <c r="H198" s="29">
        <f>IFERROR(H197/C197-1,"n/a")</f>
        <v>1.482696926713948</v>
      </c>
      <c r="I198" s="42">
        <f>IFERROR(I197/D197-1,"n/a")</f>
        <v>1.3691335740072206</v>
      </c>
      <c r="J198" s="3"/>
      <c r="K198" s="3"/>
      <c r="L198" s="3"/>
    </row>
    <row r="199">
      <c r="A199" s="3"/>
      <c r="B199" s="49" t="s">
        <v>114</v>
      </c>
      <c r="C199" s="29" t="s">
        <v>39</v>
      </c>
      <c r="D199" s="29">
        <f>IFERROR(D197/C197-1,"n/a")</f>
        <v>-0.16179669030732868</v>
      </c>
      <c r="E199" s="29">
        <f>IFERROR(E197/D197-1,"n/a")</f>
        <v>1.9894449458483754</v>
      </c>
      <c r="F199" s="29">
        <f>IFERROR(F197/E197-1,"n/a")</f>
        <v>0.6608177688950747</v>
      </c>
      <c r="G199" s="29"/>
      <c r="H199" s="29">
        <f>IFERROR(H197/F197-1,"n/a")</f>
        <v>-0.40342947409943586</v>
      </c>
      <c r="I199" s="42">
        <f>IFERROR(I197/H197-1,"n/a")</f>
        <v>-0.20013772866538793</v>
      </c>
      <c r="J199" s="3"/>
      <c r="K199" s="3"/>
      <c r="L199" s="3"/>
    </row>
    <row r="200">
      <c r="A200" s="3"/>
      <c r="B200" s="49" t="s">
        <v>115</v>
      </c>
      <c r="C200" s="29">
        <f>IFERROR(C197/C211,"n/a")</f>
        <v>0.008180269595075803</v>
      </c>
      <c r="D200" s="29">
        <f>IFERROR(D197/D211,"n/a")</f>
        <v>0.007235739747942875</v>
      </c>
      <c r="E200" s="29">
        <f>IFERROR(E197/E211,"n/a")</f>
        <v>0.02093378785553313</v>
      </c>
      <c r="F200" s="29">
        <f>IFERROR(F197/F211,"n/a")</f>
        <v>0.035350927908561015</v>
      </c>
      <c r="G200" s="29">
        <f>IFERROR(G197/G211,"n/a")</f>
        <v>0.017887287220149872</v>
      </c>
      <c r="H200" s="29">
        <f>IFERROR(H197/H211,"n/a")</f>
        <v>0.021326464550958227</v>
      </c>
      <c r="I200" s="42">
        <f>IFERROR(I197/I211,"n/a")</f>
        <v>0.01674623841414306</v>
      </c>
      <c r="J200" s="3"/>
      <c r="K200" s="3"/>
      <c r="L200" s="3"/>
    </row>
    <row r="201">
      <c r="A201" s="3"/>
      <c r="B201" s="49" t="s">
        <v>116</v>
      </c>
      <c r="C201" s="29" t="s">
        <v>39</v>
      </c>
      <c r="D201" s="29" t="s">
        <v>39</v>
      </c>
      <c r="E201" s="29" t="s">
        <v>39</v>
      </c>
      <c r="F201" s="29" t="s">
        <v>39</v>
      </c>
      <c r="G201" s="29" t="s">
        <v>39</v>
      </c>
      <c r="H201" s="29" t="str">
        <f>IF(AND(ISNUMBER(H198),ISNUMBER(H202),ISNUMBER(H203)),(1+H198)/((1+H202)*(1+H203))-1,"n/a")</f>
        <v>n/a</v>
      </c>
      <c r="I201" s="42" t="str">
        <f>IF(AND(ISNUMBER(I198),ISNUMBER(I202),ISNUMBER(I203)),(1+I198)/((1+I202)*(1+I203))-1,"n/a")</f>
        <v>n/a</v>
      </c>
      <c r="J201" s="3"/>
      <c r="K201" s="3"/>
      <c r="L201" s="3"/>
    </row>
    <row r="202">
      <c r="A202" s="3"/>
      <c r="B202" s="49" t="s">
        <v>117</v>
      </c>
      <c r="C202" s="29" t="s">
        <v>39</v>
      </c>
      <c r="D202" s="29" t="s">
        <v>39</v>
      </c>
      <c r="E202" s="29" t="s">
        <v>39</v>
      </c>
      <c r="F202" s="29" t="s">
        <v>39</v>
      </c>
      <c r="G202" s="29" t="s">
        <v>39</v>
      </c>
      <c r="H202" s="29" t="s">
        <v>39</v>
      </c>
      <c r="I202" s="42" t="s">
        <v>39</v>
      </c>
      <c r="J202" s="3"/>
      <c r="K202" s="3"/>
      <c r="L202" s="3"/>
    </row>
    <row r="203">
      <c r="A203" s="3"/>
      <c r="B203" s="49" t="s">
        <v>118</v>
      </c>
      <c r="C203" s="29" t="s">
        <v>39</v>
      </c>
      <c r="D203" s="29" t="s">
        <v>39</v>
      </c>
      <c r="E203" s="29" t="s">
        <v>39</v>
      </c>
      <c r="F203" s="29" t="s">
        <v>39</v>
      </c>
      <c r="G203" s="29" t="s">
        <v>39</v>
      </c>
      <c r="H203" s="29" t="s">
        <v>39</v>
      </c>
      <c r="I203" s="42" t="s">
        <v>39</v>
      </c>
      <c r="J203" s="3"/>
      <c r="K203" s="3"/>
      <c r="L203" s="3"/>
    </row>
    <row r="204">
      <c r="A204" s="3"/>
      <c r="B204" s="3" t="s">
        <v>133</v>
      </c>
      <c r="C204" s="62">
        <v>0.319329</v>
      </c>
      <c r="D204" s="62">
        <v>-0.028436</v>
      </c>
      <c r="E204" s="62">
        <v>0.625282</v>
      </c>
      <c r="F204" s="62">
        <v>0.632685</v>
      </c>
      <c r="G204" s="44">
        <f>SUM(C204:F204)</f>
        <v>1.54886</v>
      </c>
      <c r="H204" s="62">
        <v>0.127261</v>
      </c>
      <c r="I204" s="63">
        <v>0.3</v>
      </c>
      <c r="J204" s="3"/>
      <c r="K204" s="3"/>
      <c r="L204" s="3"/>
    </row>
    <row r="205">
      <c r="A205" s="3"/>
      <c r="B205" s="49" t="s">
        <v>113</v>
      </c>
      <c r="C205" s="29" t="s">
        <v>39</v>
      </c>
      <c r="D205" s="29" t="s">
        <v>39</v>
      </c>
      <c r="E205" s="29" t="s">
        <v>39</v>
      </c>
      <c r="F205" s="29" t="s">
        <v>39</v>
      </c>
      <c r="G205" s="29" t="s">
        <v>39</v>
      </c>
      <c r="H205" s="29">
        <f>IFERROR(IF(OR(C204&lt;=0,H204&lt;0),"n/a",H204/C204-1),"n/a")</f>
        <v>-0.6014737151965527</v>
      </c>
      <c r="I205" s="42" t="str">
        <f>IFERROR(IF(OR(D204&lt;=0,I204&lt;0),"n/a",I204/D204-1),"n/a")</f>
        <v>n/a</v>
      </c>
      <c r="J205" s="3"/>
      <c r="K205" s="3"/>
      <c r="L205" s="3"/>
    </row>
    <row r="206">
      <c r="A206" s="3"/>
      <c r="B206" s="49" t="s">
        <v>114</v>
      </c>
      <c r="C206" s="29" t="s">
        <v>39</v>
      </c>
      <c r="D206" s="29" t="str">
        <f>IFERROR(IF(OR(C204&lt;=0,D204&lt;0),"n/a",D204/C204-1),"n/a")</f>
        <v>n/a</v>
      </c>
      <c r="E206" s="29" t="str">
        <f>IFERROR(IF(OR(D204&lt;=0,E204&lt;0),"n/a",E204/D204-1),"n/a")</f>
        <v>n/a</v>
      </c>
      <c r="F206" s="29">
        <f>IFERROR(IF(OR(E204&lt;=0,F204&lt;0),"n/a",F204/E204-1),"n/a")</f>
        <v>0.011839458036533967</v>
      </c>
      <c r="G206" s="29"/>
      <c r="H206" s="29">
        <f>IFERROR(IF(OR(F204&lt;=0,H204&lt;0),"n/a",H204/F204-1),"n/a")</f>
        <v>-0.7988556706733999</v>
      </c>
      <c r="I206" s="42">
        <f>IFERROR(IF(OR(H204&lt;=0,I204&lt;0),"n/a",I204/H204-1),"n/a")</f>
        <v>1.3573600710351164</v>
      </c>
      <c r="J206" s="3"/>
      <c r="K206" s="3"/>
      <c r="L206" s="3"/>
    </row>
    <row r="207">
      <c r="A207" s="3"/>
      <c r="B207" s="49" t="s">
        <v>115</v>
      </c>
      <c r="C207" s="29">
        <f>IFERROR(C204/C211,"n/a")</f>
        <v>0.009880651761800325</v>
      </c>
      <c r="D207" s="29">
        <f>IFERROR(D204/D211,"n/a")</f>
        <v>-0.0009284995283055217</v>
      </c>
      <c r="E207" s="29">
        <f>IFERROR(E204/E211,"n/a")</f>
        <v>0.019758930318740976</v>
      </c>
      <c r="F207" s="29">
        <f>IFERROR(F204/F211,"n/a")</f>
        <v>0.020328533860583246</v>
      </c>
      <c r="G207" s="29">
        <f>IFERROR(G204/G211,"n/a")</f>
        <v>0.012320611707401834</v>
      </c>
      <c r="H207" s="29">
        <f>IFERROR(H204/H211,"n/a")</f>
        <v>0.004134948504439608</v>
      </c>
      <c r="I207" s="42">
        <f>IFERROR(I204/I211,"n/a")</f>
        <v>0.009569279093796033</v>
      </c>
      <c r="J207" s="3"/>
      <c r="K207" s="3"/>
      <c r="L207" s="3"/>
    </row>
    <row r="208">
      <c r="A208" s="3"/>
      <c r="B208" s="49" t="s">
        <v>116</v>
      </c>
      <c r="C208" s="29" t="s">
        <v>39</v>
      </c>
      <c r="D208" s="29" t="s">
        <v>39</v>
      </c>
      <c r="E208" s="29" t="s">
        <v>39</v>
      </c>
      <c r="F208" s="29" t="s">
        <v>39</v>
      </c>
      <c r="G208" s="29" t="s">
        <v>39</v>
      </c>
      <c r="H208" s="29" t="str">
        <f>IF(AND(ISNUMBER(H205),ISNUMBER(H209),ISNUMBER(H210)),(1+H205)/((1+H209)*(1+H210))-1,"n/a")</f>
        <v>n/a</v>
      </c>
      <c r="I208" s="42" t="str">
        <f>IF(AND(ISNUMBER(I205),ISNUMBER(I209),ISNUMBER(I210)),(1+I205)/((1+I209)*(1+I210))-1,"n/a")</f>
        <v>n/a</v>
      </c>
      <c r="J208" s="3"/>
      <c r="K208" s="3"/>
      <c r="L208" s="3"/>
    </row>
    <row r="209">
      <c r="A209" s="3"/>
      <c r="B209" s="49" t="s">
        <v>117</v>
      </c>
      <c r="C209" s="29" t="s">
        <v>39</v>
      </c>
      <c r="D209" s="29" t="s">
        <v>39</v>
      </c>
      <c r="E209" s="29" t="s">
        <v>39</v>
      </c>
      <c r="F209" s="29" t="s">
        <v>39</v>
      </c>
      <c r="G209" s="29" t="s">
        <v>39</v>
      </c>
      <c r="H209" s="29" t="s">
        <v>39</v>
      </c>
      <c r="I209" s="42" t="s">
        <v>39</v>
      </c>
      <c r="J209" s="3"/>
      <c r="K209" s="3"/>
      <c r="L209" s="3"/>
    </row>
    <row r="210">
      <c r="A210" s="3"/>
      <c r="B210" s="49" t="s">
        <v>118</v>
      </c>
      <c r="C210" s="29" t="s">
        <v>39</v>
      </c>
      <c r="D210" s="29" t="s">
        <v>39</v>
      </c>
      <c r="E210" s="29" t="s">
        <v>39</v>
      </c>
      <c r="F210" s="29" t="s">
        <v>39</v>
      </c>
      <c r="G210" s="29" t="s">
        <v>39</v>
      </c>
      <c r="H210" s="29" t="s">
        <v>39</v>
      </c>
      <c r="I210" s="42" t="s">
        <v>39</v>
      </c>
      <c r="J210" s="3"/>
      <c r="K210" s="3"/>
      <c r="L210" s="3"/>
    </row>
    <row r="211">
      <c r="A211" s="3"/>
      <c r="B211" s="30" t="s">
        <v>134</v>
      </c>
      <c r="C211" s="68">
        <f>C155+C162+C169+C190+C197+C204</f>
        <v>32.318617</v>
      </c>
      <c r="D211" s="68">
        <f>D155+D162+D169+D190+D197+D204</f>
        <v>30.625756</v>
      </c>
      <c r="E211" s="68">
        <f>E155+E162+E169+E190+E197+E204</f>
        <v>31.645539</v>
      </c>
      <c r="F211" s="68">
        <f>F155+F162+F169+F190+F197+F204</f>
        <v>31.123001999999996</v>
      </c>
      <c r="G211" s="68">
        <f>G155+G162+G169+G190+G197+G204</f>
        <v>125.712914</v>
      </c>
      <c r="H211" s="68">
        <f>H155+H162+H169+H190+H197+H204</f>
        <v>30.776925000000002</v>
      </c>
      <c r="I211" s="78">
        <f>I155+I162+I169+I190+I197+I204</f>
        <v>31.35032399614056</v>
      </c>
      <c r="J211" s="3"/>
      <c r="K211" s="3"/>
      <c r="L211" s="3"/>
    </row>
    <row r="212">
      <c r="A212" s="3"/>
      <c r="B212" s="49" t="s">
        <v>113</v>
      </c>
      <c r="C212" s="29" t="s">
        <v>39</v>
      </c>
      <c r="D212" s="29" t="s">
        <v>39</v>
      </c>
      <c r="E212" s="29" t="s">
        <v>39</v>
      </c>
      <c r="F212" s="29" t="s">
        <v>39</v>
      </c>
      <c r="G212" s="29" t="s">
        <v>39</v>
      </c>
      <c r="H212" s="29">
        <f>IFERROR(H211/C211-1,"n/a")</f>
        <v>-0.047702907584195264</v>
      </c>
      <c r="I212" s="42">
        <f>IFERROR(I211/D211-1,"n/a")</f>
        <v>0.023658779105422356</v>
      </c>
      <c r="J212" s="3"/>
      <c r="K212" s="3"/>
      <c r="L212" s="3"/>
    </row>
    <row r="213">
      <c r="A213" s="3"/>
      <c r="B213" s="49" t="s">
        <v>114</v>
      </c>
      <c r="C213" s="29" t="s">
        <v>39</v>
      </c>
      <c r="D213" s="29">
        <f>IFERROR(D211/C211-1,"n/a")</f>
        <v>-0.05238036639996091</v>
      </c>
      <c r="E213" s="29">
        <f>IFERROR(E211/D211-1,"n/a")</f>
        <v>0.03329821474447847</v>
      </c>
      <c r="F213" s="29">
        <f>IFERROR(F211/E211-1,"n/a")</f>
        <v>-0.01651218517719044</v>
      </c>
      <c r="G213" s="29"/>
      <c r="H213" s="29">
        <f>IFERROR(H211/F211-1,"n/a")</f>
        <v>-0.011119653560411447</v>
      </c>
      <c r="I213" s="42">
        <f>IFERROR(I211/H211-1,"n/a")</f>
        <v>0.018630808508015573</v>
      </c>
      <c r="J213" s="3"/>
      <c r="K213" s="3"/>
      <c r="L213" s="3"/>
    </row>
    <row r="214">
      <c r="A214" s="3"/>
      <c r="B214" s="49" t="s">
        <v>115</v>
      </c>
      <c r="C214" s="29">
        <f>IFERROR(C211/C211,"n/a")</f>
        <v>1</v>
      </c>
      <c r="D214" s="29">
        <f>IFERROR(D211/D211,"n/a")</f>
        <v>1</v>
      </c>
      <c r="E214" s="29">
        <f>IFERROR(E211/E211,"n/a")</f>
        <v>1</v>
      </c>
      <c r="F214" s="29">
        <f>IFERROR(F211/F211,"n/a")</f>
        <v>1</v>
      </c>
      <c r="G214" s="29">
        <f>IFERROR(G211/G211,"n/a")</f>
        <v>1</v>
      </c>
      <c r="H214" s="29">
        <f>IFERROR(H211/H211,"n/a")</f>
        <v>1</v>
      </c>
      <c r="I214" s="42">
        <f>IFERROR(I211/I211,"n/a")</f>
        <v>1</v>
      </c>
      <c r="J214" s="3"/>
      <c r="K214" s="3"/>
      <c r="L214" s="3"/>
    </row>
    <row r="215">
      <c r="A215" s="3"/>
      <c r="B215" s="49" t="s">
        <v>116</v>
      </c>
      <c r="C215" s="29" t="s">
        <v>39</v>
      </c>
      <c r="D215" s="29" t="s">
        <v>39</v>
      </c>
      <c r="E215" s="29" t="s">
        <v>39</v>
      </c>
      <c r="F215" s="29" t="s">
        <v>39</v>
      </c>
      <c r="G215" s="29" t="s">
        <v>39</v>
      </c>
      <c r="H215" s="29" t="str">
        <f>IF(AND(ISNUMBER(H212),ISNUMBER(H216),ISNUMBER(H217)),(1+H212)/((1+H216)*(1+H217))-1,"n/a")</f>
        <v>n/a</v>
      </c>
      <c r="I215" s="42" t="str">
        <f>IF(AND(ISNUMBER(I212),ISNUMBER(I216),ISNUMBER(I217)),(1+I212)/((1+I216)*(1+I217))-1,"n/a")</f>
        <v>n/a</v>
      </c>
      <c r="J215" s="3"/>
      <c r="K215" s="3"/>
      <c r="L215" s="3"/>
    </row>
    <row r="216">
      <c r="A216" s="3"/>
      <c r="B216" s="49" t="s">
        <v>117</v>
      </c>
      <c r="C216" s="29" t="s">
        <v>39</v>
      </c>
      <c r="D216" s="29" t="s">
        <v>39</v>
      </c>
      <c r="E216" s="29" t="s">
        <v>39</v>
      </c>
      <c r="F216" s="29" t="s">
        <v>39</v>
      </c>
      <c r="G216" s="29" t="s">
        <v>39</v>
      </c>
      <c r="H216" s="29" t="s">
        <v>39</v>
      </c>
      <c r="I216" s="42" t="s">
        <v>39</v>
      </c>
      <c r="J216" s="3"/>
      <c r="K216" s="3"/>
      <c r="L216" s="3"/>
    </row>
    <row r="217">
      <c r="A217" s="3"/>
      <c r="B217" s="49" t="s">
        <v>118</v>
      </c>
      <c r="C217" s="29" t="s">
        <v>39</v>
      </c>
      <c r="D217" s="29" t="s">
        <v>39</v>
      </c>
      <c r="E217" s="29" t="s">
        <v>39</v>
      </c>
      <c r="F217" s="29" t="s">
        <v>39</v>
      </c>
      <c r="G217" s="29" t="s">
        <v>39</v>
      </c>
      <c r="H217" s="29" t="s">
        <v>39</v>
      </c>
      <c r="I217" s="42" t="s">
        <v>39</v>
      </c>
      <c r="J217" s="3"/>
      <c r="K217" s="3"/>
      <c r="L217" s="3"/>
    </row>
    <row r="218">
      <c r="A218" s="3"/>
      <c r="B218" s="3" t="s">
        <v>135</v>
      </c>
      <c r="C218" s="62">
        <v>32.318617</v>
      </c>
      <c r="D218" s="62">
        <v>30.625756</v>
      </c>
      <c r="E218" s="62">
        <v>31.645539</v>
      </c>
      <c r="F218" s="62">
        <v>31.123002</v>
      </c>
      <c r="G218" s="62">
        <v>125.712914</v>
      </c>
      <c r="H218" s="62">
        <v>30.776925</v>
      </c>
      <c r="I218" s="40" t="s">
        <v>39</v>
      </c>
      <c r="J218" s="3"/>
      <c r="K218" s="3"/>
      <c r="L218" s="3"/>
    </row>
    <row r="219">
      <c r="A219" s="3"/>
      <c r="B219" s="6" t="s">
        <v>136</v>
      </c>
      <c r="C219" s="65">
        <f>ROUND(C211-C218,3)</f>
        <v>0</v>
      </c>
      <c r="D219" s="65">
        <f>ROUND(D211-D218,3)</f>
        <v>0</v>
      </c>
      <c r="E219" s="65">
        <f>ROUND(E211-E218,3)</f>
        <v>0</v>
      </c>
      <c r="F219" s="65">
        <f>ROUND(F211-F218,3)</f>
        <v>0</v>
      </c>
      <c r="G219" s="65">
        <f>ROUND(G211-G218,3)</f>
        <v>0</v>
      </c>
      <c r="H219" s="65">
        <f>ROUND(H211-H218,3)</f>
        <v>0</v>
      </c>
      <c r="I219" s="75" t="s">
        <v>39</v>
      </c>
      <c r="J219" s="3"/>
      <c r="K219" s="3"/>
      <c r="L219" s="3"/>
    </row>
    <row r="220">
      <c r="A220" s="3"/>
      <c r="B220" s="6" t="s">
        <v>137</v>
      </c>
      <c r="C220" s="65">
        <f>ROUND(C211-(C155+C162+C169+C190+C197+C204),6)</f>
        <v>0</v>
      </c>
      <c r="D220" s="65">
        <f>ROUND(D211-(D155+D162+D169+D190+D197+D204),6)</f>
        <v>0</v>
      </c>
      <c r="E220" s="65">
        <f>ROUND(E211-(E155+E162+E169+E190+E197+E204),6)</f>
        <v>0</v>
      </c>
      <c r="F220" s="65">
        <f>ROUND(F211-(F155+F162+F169+F190+F197+F204),6)</f>
        <v>0</v>
      </c>
      <c r="G220" s="65">
        <f>ROUND(G211-(G155+G162+G169+G190+G197+G204),6)</f>
        <v>0</v>
      </c>
      <c r="H220" s="65">
        <f>ROUND(H211-(H155+H162+H169+H190+H197+H204),6)</f>
        <v>0</v>
      </c>
      <c r="I220" s="75">
        <f>ROUND(I211-(I155+I162+I169+I190+I197+I204),6)</f>
        <v>0</v>
      </c>
      <c r="J220" s="3"/>
      <c r="K220" s="3"/>
      <c r="L220" s="3"/>
    </row>
    <row r="221">
      <c r="A221" s="3"/>
      <c r="B221" s="3" t="s">
        <v>138</v>
      </c>
      <c r="C221" s="28">
        <f>Inputs!I100</f>
        <v>32.32</v>
      </c>
      <c r="D221" s="28">
        <f>Inputs!I101</f>
        <v>30.63</v>
      </c>
      <c r="E221" s="28">
        <f>Inputs!I102</f>
        <v>31.65</v>
      </c>
      <c r="F221" s="28">
        <f>Inputs!I103</f>
        <v>31.12</v>
      </c>
      <c r="G221" s="44" t="s">
        <v>39</v>
      </c>
      <c r="H221" s="28">
        <f>Inputs!I104</f>
        <v>30.78</v>
      </c>
      <c r="I221" s="40" t="s">
        <v>39</v>
      </c>
      <c r="J221" s="3"/>
      <c r="K221" s="3"/>
      <c r="L221" s="3"/>
    </row>
    <row r="222">
      <c r="A222" s="3"/>
      <c r="B222" s="3" t="s">
        <v>139</v>
      </c>
      <c r="C222" s="39"/>
      <c r="D222" s="39"/>
      <c r="E222" s="39"/>
      <c r="F222" s="39"/>
      <c r="G222" s="39"/>
      <c r="H222" s="39"/>
      <c r="I222" s="66"/>
      <c r="J222" s="3"/>
      <c r="K222" s="3"/>
      <c r="L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41"/>
  <sheetViews>
    <sheetView showGridLines="0" workbookViewId="0"/>
  </sheetViews>
  <sheetFormatPr defaultColWidth="8.42578125" defaultRowHeight="15"/>
  <cols>
    <col min="1" max="1" width="2" customWidth="1"/>
    <col min="2" max="2" width="56" customWidth="1"/>
    <col min="3" max="9" width="12" customWidth="1"/>
  </cols>
  <sheetData>
    <row r="1">
      <c r="A1" s="3"/>
      <c r="B1" s="17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23" t="s">
        <v>140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22" t="s">
        <v>63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72" t="s">
        <v>4</v>
      </c>
      <c r="J4" s="3"/>
      <c r="K4" s="3"/>
      <c r="L4" s="3"/>
    </row>
    <row r="5">
      <c r="A5" s="3"/>
      <c r="B5" s="14" t="s">
        <v>5</v>
      </c>
      <c r="C5" s="9">
        <v>45808</v>
      </c>
      <c r="D5" s="9">
        <v>45900</v>
      </c>
      <c r="E5" s="9">
        <v>45991</v>
      </c>
      <c r="F5" s="9">
        <v>46081</v>
      </c>
      <c r="G5" s="9">
        <v>46081</v>
      </c>
      <c r="H5" s="9">
        <v>46173</v>
      </c>
      <c r="I5" s="58">
        <v>46265</v>
      </c>
      <c r="J5" s="3"/>
      <c r="K5" s="3"/>
      <c r="L5" s="3"/>
    </row>
    <row r="6">
      <c r="A6" s="3"/>
      <c r="B6" s="21" t="s">
        <v>6</v>
      </c>
      <c r="C6" s="1">
        <f>C5-EOMONTH(C5,-3)</f>
        <v>92</v>
      </c>
      <c r="D6" s="1">
        <f>D5-EOMONTH(D5,-3)</f>
        <v>92</v>
      </c>
      <c r="E6" s="1">
        <f>E5-EOMONTH(E5,-3)</f>
        <v>91</v>
      </c>
      <c r="F6" s="1">
        <f>F5-EOMONTH(F5,-3)</f>
        <v>90</v>
      </c>
      <c r="G6" s="1">
        <f>G5-EOMONTH(G5,-12)</f>
        <v>365</v>
      </c>
      <c r="H6" s="1">
        <f>H5-EOMONTH(H5,-3)</f>
        <v>92</v>
      </c>
      <c r="I6" s="37">
        <f>I5-EOMONTH(I5,-3)</f>
        <v>92</v>
      </c>
      <c r="J6" s="3"/>
      <c r="K6" s="3"/>
      <c r="L6" s="3"/>
    </row>
    <row r="7">
      <c r="A7" s="3"/>
      <c r="B7" s="3"/>
      <c r="C7" s="3"/>
      <c r="D7" s="3"/>
      <c r="E7" s="3"/>
      <c r="F7" s="3"/>
      <c r="G7" s="3"/>
      <c r="H7" s="3"/>
      <c r="I7" s="67"/>
      <c r="J7" s="3"/>
      <c r="K7" s="3"/>
      <c r="L7" s="3"/>
    </row>
    <row r="8">
      <c r="A8" s="3"/>
      <c r="B8" s="30" t="s">
        <v>141</v>
      </c>
      <c r="C8" s="39"/>
      <c r="D8" s="39"/>
      <c r="E8" s="39"/>
      <c r="F8" s="39"/>
      <c r="G8" s="39"/>
      <c r="H8" s="39"/>
      <c r="I8" s="66"/>
      <c r="J8" s="3"/>
      <c r="K8" s="3"/>
      <c r="L8" s="3"/>
    </row>
    <row r="9">
      <c r="A9" s="3"/>
      <c r="B9" s="46" t="s">
        <v>126</v>
      </c>
      <c r="C9" s="28">
        <f>'Revenue summary'!C155</f>
        <v>28.003926</v>
      </c>
      <c r="D9" s="28">
        <f>'Revenue summary'!D155</f>
        <v>26.377435000000002</v>
      </c>
      <c r="E9" s="28">
        <f>'Revenue summary'!E155</f>
        <v>26.721978999999997</v>
      </c>
      <c r="F9" s="28">
        <f>'Revenue summary'!F155</f>
        <v>25.794672</v>
      </c>
      <c r="G9" s="28">
        <f>'Revenue summary'!G155</f>
        <v>106.898012</v>
      </c>
      <c r="H9" s="28">
        <f>'Revenue summary'!H155</f>
        <v>28.115075</v>
      </c>
      <c r="I9" s="27">
        <f>'Revenue summary'!I155</f>
        <v>28.660619907945208</v>
      </c>
      <c r="J9" s="3"/>
      <c r="K9" s="3"/>
      <c r="L9" s="3"/>
    </row>
    <row r="10">
      <c r="A10" s="3"/>
      <c r="B10" s="46" t="s">
        <v>127</v>
      </c>
      <c r="C10" s="28">
        <f>'Revenue summary'!C162</f>
        <v>2.027211</v>
      </c>
      <c r="D10" s="28">
        <f>'Revenue summary'!D162</f>
        <v>2.360397</v>
      </c>
      <c r="E10" s="28">
        <f>'Revenue summary'!E162</f>
        <v>1.942036</v>
      </c>
      <c r="F10" s="28">
        <f>'Revenue summary'!F162</f>
        <v>1.553219</v>
      </c>
      <c r="G10" s="28">
        <f>'Revenue summary'!G162</f>
        <v>7.8828629999999995</v>
      </c>
      <c r="H10" s="28">
        <f>'Revenue summary'!H162</f>
        <v>0.554386</v>
      </c>
      <c r="I10" s="27">
        <f>'Revenue summary'!I162</f>
        <v>0.4536986301369863</v>
      </c>
      <c r="J10" s="3"/>
      <c r="K10" s="3"/>
      <c r="L10" s="3"/>
    </row>
    <row r="11">
      <c r="A11" s="3"/>
      <c r="B11" s="46" t="s">
        <v>142</v>
      </c>
      <c r="C11" s="28">
        <f>'Revenue summary'!C169</f>
        <v>0.705175</v>
      </c>
      <c r="D11" s="28">
        <f>'Revenue summary'!D169</f>
        <v>0.663632</v>
      </c>
      <c r="E11" s="28">
        <f>'Revenue summary'!E169</f>
        <v>0.628774</v>
      </c>
      <c r="F11" s="28">
        <f>'Revenue summary'!F169</f>
        <v>0.588936</v>
      </c>
      <c r="G11" s="28">
        <f>'Revenue summary'!G169</f>
        <v>2.586517</v>
      </c>
      <c r="H11" s="28">
        <f>'Revenue summary'!H169</f>
        <v>0.544988</v>
      </c>
      <c r="I11" s="27">
        <f>'Revenue summary'!I169</f>
        <v>0.511005458058368</v>
      </c>
      <c r="J11" s="3"/>
      <c r="K11" s="3"/>
      <c r="L11" s="3"/>
    </row>
    <row r="12">
      <c r="A12" s="3"/>
      <c r="B12" s="46" t="s">
        <v>143</v>
      </c>
      <c r="C12" s="28">
        <f>'Revenue summary'!C190</f>
        <v>0.998601</v>
      </c>
      <c r="D12" s="28">
        <f>'Revenue summary'!D190</f>
        <v>1.031128</v>
      </c>
      <c r="E12" s="28">
        <f>'Revenue summary'!E190</f>
        <v>1.065007</v>
      </c>
      <c r="F12" s="28">
        <f>'Revenue summary'!F190</f>
        <v>1.453263</v>
      </c>
      <c r="G12" s="28">
        <f>'Revenue summary'!G190</f>
        <v>4.547999</v>
      </c>
      <c r="H12" s="28">
        <f>'Revenue summary'!H190</f>
        <v>0.778852</v>
      </c>
      <c r="I12" s="27">
        <f>'Revenue summary'!I190</f>
        <v>0.9</v>
      </c>
      <c r="J12" s="3"/>
      <c r="K12" s="3"/>
      <c r="L12" s="3"/>
    </row>
    <row r="13">
      <c r="A13" s="3"/>
      <c r="B13" s="46" t="s">
        <v>132</v>
      </c>
      <c r="C13" s="28">
        <f>'Revenue summary'!C197</f>
        <v>0.264375</v>
      </c>
      <c r="D13" s="28">
        <f>'Revenue summary'!D197</f>
        <v>0.2216</v>
      </c>
      <c r="E13" s="28">
        <f>'Revenue summary'!E197</f>
        <v>0.662461</v>
      </c>
      <c r="F13" s="28">
        <f>'Revenue summary'!F197</f>
        <v>1.100227</v>
      </c>
      <c r="G13" s="28">
        <f>'Revenue summary'!G197</f>
        <v>2.248663</v>
      </c>
      <c r="H13" s="28">
        <f>'Revenue summary'!H197</f>
        <v>0.656363</v>
      </c>
      <c r="I13" s="27">
        <f>'Revenue summary'!I197</f>
        <v>0.525</v>
      </c>
      <c r="J13" s="3"/>
      <c r="K13" s="3"/>
      <c r="L13" s="3"/>
    </row>
    <row r="14">
      <c r="A14" s="3"/>
      <c r="B14" s="46" t="s">
        <v>133</v>
      </c>
      <c r="C14" s="28">
        <f>'Revenue summary'!C204</f>
        <v>0.319329</v>
      </c>
      <c r="D14" s="28">
        <f>'Revenue summary'!D204</f>
        <v>-0.028436</v>
      </c>
      <c r="E14" s="28">
        <f>'Revenue summary'!E204</f>
        <v>0.625282</v>
      </c>
      <c r="F14" s="28">
        <f>'Revenue summary'!F204</f>
        <v>0.632685</v>
      </c>
      <c r="G14" s="28">
        <f>'Revenue summary'!G204</f>
        <v>1.54886</v>
      </c>
      <c r="H14" s="28">
        <f>'Revenue summary'!H204</f>
        <v>0.127261</v>
      </c>
      <c r="I14" s="27">
        <f>'Revenue summary'!I204</f>
        <v>0.3</v>
      </c>
      <c r="J14" s="3"/>
      <c r="K14" s="3"/>
      <c r="L14" s="3"/>
    </row>
    <row r="15">
      <c r="A15" s="3"/>
      <c r="B15" s="30" t="s">
        <v>144</v>
      </c>
      <c r="C15" s="97">
        <f>'Revenue summary'!C211</f>
        <v>32.318617</v>
      </c>
      <c r="D15" s="97">
        <f>'Revenue summary'!D211</f>
        <v>30.625756</v>
      </c>
      <c r="E15" s="97">
        <f>'Revenue summary'!E211</f>
        <v>31.645539</v>
      </c>
      <c r="F15" s="97">
        <f>'Revenue summary'!F211</f>
        <v>31.123001999999996</v>
      </c>
      <c r="G15" s="97">
        <f>'Revenue summary'!G211</f>
        <v>125.712914</v>
      </c>
      <c r="H15" s="97">
        <f>'Revenue summary'!H211</f>
        <v>30.776925000000002</v>
      </c>
      <c r="I15" s="109">
        <f>'Revenue summary'!I211</f>
        <v>31.35032399614056</v>
      </c>
      <c r="J15" s="3"/>
      <c r="K15" s="3"/>
      <c r="L15" s="3"/>
    </row>
    <row r="16">
      <c r="A16" s="3"/>
      <c r="B16" s="49" t="s">
        <v>113</v>
      </c>
      <c r="C16" s="29" t="s">
        <v>39</v>
      </c>
      <c r="D16" s="29" t="s">
        <v>39</v>
      </c>
      <c r="E16" s="29" t="s">
        <v>39</v>
      </c>
      <c r="F16" s="29" t="s">
        <v>39</v>
      </c>
      <c r="G16" s="29" t="s">
        <v>39</v>
      </c>
      <c r="H16" s="29">
        <f>IFERROR(H15/C15-1,"n/a")</f>
        <v>-0.047702907584195264</v>
      </c>
      <c r="I16" s="42">
        <f>IFERROR(I15/D15-1,"n/a")</f>
        <v>0.023658779105422356</v>
      </c>
      <c r="J16" s="3"/>
      <c r="K16" s="3"/>
      <c r="L16" s="3"/>
    </row>
    <row r="17">
      <c r="A17" s="3"/>
      <c r="B17" s="49" t="s">
        <v>114</v>
      </c>
      <c r="C17" s="29" t="s">
        <v>39</v>
      </c>
      <c r="D17" s="29">
        <f>IFERROR(D15/C15-1,"n/a")</f>
        <v>-0.05238036639996091</v>
      </c>
      <c r="E17" s="29">
        <f>IFERROR(E15/D15-1,"n/a")</f>
        <v>0.03329821474447847</v>
      </c>
      <c r="F17" s="29">
        <f>IFERROR(F15/E15-1,"n/a")</f>
        <v>-0.01651218517719044</v>
      </c>
      <c r="G17" s="29"/>
      <c r="H17" s="29">
        <f>IFERROR(H15/F15-1,"n/a")</f>
        <v>-0.011119653560411447</v>
      </c>
      <c r="I17" s="42">
        <f>IFERROR(I15/H15-1,"n/a")</f>
        <v>0.018630808508015573</v>
      </c>
      <c r="J17" s="3"/>
      <c r="K17" s="3"/>
      <c r="L17" s="3"/>
    </row>
    <row r="18">
      <c r="A18" s="3"/>
      <c r="B18" s="30" t="s">
        <v>145</v>
      </c>
      <c r="C18" s="39"/>
      <c r="D18" s="39"/>
      <c r="E18" s="39"/>
      <c r="F18" s="39"/>
      <c r="G18" s="39"/>
      <c r="H18" s="39"/>
      <c r="I18" s="66"/>
      <c r="J18" s="3"/>
      <c r="K18" s="3"/>
      <c r="L18" s="3"/>
    </row>
    <row r="19">
      <c r="A19" s="3"/>
      <c r="B19" s="46" t="s">
        <v>146</v>
      </c>
      <c r="C19" s="62">
        <v>12.451865</v>
      </c>
      <c r="D19" s="62">
        <v>12.37203</v>
      </c>
      <c r="E19" s="62">
        <v>11.911568</v>
      </c>
      <c r="F19" s="62">
        <v>12.567078</v>
      </c>
      <c r="G19" s="44">
        <f>SUM(C19:F19)</f>
        <v>49.302541000000005</v>
      </c>
      <c r="H19" s="62">
        <v>13.650283</v>
      </c>
      <c r="I19" s="40">
        <f>I112</f>
        <v>14.105621643835619</v>
      </c>
      <c r="J19" s="3"/>
      <c r="K19" s="3"/>
      <c r="L19" s="3"/>
    </row>
    <row r="20">
      <c r="A20" s="3"/>
      <c r="B20" s="46" t="s">
        <v>147</v>
      </c>
      <c r="C20" s="62">
        <v>4.333332</v>
      </c>
      <c r="D20" s="62">
        <v>4.374324</v>
      </c>
      <c r="E20" s="62">
        <v>4.43459</v>
      </c>
      <c r="F20" s="62">
        <v>4.627658</v>
      </c>
      <c r="G20" s="44">
        <f>SUM(C20:F20)</f>
        <v>17.769904</v>
      </c>
      <c r="H20" s="62">
        <v>4.970053</v>
      </c>
      <c r="I20" s="40">
        <f>I125</f>
        <v>5.060959418219179</v>
      </c>
      <c r="J20" s="3"/>
      <c r="K20" s="3"/>
      <c r="L20" s="3"/>
    </row>
    <row r="21">
      <c r="A21" s="3"/>
      <c r="B21" s="46" t="s">
        <v>148</v>
      </c>
      <c r="C21" s="62">
        <v>2.536513</v>
      </c>
      <c r="D21" s="62">
        <v>2.271173</v>
      </c>
      <c r="E21" s="62">
        <v>2.447611</v>
      </c>
      <c r="F21" s="62">
        <v>1.97516</v>
      </c>
      <c r="G21" s="44">
        <f>SUM(C21:F21)</f>
        <v>9.230457</v>
      </c>
      <c r="H21" s="62">
        <v>1.892061</v>
      </c>
      <c r="I21" s="40">
        <f>I138</f>
        <v>1.8987485868171525</v>
      </c>
      <c r="J21" s="3"/>
      <c r="K21" s="3"/>
      <c r="L21" s="3"/>
    </row>
    <row r="22">
      <c r="A22" s="3"/>
      <c r="B22" s="46" t="s">
        <v>149</v>
      </c>
      <c r="C22" s="62">
        <v>0.6992</v>
      </c>
      <c r="D22" s="62">
        <v>0.649899</v>
      </c>
      <c r="E22" s="62">
        <v>0.867774</v>
      </c>
      <c r="F22" s="62">
        <v>0.600419</v>
      </c>
      <c r="G22" s="44">
        <f>SUM(C22:F22)</f>
        <v>2.817292</v>
      </c>
      <c r="H22" s="62">
        <v>0.531236</v>
      </c>
      <c r="I22" s="63">
        <v>0.6</v>
      </c>
      <c r="J22" s="3"/>
      <c r="K22" s="3"/>
      <c r="L22" s="3"/>
    </row>
    <row r="23">
      <c r="A23" s="3"/>
      <c r="B23" s="46" t="s">
        <v>150</v>
      </c>
      <c r="C23" s="62">
        <v>1.25</v>
      </c>
      <c r="D23" s="62">
        <v>1.283333</v>
      </c>
      <c r="E23" s="62">
        <v>1.35</v>
      </c>
      <c r="F23" s="62">
        <v>1.35</v>
      </c>
      <c r="G23" s="44">
        <f>SUM(C23:F23)</f>
        <v>5.233333</v>
      </c>
      <c r="H23" s="62">
        <v>1.35</v>
      </c>
      <c r="I23" s="63">
        <v>1.35</v>
      </c>
      <c r="J23" s="3"/>
      <c r="K23" s="3"/>
      <c r="L23" s="3"/>
    </row>
    <row r="24">
      <c r="A24" s="3"/>
      <c r="B24" s="46" t="s">
        <v>151</v>
      </c>
      <c r="C24" s="62">
        <v>0.07431</v>
      </c>
      <c r="D24" s="62">
        <v>0.07431</v>
      </c>
      <c r="E24" s="62">
        <v>0.073502</v>
      </c>
      <c r="F24" s="62">
        <v>0.078358</v>
      </c>
      <c r="G24" s="44">
        <f>SUM(C24:F24)</f>
        <v>0.30047999999999997</v>
      </c>
      <c r="H24" s="62">
        <v>0.080598</v>
      </c>
      <c r="I24" s="63">
        <v>0.08</v>
      </c>
      <c r="J24" s="3"/>
      <c r="K24" s="3"/>
      <c r="L24" s="3"/>
    </row>
    <row r="25">
      <c r="A25" s="3"/>
      <c r="B25" s="46" t="s">
        <v>152</v>
      </c>
      <c r="C25" s="62">
        <v>0.1315</v>
      </c>
      <c r="D25" s="62">
        <v>0.1185</v>
      </c>
      <c r="E25" s="62">
        <v>0.09</v>
      </c>
      <c r="F25" s="62">
        <v>0.09</v>
      </c>
      <c r="G25" s="44">
        <f>SUM(C25:F25)</f>
        <v>0.43</v>
      </c>
      <c r="H25" s="62">
        <v>0.126</v>
      </c>
      <c r="I25" s="63">
        <v>0.11</v>
      </c>
      <c r="J25" s="3"/>
      <c r="K25" s="3"/>
      <c r="L25" s="3"/>
    </row>
    <row r="26">
      <c r="A26" s="3"/>
      <c r="B26" s="46" t="s">
        <v>153</v>
      </c>
      <c r="C26" s="62">
        <v>0.645411</v>
      </c>
      <c r="D26" s="62">
        <v>0.412769</v>
      </c>
      <c r="E26" s="62">
        <v>0.888786</v>
      </c>
      <c r="F26" s="62">
        <v>0.279291</v>
      </c>
      <c r="G26" s="44">
        <f>SUM(C26:F26)</f>
        <v>2.226257</v>
      </c>
      <c r="H26" s="62">
        <v>0.600266</v>
      </c>
      <c r="I26" s="63">
        <v>0.55</v>
      </c>
      <c r="J26" s="3"/>
      <c r="K26" s="3"/>
      <c r="L26" s="3"/>
    </row>
    <row r="27">
      <c r="A27" s="3"/>
      <c r="B27" s="46" t="s">
        <v>154</v>
      </c>
      <c r="C27" s="62">
        <v>0.054454</v>
      </c>
      <c r="D27" s="62">
        <v>-0.011315</v>
      </c>
      <c r="E27" s="62">
        <v>-0.204678</v>
      </c>
      <c r="F27" s="62">
        <v>0.023371</v>
      </c>
      <c r="G27" s="44">
        <f>SUM(C27:F27)</f>
        <v>-0.13816799999999999</v>
      </c>
      <c r="H27" s="62">
        <v>-0.016559</v>
      </c>
      <c r="I27" s="63">
        <v>0</v>
      </c>
      <c r="J27" s="3"/>
      <c r="K27" s="3"/>
      <c r="L27" s="3"/>
    </row>
    <row r="28">
      <c r="A28" s="3"/>
      <c r="B28" s="46" t="s">
        <v>155</v>
      </c>
      <c r="C28" s="62">
        <v>0</v>
      </c>
      <c r="D28" s="62">
        <v>0</v>
      </c>
      <c r="E28" s="62">
        <v>0</v>
      </c>
      <c r="F28" s="62">
        <v>1.734018</v>
      </c>
      <c r="G28" s="44">
        <f>SUM(C28:F28)</f>
        <v>1.734018</v>
      </c>
      <c r="H28" s="62">
        <v>0</v>
      </c>
      <c r="I28" s="63">
        <v>0</v>
      </c>
      <c r="J28" s="3"/>
      <c r="K28" s="3"/>
      <c r="L28" s="3"/>
    </row>
    <row r="29">
      <c r="A29" s="3"/>
      <c r="B29" s="30" t="s">
        <v>156</v>
      </c>
      <c r="C29" s="68">
        <f>SUM(C19:C28)</f>
        <v>22.176585</v>
      </c>
      <c r="D29" s="68">
        <f>SUM(D19:D28)</f>
        <v>21.545023</v>
      </c>
      <c r="E29" s="68">
        <f>SUM(E19:E28)</f>
        <v>21.859153000000003</v>
      </c>
      <c r="F29" s="68">
        <f>SUM(F19:F28)</f>
        <v>23.325353</v>
      </c>
      <c r="G29" s="68">
        <f>SUM(G19:G28)</f>
        <v>88.906114</v>
      </c>
      <c r="H29" s="68">
        <f>SUM(H19:H28)</f>
        <v>23.183938</v>
      </c>
      <c r="I29" s="78">
        <f>SUM(I19:I28)</f>
        <v>23.75532964887195</v>
      </c>
      <c r="J29" s="3"/>
      <c r="K29" s="3"/>
      <c r="L29" s="3"/>
    </row>
    <row r="30">
      <c r="A30" s="3"/>
      <c r="B30" s="49" t="s">
        <v>157</v>
      </c>
      <c r="C30" s="29">
        <f>C29/C15</f>
        <v>0.6861860765886113</v>
      </c>
      <c r="D30" s="29">
        <f>D29/D15</f>
        <v>0.7034935888603044</v>
      </c>
      <c r="E30" s="29">
        <f>E29/E15</f>
        <v>0.6907499031696064</v>
      </c>
      <c r="F30" s="29">
        <f>F29/F15</f>
        <v>0.7494570414512072</v>
      </c>
      <c r="G30" s="29">
        <f>G29/G15</f>
        <v>0.7072154416848535</v>
      </c>
      <c r="H30" s="29">
        <f>H29/H15</f>
        <v>0.7532896155155201</v>
      </c>
      <c r="I30" s="42">
        <f>I29/I15</f>
        <v>0.7577379312506114</v>
      </c>
      <c r="J30" s="3"/>
      <c r="K30" s="3"/>
      <c r="L30" s="3"/>
    </row>
    <row r="31">
      <c r="A31" s="3"/>
      <c r="B31" s="49" t="s">
        <v>89</v>
      </c>
      <c r="C31" s="89" t="s">
        <v>39</v>
      </c>
      <c r="D31" s="89">
        <f>IFERROR((D30-C30)*10000,"n/a")</f>
        <v>173.07512271693136</v>
      </c>
      <c r="E31" s="89">
        <f>IFERROR((E30-D30)*10000,"n/a")</f>
        <v>-127.4368569069806</v>
      </c>
      <c r="F31" s="89">
        <f>IFERROR((F30-E30)*10000,"n/a")</f>
        <v>587.0713828160079</v>
      </c>
      <c r="G31" s="89"/>
      <c r="H31" s="89">
        <f>IFERROR((H30-F30)*10000,"n/a")</f>
        <v>38.325740643129215</v>
      </c>
      <c r="I31" s="88">
        <f>IFERROR((I30-H30)*10000,"n/a")</f>
        <v>44.48315735091302</v>
      </c>
      <c r="J31" s="3"/>
      <c r="K31" s="3"/>
      <c r="L31" s="3"/>
    </row>
    <row r="32">
      <c r="A32" s="3"/>
      <c r="B32" s="49" t="s">
        <v>90</v>
      </c>
      <c r="C32" s="89" t="s">
        <v>39</v>
      </c>
      <c r="D32" s="89" t="s">
        <v>39</v>
      </c>
      <c r="E32" s="89" t="s">
        <v>39</v>
      </c>
      <c r="F32" s="89" t="s">
        <v>39</v>
      </c>
      <c r="G32" s="89" t="s">
        <v>39</v>
      </c>
      <c r="H32" s="89">
        <f>IFERROR((H30-C30)*10000,"n/a")</f>
        <v>671.0353892690879</v>
      </c>
      <c r="I32" s="88">
        <f>IFERROR((I30-D30)*10000,"n/a")</f>
        <v>542.4434239030695</v>
      </c>
      <c r="J32" s="3"/>
      <c r="K32" s="3"/>
      <c r="L32" s="3"/>
    </row>
    <row r="33">
      <c r="A33" s="3"/>
      <c r="B33" s="30" t="s">
        <v>158</v>
      </c>
      <c r="C33" s="68">
        <f>C15-C29</f>
        <v>10.142032000000004</v>
      </c>
      <c r="D33" s="68">
        <f>D15-D29</f>
        <v>9.080732999999999</v>
      </c>
      <c r="E33" s="68">
        <f>E15-E29</f>
        <v>9.786385999999997</v>
      </c>
      <c r="F33" s="68">
        <f>F15-F29</f>
        <v>7.797648999999996</v>
      </c>
      <c r="G33" s="68">
        <f>G15-G29</f>
        <v>36.806799999999996</v>
      </c>
      <c r="H33" s="68">
        <f>H15-H29</f>
        <v>7.592987000000001</v>
      </c>
      <c r="I33" s="78">
        <f>I15-I29</f>
        <v>7.59499434726861</v>
      </c>
      <c r="J33" s="3"/>
      <c r="K33" s="3"/>
      <c r="L33" s="3"/>
    </row>
    <row r="34">
      <c r="A34" s="3"/>
      <c r="B34" s="49" t="s">
        <v>159</v>
      </c>
      <c r="C34" s="29">
        <f>C33/C15</f>
        <v>0.31381392341138864</v>
      </c>
      <c r="D34" s="29">
        <f>D33/D15</f>
        <v>0.29650641113969556</v>
      </c>
      <c r="E34" s="29">
        <f>E33/E15</f>
        <v>0.3092500968303936</v>
      </c>
      <c r="F34" s="29">
        <f>F33/F15</f>
        <v>0.2505429585487929</v>
      </c>
      <c r="G34" s="29">
        <f>G33/G15</f>
        <v>0.2927845583151465</v>
      </c>
      <c r="H34" s="29">
        <f>H33/H15</f>
        <v>0.24671038448447985</v>
      </c>
      <c r="I34" s="42">
        <f>I33/I15</f>
        <v>0.24226206874938855</v>
      </c>
      <c r="J34" s="3"/>
      <c r="K34" s="3"/>
      <c r="L34" s="3"/>
    </row>
    <row r="35">
      <c r="A35" s="3"/>
      <c r="B35" s="49" t="s">
        <v>89</v>
      </c>
      <c r="C35" s="89" t="s">
        <v>39</v>
      </c>
      <c r="D35" s="89">
        <f>IFERROR((D34-C34)*10000,"n/a")</f>
        <v>-173.07512271693082</v>
      </c>
      <c r="E35" s="89">
        <f>IFERROR((E34-D34)*10000,"n/a")</f>
        <v>127.4368569069806</v>
      </c>
      <c r="F35" s="89">
        <f>IFERROR((F34-E34)*10000,"n/a")</f>
        <v>-587.0713828160074</v>
      </c>
      <c r="G35" s="89"/>
      <c r="H35" s="89">
        <f>IFERROR((H34-F34)*10000,"n/a")</f>
        <v>-38.325740643130324</v>
      </c>
      <c r="I35" s="88">
        <f>IFERROR((I34-H34)*10000,"n/a")</f>
        <v>-44.48315735091302</v>
      </c>
      <c r="J35" s="3"/>
      <c r="K35" s="3"/>
      <c r="L35" s="3"/>
    </row>
    <row r="36">
      <c r="A36" s="3"/>
      <c r="B36" s="49" t="s">
        <v>90</v>
      </c>
      <c r="C36" s="89" t="s">
        <v>39</v>
      </c>
      <c r="D36" s="89" t="s">
        <v>39</v>
      </c>
      <c r="E36" s="89" t="s">
        <v>39</v>
      </c>
      <c r="F36" s="89" t="s">
        <v>39</v>
      </c>
      <c r="G36" s="89" t="s">
        <v>39</v>
      </c>
      <c r="H36" s="89">
        <f>IFERROR((H34-C34)*10000,"n/a")</f>
        <v>-671.0353892690879</v>
      </c>
      <c r="I36" s="88">
        <f>IFERROR((I34-D34)*10000,"n/a")</f>
        <v>-542.4434239030701</v>
      </c>
      <c r="J36" s="3"/>
      <c r="K36" s="3"/>
      <c r="L36" s="3"/>
    </row>
    <row r="37">
      <c r="A37" s="3"/>
      <c r="B37" s="49" t="s">
        <v>113</v>
      </c>
      <c r="C37" s="29" t="s">
        <v>39</v>
      </c>
      <c r="D37" s="29" t="s">
        <v>39</v>
      </c>
      <c r="E37" s="29" t="s">
        <v>39</v>
      </c>
      <c r="F37" s="29" t="s">
        <v>39</v>
      </c>
      <c r="G37" s="29" t="s">
        <v>39</v>
      </c>
      <c r="H37" s="29">
        <f>IFERROR(H33/C33-1,"n/a")</f>
        <v>-0.2513347423869302</v>
      </c>
      <c r="I37" s="42">
        <f>IFERROR(I33/D33-1,"n/a")</f>
        <v>-0.1636143968478524</v>
      </c>
      <c r="J37" s="3"/>
      <c r="K37" s="3"/>
      <c r="L37" s="3"/>
    </row>
    <row r="38">
      <c r="A38" s="3"/>
      <c r="B38" s="49" t="s">
        <v>114</v>
      </c>
      <c r="C38" s="29" t="s">
        <v>39</v>
      </c>
      <c r="D38" s="29">
        <f>IFERROR(D33/C33-1,"n/a")</f>
        <v>-0.10464362565608198</v>
      </c>
      <c r="E38" s="29">
        <f>IFERROR(E33/D33-1,"n/a")</f>
        <v>0.07770881491615245</v>
      </c>
      <c r="F38" s="29">
        <f>IFERROR(F33/E33-1,"n/a")</f>
        <v>-0.20321464941194856</v>
      </c>
      <c r="G38" s="29"/>
      <c r="H38" s="29">
        <f>IFERROR(H33/F33-1,"n/a")</f>
        <v>-0.02624662895187968</v>
      </c>
      <c r="I38" s="42">
        <f>IFERROR(I33/H33-1,"n/a")</f>
        <v>0.00026436859020173564</v>
      </c>
      <c r="J38" s="3"/>
      <c r="K38" s="3"/>
      <c r="L38" s="3"/>
    </row>
    <row r="39">
      <c r="A39" s="3"/>
      <c r="B39" s="3" t="s">
        <v>160</v>
      </c>
      <c r="C39" s="62">
        <v>10.142032</v>
      </c>
      <c r="D39" s="62">
        <v>9.080733</v>
      </c>
      <c r="E39" s="62">
        <v>9.786386</v>
      </c>
      <c r="F39" s="62">
        <v>7.797649</v>
      </c>
      <c r="G39" s="62">
        <v>36.8068</v>
      </c>
      <c r="H39" s="62">
        <v>7.592987</v>
      </c>
      <c r="I39" s="40" t="s">
        <v>39</v>
      </c>
      <c r="J39" s="3"/>
      <c r="K39" s="3"/>
      <c r="L39" s="3"/>
    </row>
    <row r="40">
      <c r="A40" s="3"/>
      <c r="B40" s="6" t="s">
        <v>161</v>
      </c>
      <c r="C40" s="65">
        <f>ROUND(C33-C39,3)</f>
        <v>0</v>
      </c>
      <c r="D40" s="65">
        <f>ROUND(D33-D39,3)</f>
        <v>0</v>
      </c>
      <c r="E40" s="65">
        <f>ROUND(E33-E39,3)</f>
        <v>0</v>
      </c>
      <c r="F40" s="65">
        <f>ROUND(F33-F39,3)</f>
        <v>0</v>
      </c>
      <c r="G40" s="65">
        <f>ROUND(G33-G39,3)</f>
        <v>0</v>
      </c>
      <c r="H40" s="65">
        <f>ROUND(H33-H39,3)</f>
        <v>0</v>
      </c>
      <c r="I40" s="75" t="s">
        <v>39</v>
      </c>
      <c r="J40" s="3"/>
      <c r="K40" s="3"/>
      <c r="L40" s="3"/>
    </row>
    <row r="41">
      <c r="A41" s="3"/>
      <c r="B41" s="30" t="s">
        <v>162</v>
      </c>
      <c r="C41" s="39"/>
      <c r="D41" s="39"/>
      <c r="E41" s="39"/>
      <c r="F41" s="39"/>
      <c r="G41" s="39"/>
      <c r="H41" s="39"/>
      <c r="I41" s="66"/>
      <c r="J41" s="3"/>
      <c r="K41" s="3"/>
      <c r="L41" s="3"/>
    </row>
    <row r="42">
      <c r="A42" s="3"/>
      <c r="B42" s="46" t="s">
        <v>163</v>
      </c>
      <c r="C42" s="62">
        <v>2.262984</v>
      </c>
      <c r="D42" s="62">
        <v>0.052691</v>
      </c>
      <c r="E42" s="62">
        <v>3.070547</v>
      </c>
      <c r="F42" s="62">
        <v>-0.278087</v>
      </c>
      <c r="G42" s="44">
        <f>SUM(C42:F42)</f>
        <v>5.108135</v>
      </c>
      <c r="H42" s="62">
        <v>-0.488148</v>
      </c>
      <c r="I42" s="63">
        <v>0</v>
      </c>
      <c r="J42" s="3"/>
      <c r="K42" s="3"/>
      <c r="L42" s="3"/>
    </row>
    <row r="43">
      <c r="A43" s="3"/>
      <c r="B43" s="46" t="s">
        <v>164</v>
      </c>
      <c r="C43" s="62">
        <v>0.638355</v>
      </c>
      <c r="D43" s="62">
        <v>0</v>
      </c>
      <c r="E43" s="62">
        <v>0</v>
      </c>
      <c r="F43" s="62">
        <v>0</v>
      </c>
      <c r="G43" s="44">
        <f>SUM(C43:F43)</f>
        <v>0.638355</v>
      </c>
      <c r="H43" s="62">
        <v>0.638355</v>
      </c>
      <c r="I43" s="63">
        <v>0</v>
      </c>
      <c r="J43" s="3"/>
      <c r="K43" s="3"/>
      <c r="L43" s="3"/>
    </row>
    <row r="44">
      <c r="A44" s="3"/>
      <c r="B44" s="30" t="s">
        <v>165</v>
      </c>
      <c r="C44" s="68">
        <f>C42+C43</f>
        <v>2.901339</v>
      </c>
      <c r="D44" s="68">
        <f>D42+D43</f>
        <v>0.052691</v>
      </c>
      <c r="E44" s="68">
        <f>E42+E43</f>
        <v>3.070547</v>
      </c>
      <c r="F44" s="68">
        <f>F42+F43</f>
        <v>-0.278087</v>
      </c>
      <c r="G44" s="68">
        <f>G42+G43</f>
        <v>5.74649</v>
      </c>
      <c r="H44" s="68">
        <f>H42+H43</f>
        <v>0.15020699999999998</v>
      </c>
      <c r="I44" s="78">
        <f>I42+I43</f>
        <v>0</v>
      </c>
      <c r="J44" s="3"/>
      <c r="K44" s="3"/>
      <c r="L44" s="3"/>
    </row>
    <row r="45">
      <c r="A45" s="3"/>
      <c r="B45" s="46" t="s">
        <v>166</v>
      </c>
      <c r="C45" s="62">
        <v>0.372148</v>
      </c>
      <c r="D45" s="62">
        <v>0.478796</v>
      </c>
      <c r="E45" s="62">
        <v>-0.926785</v>
      </c>
      <c r="F45" s="62">
        <v>-7.104776</v>
      </c>
      <c r="G45" s="44">
        <f>SUM(C45:F45)</f>
        <v>-7.180617</v>
      </c>
      <c r="H45" s="62">
        <v>-11.927184</v>
      </c>
      <c r="I45" s="63">
        <v>-5</v>
      </c>
      <c r="J45" s="3"/>
      <c r="K45" s="3"/>
      <c r="L45" s="3"/>
    </row>
    <row r="46">
      <c r="A46" s="3"/>
      <c r="B46" s="46" t="s">
        <v>167</v>
      </c>
      <c r="C46" s="62">
        <v>-0.045944</v>
      </c>
      <c r="D46" s="62">
        <v>0.139577</v>
      </c>
      <c r="E46" s="62">
        <v>0.695483</v>
      </c>
      <c r="F46" s="62">
        <v>0.148982</v>
      </c>
      <c r="G46" s="44">
        <f>SUM(C46:F46)</f>
        <v>0.9380979999999999</v>
      </c>
      <c r="H46" s="62">
        <v>-2.418612</v>
      </c>
      <c r="I46" s="63">
        <v>0</v>
      </c>
      <c r="J46" s="3"/>
      <c r="K46" s="3"/>
      <c r="L46" s="3"/>
    </row>
    <row r="47">
      <c r="A47" s="3"/>
      <c r="B47" s="46" t="s">
        <v>168</v>
      </c>
      <c r="C47" s="62">
        <v>0.617773</v>
      </c>
      <c r="D47" s="62">
        <v>3.10934</v>
      </c>
      <c r="E47" s="62">
        <v>-0.352356</v>
      </c>
      <c r="F47" s="62">
        <v>-2.370718</v>
      </c>
      <c r="G47" s="44">
        <f>SUM(C47:F47)</f>
        <v>1.0040390000000001</v>
      </c>
      <c r="H47" s="62">
        <v>-0.831335</v>
      </c>
      <c r="I47" s="63">
        <v>0</v>
      </c>
      <c r="J47" s="3"/>
      <c r="K47" s="3"/>
      <c r="L47" s="3"/>
    </row>
    <row r="48">
      <c r="A48" s="3"/>
      <c r="B48" s="30" t="s">
        <v>81</v>
      </c>
      <c r="C48" s="68">
        <f>C45+C46+C47</f>
        <v>0.9439770000000001</v>
      </c>
      <c r="D48" s="68">
        <f>D45+D46+D47</f>
        <v>3.727713</v>
      </c>
      <c r="E48" s="68">
        <f>E45+E46+E47</f>
        <v>-0.583658</v>
      </c>
      <c r="F48" s="68">
        <f>F45+F46+F47</f>
        <v>-9.326512000000001</v>
      </c>
      <c r="G48" s="68">
        <f>G45+G46+G47</f>
        <v>-5.238479999999999</v>
      </c>
      <c r="H48" s="68">
        <f>H45+H46+H47</f>
        <v>-15.177131</v>
      </c>
      <c r="I48" s="78">
        <f>I45+I46+I47</f>
        <v>-5</v>
      </c>
      <c r="J48" s="3"/>
      <c r="K48" s="3"/>
      <c r="L48" s="3"/>
    </row>
    <row r="49">
      <c r="A49" s="3"/>
      <c r="B49" s="46" t="s">
        <v>169</v>
      </c>
      <c r="C49" s="62">
        <v>-0.055085</v>
      </c>
      <c r="D49" s="62">
        <v>0.423998</v>
      </c>
      <c r="E49" s="62">
        <v>-0.150134</v>
      </c>
      <c r="F49" s="62">
        <v>-0.105281</v>
      </c>
      <c r="G49" s="44">
        <f>SUM(C49:F49)</f>
        <v>0.113498</v>
      </c>
      <c r="H49" s="62">
        <v>0.530824</v>
      </c>
      <c r="I49" s="63">
        <v>0</v>
      </c>
      <c r="J49" s="3"/>
      <c r="K49" s="3"/>
      <c r="L49" s="3"/>
    </row>
    <row r="50">
      <c r="A50" s="3"/>
      <c r="B50" s="30" t="s">
        <v>170</v>
      </c>
      <c r="C50" s="68">
        <f>C44+C48+C49</f>
        <v>3.7902310000000003</v>
      </c>
      <c r="D50" s="68">
        <f>D44+D48+D49</f>
        <v>4.204402</v>
      </c>
      <c r="E50" s="68">
        <f>E44+E48+E49</f>
        <v>2.3367549999999997</v>
      </c>
      <c r="F50" s="68">
        <f>F44+F48+F49</f>
        <v>-9.70988</v>
      </c>
      <c r="G50" s="68">
        <f>G44+G48+G49</f>
        <v>0.6215080000000005</v>
      </c>
      <c r="H50" s="68">
        <f>H44+H48+H49</f>
        <v>-14.496099999999998</v>
      </c>
      <c r="I50" s="78">
        <f>I44+I48+I49</f>
        <v>-5</v>
      </c>
      <c r="J50" s="3"/>
      <c r="K50" s="3"/>
      <c r="L50" s="3"/>
    </row>
    <row r="51">
      <c r="A51" s="3"/>
      <c r="B51" s="46" t="s">
        <v>171</v>
      </c>
      <c r="C51" s="62">
        <v>0</v>
      </c>
      <c r="D51" s="62">
        <v>0</v>
      </c>
      <c r="E51" s="62">
        <v>-0.123157</v>
      </c>
      <c r="F51" s="62">
        <v>-0.700853</v>
      </c>
      <c r="G51" s="44">
        <f>SUM(C51:F51)</f>
        <v>-0.8240099999999999</v>
      </c>
      <c r="H51" s="62">
        <v>0</v>
      </c>
      <c r="I51" s="63">
        <v>0</v>
      </c>
      <c r="J51" s="3"/>
      <c r="K51" s="3"/>
      <c r="L51" s="3"/>
    </row>
    <row r="52">
      <c r="A52" s="3"/>
      <c r="B52" s="30" t="s">
        <v>172</v>
      </c>
      <c r="C52" s="68">
        <f>C33+C50+C51</f>
        <v>13.932263000000004</v>
      </c>
      <c r="D52" s="68">
        <f>D33+D50+D51</f>
        <v>13.285134999999999</v>
      </c>
      <c r="E52" s="68">
        <f>E33+E50+E51</f>
        <v>11.999983999999996</v>
      </c>
      <c r="F52" s="68">
        <f>F33+F50+F51</f>
        <v>-2.6130840000000037</v>
      </c>
      <c r="G52" s="68">
        <f>G33+G50+G51</f>
        <v>36.60429799999999</v>
      </c>
      <c r="H52" s="68">
        <f>H33+H50+H51</f>
        <v>-6.903112999999998</v>
      </c>
      <c r="I52" s="78">
        <f>I33+I50+I51</f>
        <v>2.59499434726861</v>
      </c>
      <c r="J52" s="3"/>
      <c r="K52" s="3"/>
      <c r="L52" s="3"/>
    </row>
    <row r="53">
      <c r="A53" s="3"/>
      <c r="B53" s="49" t="s">
        <v>173</v>
      </c>
      <c r="C53" s="29">
        <f>C52/C15</f>
        <v>0.431090940556027</v>
      </c>
      <c r="D53" s="29">
        <f>D52/D15</f>
        <v>0.4337896181240391</v>
      </c>
      <c r="E53" s="29">
        <f>E52/E15</f>
        <v>0.3791998613137857</v>
      </c>
      <c r="F53" s="29">
        <f>F52/F15</f>
        <v>-0.08395989564245776</v>
      </c>
      <c r="G53" s="29">
        <f>G52/G15</f>
        <v>0.2911737293751698</v>
      </c>
      <c r="H53" s="29">
        <f>H52/H15</f>
        <v>-0.2242950847103795</v>
      </c>
      <c r="I53" s="42">
        <f>I52/I15</f>
        <v>0.08277408385278799</v>
      </c>
      <c r="J53" s="3"/>
      <c r="K53" s="3"/>
      <c r="L53" s="3"/>
    </row>
    <row r="54">
      <c r="A54" s="3"/>
      <c r="B54" s="49" t="s">
        <v>89</v>
      </c>
      <c r="C54" s="89" t="s">
        <v>39</v>
      </c>
      <c r="D54" s="89">
        <f>IFERROR((D53-C53)*10000,"n/a")</f>
        <v>26.986775680121198</v>
      </c>
      <c r="E54" s="89">
        <f>IFERROR((E53-D53)*10000,"n/a")</f>
        <v>-545.8975681025341</v>
      </c>
      <c r="F54" s="89">
        <f>IFERROR((F53-E53)*10000,"n/a")</f>
        <v>-4631.597569562435</v>
      </c>
      <c r="G54" s="89"/>
      <c r="H54" s="89">
        <f>IFERROR((H53-F53)*10000,"n/a")</f>
        <v>-1403.3518906792176</v>
      </c>
      <c r="I54" s="88">
        <f>IFERROR((I53-H53)*10000,"n/a")</f>
        <v>3070.691685631675</v>
      </c>
      <c r="J54" s="3"/>
      <c r="K54" s="3"/>
      <c r="L54" s="3"/>
    </row>
    <row r="55">
      <c r="A55" s="3"/>
      <c r="B55" s="49" t="s">
        <v>90</v>
      </c>
      <c r="C55" s="89" t="s">
        <v>39</v>
      </c>
      <c r="D55" s="89" t="s">
        <v>39</v>
      </c>
      <c r="E55" s="89" t="s">
        <v>39</v>
      </c>
      <c r="F55" s="89" t="s">
        <v>39</v>
      </c>
      <c r="G55" s="89" t="s">
        <v>39</v>
      </c>
      <c r="H55" s="89">
        <f>IFERROR((H53-C53)*10000,"n/a")</f>
        <v>-6553.860252664065</v>
      </c>
      <c r="I55" s="88">
        <f>IFERROR((I53-D53)*10000,"n/a")</f>
        <v>-3510.155342712511</v>
      </c>
      <c r="J55" s="3"/>
      <c r="K55" s="3"/>
      <c r="L55" s="3"/>
    </row>
    <row r="56">
      <c r="A56" s="3"/>
      <c r="B56" s="3" t="s">
        <v>174</v>
      </c>
      <c r="C56" s="62">
        <v>13.932263</v>
      </c>
      <c r="D56" s="62">
        <v>13.285135</v>
      </c>
      <c r="E56" s="62">
        <v>11.999984</v>
      </c>
      <c r="F56" s="62">
        <v>-2.613084</v>
      </c>
      <c r="G56" s="62">
        <v>36.604298</v>
      </c>
      <c r="H56" s="62">
        <v>-6.903113</v>
      </c>
      <c r="I56" s="40" t="s">
        <v>39</v>
      </c>
      <c r="J56" s="3"/>
      <c r="K56" s="3"/>
      <c r="L56" s="3"/>
    </row>
    <row r="57">
      <c r="A57" s="3"/>
      <c r="B57" s="6" t="s">
        <v>175</v>
      </c>
      <c r="C57" s="65">
        <f>ROUND(C52-C56,3)</f>
        <v>0</v>
      </c>
      <c r="D57" s="65">
        <f>ROUND(D52-D56,3)</f>
        <v>0</v>
      </c>
      <c r="E57" s="65">
        <f>ROUND(E52-E56,3)</f>
        <v>0</v>
      </c>
      <c r="F57" s="65">
        <f>ROUND(F52-F56,3)</f>
        <v>0</v>
      </c>
      <c r="G57" s="65">
        <f>ROUND(G52-G56,3)</f>
        <v>0</v>
      </c>
      <c r="H57" s="65">
        <f>ROUND(H52-H56,3)</f>
        <v>0</v>
      </c>
      <c r="I57" s="75" t="s">
        <v>39</v>
      </c>
      <c r="J57" s="3"/>
      <c r="K57" s="3"/>
      <c r="L57" s="3"/>
    </row>
    <row r="58">
      <c r="A58" s="3"/>
      <c r="B58" s="30" t="s">
        <v>176</v>
      </c>
      <c r="C58" s="39"/>
      <c r="D58" s="39"/>
      <c r="E58" s="39"/>
      <c r="F58" s="39"/>
      <c r="G58" s="39"/>
      <c r="H58" s="39"/>
      <c r="I58" s="66"/>
      <c r="J58" s="3"/>
      <c r="K58" s="3"/>
      <c r="L58" s="3"/>
    </row>
    <row r="59">
      <c r="A59" s="3"/>
      <c r="B59" s="3" t="s">
        <v>177</v>
      </c>
      <c r="C59" s="55">
        <f>'Share Count'!C38</f>
        <v>15.34451</v>
      </c>
      <c r="D59" s="55">
        <f>'Share Count'!D38</f>
        <v>15.775387</v>
      </c>
      <c r="E59" s="55">
        <f>'Share Count'!E38</f>
        <v>16.108862</v>
      </c>
      <c r="F59" s="55">
        <f>'Share Count'!F38</f>
        <v>16.183902</v>
      </c>
      <c r="G59" s="55">
        <f>'Share Count'!G38</f>
        <v>15.85027</v>
      </c>
      <c r="H59" s="55">
        <f>'Share Count'!H38</f>
        <v>16.252548</v>
      </c>
      <c r="I59" s="102">
        <f>'Share Count'!I38</f>
        <v>16.319665279378384</v>
      </c>
      <c r="J59" s="3"/>
      <c r="K59" s="3"/>
      <c r="L59" s="3"/>
    </row>
    <row r="60">
      <c r="A60" s="3"/>
      <c r="B60" s="3" t="s">
        <v>178</v>
      </c>
      <c r="C60" s="55">
        <f>'Share Count'!C41</f>
        <v>15.34451</v>
      </c>
      <c r="D60" s="55">
        <f>'Share Count'!D41</f>
        <v>15.775387</v>
      </c>
      <c r="E60" s="55">
        <f>'Share Count'!E41</f>
        <v>16.108862</v>
      </c>
      <c r="F60" s="55">
        <f>'Share Count'!F41</f>
        <v>16.183902</v>
      </c>
      <c r="G60" s="55">
        <f>'Share Count'!G41</f>
        <v>15.85027</v>
      </c>
      <c r="H60" s="55">
        <f>'Share Count'!H41</f>
        <v>16.252548</v>
      </c>
      <c r="I60" s="102">
        <f>'Share Count'!I41</f>
        <v>16.319665279378384</v>
      </c>
      <c r="J60" s="3"/>
      <c r="K60" s="3"/>
      <c r="L60" s="3"/>
    </row>
    <row r="61">
      <c r="A61" s="3"/>
      <c r="B61" s="30" t="s">
        <v>179</v>
      </c>
      <c r="C61" s="93">
        <f>C52/C60</f>
        <v>0.9079640210081654</v>
      </c>
      <c r="D61" s="93">
        <f>D52/D60</f>
        <v>0.842143207009755</v>
      </c>
      <c r="E61" s="93">
        <f>E52/E60</f>
        <v>0.7449305854131718</v>
      </c>
      <c r="F61" s="93">
        <f>F52/F60</f>
        <v>-0.16146192679614618</v>
      </c>
      <c r="G61" s="93">
        <f>G52/G60</f>
        <v>2.309380092578864</v>
      </c>
      <c r="H61" s="93">
        <f>H52/H60</f>
        <v>-0.4247403545585589</v>
      </c>
      <c r="I61" s="106">
        <f>I52/I60</f>
        <v>0.15901026784830316</v>
      </c>
      <c r="J61" s="3"/>
      <c r="K61" s="3"/>
      <c r="L61" s="3"/>
    </row>
    <row r="62">
      <c r="A62" s="3"/>
      <c r="B62" s="3" t="s">
        <v>180</v>
      </c>
      <c r="C62" s="8">
        <v>0.91</v>
      </c>
      <c r="D62" s="8">
        <v>0.84</v>
      </c>
      <c r="E62" s="8">
        <v>0.74</v>
      </c>
      <c r="F62" s="8">
        <v>-0.16</v>
      </c>
      <c r="G62" s="8">
        <v>2.31</v>
      </c>
      <c r="H62" s="8">
        <v>-0.42</v>
      </c>
      <c r="I62" s="101" t="s">
        <v>39</v>
      </c>
      <c r="J62" s="3"/>
      <c r="K62" s="3"/>
      <c r="L62" s="3"/>
    </row>
    <row r="63">
      <c r="A63" s="3"/>
      <c r="B63" s="6" t="s">
        <v>181</v>
      </c>
      <c r="C63" s="90">
        <f>ROUND(C61,2)-C62</f>
        <v>0</v>
      </c>
      <c r="D63" s="90">
        <f>ROUND(D61,2)-D62</f>
        <v>0</v>
      </c>
      <c r="E63" s="90">
        <f>ROUND(E61,2)-E62</f>
        <v>0</v>
      </c>
      <c r="F63" s="90">
        <f>ROUND(F61,2)-F62</f>
        <v>0</v>
      </c>
      <c r="G63" s="90">
        <f>ROUND(G61,2)-G62</f>
        <v>0</v>
      </c>
      <c r="H63" s="90">
        <f>ROUND(H61,2)-H62</f>
        <v>0</v>
      </c>
      <c r="I63" s="99" t="s">
        <v>39</v>
      </c>
      <c r="J63" s="3"/>
      <c r="K63" s="3"/>
      <c r="L63" s="3"/>
    </row>
    <row r="64">
      <c r="A64" s="3"/>
      <c r="B64" s="3" t="s">
        <v>182</v>
      </c>
      <c r="C64" s="4">
        <f>C33/C60</f>
        <v>0.660955090778396</v>
      </c>
      <c r="D64" s="4">
        <f>D33/D60</f>
        <v>0.5756266391436228</v>
      </c>
      <c r="E64" s="4">
        <f>E33/E60</f>
        <v>0.6075156643591582</v>
      </c>
      <c r="F64" s="4">
        <f>F33/F60</f>
        <v>0.48181513951332605</v>
      </c>
      <c r="G64" s="4">
        <f>G33/G60</f>
        <v>2.3221560263642194</v>
      </c>
      <c r="H64" s="4">
        <f>H33/H60</f>
        <v>0.4671874834641313</v>
      </c>
      <c r="I64" s="101">
        <f>I33/I60</f>
        <v>0.4653891006493672</v>
      </c>
      <c r="J64" s="3"/>
      <c r="K64" s="3"/>
      <c r="L64" s="3"/>
    </row>
    <row r="65">
      <c r="A65" s="3"/>
      <c r="B65" s="3" t="s">
        <v>183</v>
      </c>
      <c r="C65" s="8">
        <v>0.66</v>
      </c>
      <c r="D65" s="8">
        <v>0.58</v>
      </c>
      <c r="E65" s="8">
        <v>0.61</v>
      </c>
      <c r="F65" s="8">
        <v>0.48</v>
      </c>
      <c r="G65" s="8">
        <v>2.32</v>
      </c>
      <c r="H65" s="8">
        <v>0.47</v>
      </c>
      <c r="I65" s="101" t="s">
        <v>39</v>
      </c>
      <c r="J65" s="3"/>
      <c r="K65" s="3"/>
      <c r="L65" s="3"/>
    </row>
    <row r="66">
      <c r="A66" s="3"/>
      <c r="B66" s="30" t="s">
        <v>184</v>
      </c>
      <c r="C66" s="39"/>
      <c r="D66" s="39"/>
      <c r="E66" s="39"/>
      <c r="F66" s="39"/>
      <c r="G66" s="39"/>
      <c r="H66" s="39"/>
      <c r="I66" s="66"/>
      <c r="J66" s="3"/>
      <c r="K66" s="3"/>
      <c r="L66" s="3"/>
    </row>
    <row r="67">
      <c r="A67" s="3"/>
      <c r="B67" s="3" t="s">
        <v>185</v>
      </c>
      <c r="C67" s="44">
        <f>C33</f>
        <v>10.142032000000004</v>
      </c>
      <c r="D67" s="44">
        <f>D33</f>
        <v>9.080732999999999</v>
      </c>
      <c r="E67" s="44">
        <f>E33</f>
        <v>9.786385999999997</v>
      </c>
      <c r="F67" s="44">
        <f>F33</f>
        <v>7.797648999999996</v>
      </c>
      <c r="G67" s="44">
        <f>G33</f>
        <v>36.806799999999996</v>
      </c>
      <c r="H67" s="44">
        <f>H33</f>
        <v>7.592987000000001</v>
      </c>
      <c r="I67" s="40">
        <f>I33</f>
        <v>7.59499434726861</v>
      </c>
      <c r="J67" s="3"/>
      <c r="K67" s="3"/>
      <c r="L67" s="3"/>
    </row>
    <row r="68">
      <c r="A68" s="3"/>
      <c r="B68" s="46" t="s">
        <v>186</v>
      </c>
      <c r="C68" s="62">
        <v>0</v>
      </c>
      <c r="D68" s="62">
        <v>0</v>
      </c>
      <c r="E68" s="62">
        <v>0</v>
      </c>
      <c r="F68" s="62">
        <v>0</v>
      </c>
      <c r="G68" s="44">
        <f>SUM(C68:F68)</f>
        <v>0</v>
      </c>
      <c r="H68" s="62">
        <v>0</v>
      </c>
      <c r="I68" s="63">
        <v>0</v>
      </c>
      <c r="J68" s="3"/>
      <c r="K68" s="3"/>
      <c r="L68" s="3"/>
    </row>
    <row r="69">
      <c r="A69" s="3"/>
      <c r="B69" s="46" t="s">
        <v>187</v>
      </c>
      <c r="C69" s="62">
        <v>0</v>
      </c>
      <c r="D69" s="62">
        <v>0</v>
      </c>
      <c r="E69" s="62">
        <v>0</v>
      </c>
      <c r="F69" s="62">
        <v>0.738157</v>
      </c>
      <c r="G69" s="44">
        <f>SUM(C69:F69)</f>
        <v>0.738157</v>
      </c>
      <c r="H69" s="62">
        <v>0</v>
      </c>
      <c r="I69" s="40">
        <f>I118</f>
        <v>0.1217808219178082</v>
      </c>
      <c r="J69" s="3"/>
      <c r="K69" s="3"/>
      <c r="L69" s="3"/>
    </row>
    <row r="70">
      <c r="A70" s="3"/>
      <c r="B70" s="30" t="s">
        <v>188</v>
      </c>
      <c r="C70" s="68">
        <f>C67+C68+C69</f>
        <v>10.142032000000004</v>
      </c>
      <c r="D70" s="68">
        <f>D67+D68+D69</f>
        <v>9.080732999999999</v>
      </c>
      <c r="E70" s="68">
        <f>E67+E68+E69</f>
        <v>9.786385999999997</v>
      </c>
      <c r="F70" s="68">
        <f>F67+F68+F69</f>
        <v>8.535805999999996</v>
      </c>
      <c r="G70" s="68">
        <f>G67+G68+G69</f>
        <v>37.544957</v>
      </c>
      <c r="H70" s="68">
        <f>H67+H68+H69</f>
        <v>7.592987000000001</v>
      </c>
      <c r="I70" s="78">
        <f>I67+I68+I69</f>
        <v>7.716775169186418</v>
      </c>
      <c r="J70" s="3"/>
      <c r="K70" s="3"/>
      <c r="L70" s="3"/>
    </row>
    <row r="71">
      <c r="A71" s="3"/>
      <c r="B71" s="49" t="s">
        <v>113</v>
      </c>
      <c r="C71" s="29" t="s">
        <v>39</v>
      </c>
      <c r="D71" s="29" t="s">
        <v>39</v>
      </c>
      <c r="E71" s="29" t="s">
        <v>39</v>
      </c>
      <c r="F71" s="29" t="s">
        <v>39</v>
      </c>
      <c r="G71" s="29" t="s">
        <v>39</v>
      </c>
      <c r="H71" s="29">
        <f>IFERROR(H70/C70-1,"n/a")</f>
        <v>-0.2513347423869302</v>
      </c>
      <c r="I71" s="42">
        <f>IFERROR(I70/D70-1,"n/a")</f>
        <v>-0.15020349467532867</v>
      </c>
      <c r="J71" s="3"/>
      <c r="K71" s="3"/>
      <c r="L71" s="3"/>
    </row>
    <row r="72">
      <c r="A72" s="3"/>
      <c r="B72" s="49" t="s">
        <v>114</v>
      </c>
      <c r="C72" s="29" t="s">
        <v>39</v>
      </c>
      <c r="D72" s="29">
        <f>IFERROR(D70/C70-1,"n/a")</f>
        <v>-0.10464362565608198</v>
      </c>
      <c r="E72" s="29">
        <f>IFERROR(E70/D70-1,"n/a")</f>
        <v>0.07770881491615245</v>
      </c>
      <c r="F72" s="29">
        <f>IFERROR(F70/E70-1,"n/a")</f>
        <v>-0.12778772470245925</v>
      </c>
      <c r="G72" s="29"/>
      <c r="H72" s="29">
        <f>IFERROR(H70/F70-1,"n/a")</f>
        <v>-0.11045459561756621</v>
      </c>
      <c r="I72" s="42">
        <f>IFERROR(I70/H70-1,"n/a")</f>
        <v>0.016302960769775776</v>
      </c>
      <c r="J72" s="3"/>
      <c r="K72" s="3"/>
      <c r="L72" s="3"/>
    </row>
    <row r="73">
      <c r="A73" s="3"/>
      <c r="B73" s="49" t="s">
        <v>189</v>
      </c>
      <c r="C73" s="29">
        <f>C70/C15</f>
        <v>0.31381392341138864</v>
      </c>
      <c r="D73" s="29">
        <f>D70/D15</f>
        <v>0.29650641113969556</v>
      </c>
      <c r="E73" s="29">
        <f>E70/E15</f>
        <v>0.3092500968303936</v>
      </c>
      <c r="F73" s="29">
        <f>F70/F15</f>
        <v>0.2742603685852668</v>
      </c>
      <c r="G73" s="29">
        <f>G70/G15</f>
        <v>0.29865632579322754</v>
      </c>
      <c r="H73" s="29">
        <f>H70/H15</f>
        <v>0.24671038448447985</v>
      </c>
      <c r="I73" s="42">
        <f>I70/I15</f>
        <v>0.24614658432673314</v>
      </c>
      <c r="J73" s="3"/>
      <c r="K73" s="3"/>
      <c r="L73" s="3"/>
    </row>
    <row r="74">
      <c r="A74" s="3"/>
      <c r="B74" s="49" t="s">
        <v>89</v>
      </c>
      <c r="C74" s="89" t="s">
        <v>39</v>
      </c>
      <c r="D74" s="89">
        <f>IFERROR((D73-C73)*10000,"n/a")</f>
        <v>-173.07512271693082</v>
      </c>
      <c r="E74" s="89">
        <f>IFERROR((E73-D73)*10000,"n/a")</f>
        <v>127.4368569069806</v>
      </c>
      <c r="F74" s="89">
        <f>IFERROR((F73-E73)*10000,"n/a")</f>
        <v>-349.89728245126804</v>
      </c>
      <c r="G74" s="89"/>
      <c r="H74" s="89">
        <f>IFERROR((H73-F73)*10000,"n/a")</f>
        <v>-275.49984100786963</v>
      </c>
      <c r="I74" s="88">
        <f>IFERROR((I73-H73)*10000,"n/a")</f>
        <v>-5.638001577467078</v>
      </c>
      <c r="J74" s="3"/>
      <c r="K74" s="3"/>
      <c r="L74" s="3"/>
    </row>
    <row r="75">
      <c r="A75" s="3"/>
      <c r="B75" s="49" t="s">
        <v>90</v>
      </c>
      <c r="C75" s="89" t="s">
        <v>39</v>
      </c>
      <c r="D75" s="89" t="s">
        <v>39</v>
      </c>
      <c r="E75" s="89" t="s">
        <v>39</v>
      </c>
      <c r="F75" s="89" t="s">
        <v>39</v>
      </c>
      <c r="G75" s="89" t="s">
        <v>39</v>
      </c>
      <c r="H75" s="89">
        <f>IFERROR((H73-C73)*10000,"n/a")</f>
        <v>-671.0353892690879</v>
      </c>
      <c r="I75" s="88">
        <f>IFERROR((I73-D73)*10000,"n/a")</f>
        <v>-503.59826812962416</v>
      </c>
      <c r="J75" s="3"/>
      <c r="K75" s="3"/>
      <c r="L75" s="3"/>
    </row>
    <row r="76">
      <c r="A76" s="3"/>
      <c r="B76" s="30" t="s">
        <v>190</v>
      </c>
      <c r="C76" s="85"/>
      <c r="D76" s="85"/>
      <c r="E76" s="85"/>
      <c r="F76" s="85"/>
      <c r="G76" s="85"/>
      <c r="H76" s="85"/>
      <c r="I76" s="98"/>
      <c r="J76" s="3"/>
      <c r="K76" s="3"/>
      <c r="L76" s="3"/>
    </row>
    <row r="77">
      <c r="A77" s="3"/>
      <c r="B77" s="46" t="s">
        <v>191</v>
      </c>
      <c r="C77" s="4">
        <f>C61</f>
        <v>0.9079640210081654</v>
      </c>
      <c r="D77" s="4">
        <f>D61</f>
        <v>0.842143207009755</v>
      </c>
      <c r="E77" s="4">
        <f>E61</f>
        <v>0.7449305854131718</v>
      </c>
      <c r="F77" s="4">
        <f>F61</f>
        <v>-0.16146192679614618</v>
      </c>
      <c r="G77" s="4">
        <f>G61</f>
        <v>2.309380092578864</v>
      </c>
      <c r="H77" s="4">
        <f>H61</f>
        <v>-0.4247403545585589</v>
      </c>
      <c r="I77" s="101">
        <f>I61</f>
        <v>0.15901026784830316</v>
      </c>
      <c r="J77" s="3"/>
      <c r="K77" s="3"/>
      <c r="L77" s="3"/>
    </row>
    <row r="78">
      <c r="A78" s="3"/>
      <c r="B78" s="46" t="s">
        <v>192</v>
      </c>
      <c r="C78" s="4">
        <f>-C50/C60</f>
        <v>-0.2470089302297695</v>
      </c>
      <c r="D78" s="4">
        <f>-D50/D60</f>
        <v>-0.2665165678661322</v>
      </c>
      <c r="E78" s="4">
        <f>-E50/E60</f>
        <v>-0.14506021592338428</v>
      </c>
      <c r="F78" s="4">
        <f>-F50/F60</f>
        <v>0.5999715025461722</v>
      </c>
      <c r="G78" s="4">
        <f>-G50/G60</f>
        <v>-0.039211193247812214</v>
      </c>
      <c r="H78" s="4">
        <f>-H50/H60</f>
        <v>0.8919278380226902</v>
      </c>
      <c r="I78" s="101">
        <f>-I50/I60</f>
        <v>0.30637883280106404</v>
      </c>
      <c r="J78" s="3"/>
      <c r="K78" s="3"/>
      <c r="L78" s="3"/>
    </row>
    <row r="79">
      <c r="A79" s="3"/>
      <c r="B79" s="46" t="s">
        <v>193</v>
      </c>
      <c r="C79" s="4">
        <f>-C51/C60</f>
        <v>0</v>
      </c>
      <c r="D79" s="4">
        <f>-D51/D60</f>
        <v>0</v>
      </c>
      <c r="E79" s="4">
        <f>-E51/E60</f>
        <v>0.007645294869370662</v>
      </c>
      <c r="F79" s="4">
        <f>-F51/F60</f>
        <v>0.043305563763300095</v>
      </c>
      <c r="G79" s="4">
        <f>-G51/G60</f>
        <v>0.051987127033167255</v>
      </c>
      <c r="H79" s="4">
        <f>-H51/H60</f>
        <v>0</v>
      </c>
      <c r="I79" s="101">
        <f>-I51/I60</f>
        <v>0</v>
      </c>
      <c r="J79" s="3"/>
      <c r="K79" s="3"/>
      <c r="L79" s="3"/>
    </row>
    <row r="80">
      <c r="A80" s="3"/>
      <c r="B80" s="30" t="s">
        <v>182</v>
      </c>
      <c r="C80" s="91">
        <f>C77+C78+C79</f>
        <v>0.6609550907783959</v>
      </c>
      <c r="D80" s="91">
        <f>D77+D78+D79</f>
        <v>0.5756266391436228</v>
      </c>
      <c r="E80" s="91">
        <f>E77+E78+E79</f>
        <v>0.6075156643591583</v>
      </c>
      <c r="F80" s="91">
        <f>F77+F78+F79</f>
        <v>0.48181513951332605</v>
      </c>
      <c r="G80" s="91">
        <f>G77+G78+G79</f>
        <v>2.322156026364219</v>
      </c>
      <c r="H80" s="91">
        <f>H77+H78+H79</f>
        <v>0.46718748346413125</v>
      </c>
      <c r="I80" s="103">
        <f>I77+I78+I79</f>
        <v>0.4653891006493672</v>
      </c>
      <c r="J80" s="3"/>
      <c r="K80" s="3"/>
      <c r="L80" s="3"/>
    </row>
    <row r="81">
      <c r="A81" s="3"/>
      <c r="B81" s="46" t="s">
        <v>194</v>
      </c>
      <c r="C81" s="4">
        <f>C68/C60</f>
        <v>0</v>
      </c>
      <c r="D81" s="4">
        <f>D68/D60</f>
        <v>0</v>
      </c>
      <c r="E81" s="4">
        <f>E68/E60</f>
        <v>0</v>
      </c>
      <c r="F81" s="4">
        <f>F68/F60</f>
        <v>0</v>
      </c>
      <c r="G81" s="4">
        <f>G68/G60</f>
        <v>0</v>
      </c>
      <c r="H81" s="4">
        <f>H68/H60</f>
        <v>0</v>
      </c>
      <c r="I81" s="101">
        <f>I68/I60</f>
        <v>0</v>
      </c>
      <c r="J81" s="3"/>
      <c r="K81" s="3"/>
      <c r="L81" s="3"/>
    </row>
    <row r="82">
      <c r="A82" s="3"/>
      <c r="B82" s="46" t="s">
        <v>195</v>
      </c>
      <c r="C82" s="4">
        <f>C69/C60</f>
        <v>0</v>
      </c>
      <c r="D82" s="4">
        <f>D69/D60</f>
        <v>0</v>
      </c>
      <c r="E82" s="4">
        <f>E69/E60</f>
        <v>0</v>
      </c>
      <c r="F82" s="4">
        <f>F69/F60</f>
        <v>0.04561057030622157</v>
      </c>
      <c r="G82" s="4">
        <f>G69/G60</f>
        <v>0.04657062624169809</v>
      </c>
      <c r="H82" s="4">
        <f>H69/H60</f>
        <v>0</v>
      </c>
      <c r="I82" s="101">
        <f>I69/I60</f>
        <v>0.0074622132153464625</v>
      </c>
      <c r="J82" s="3"/>
      <c r="K82" s="3"/>
      <c r="L82" s="3"/>
    </row>
    <row r="83">
      <c r="A83" s="3"/>
      <c r="B83" s="30" t="s">
        <v>196</v>
      </c>
      <c r="C83" s="91">
        <f>C80+C81+C82</f>
        <v>0.6609550907783959</v>
      </c>
      <c r="D83" s="91">
        <f>D80+D81+D82</f>
        <v>0.5756266391436228</v>
      </c>
      <c r="E83" s="91">
        <f>E80+E81+E82</f>
        <v>0.6075156643591583</v>
      </c>
      <c r="F83" s="91">
        <f>F80+F81+F82</f>
        <v>0.5274257098195476</v>
      </c>
      <c r="G83" s="91">
        <f>G80+G81+G82</f>
        <v>2.368726652605917</v>
      </c>
      <c r="H83" s="91">
        <f>H80+H81+H82</f>
        <v>0.46718748346413125</v>
      </c>
      <c r="I83" s="103">
        <f>I80+I81+I82</f>
        <v>0.4728513138647137</v>
      </c>
      <c r="J83" s="3"/>
      <c r="K83" s="3"/>
      <c r="L83" s="3"/>
    </row>
    <row r="84">
      <c r="A84" s="3"/>
      <c r="B84" s="3" t="s">
        <v>197</v>
      </c>
      <c r="C84" s="8">
        <v>0.66</v>
      </c>
      <c r="D84" s="8">
        <v>0.58</v>
      </c>
      <c r="E84" s="8">
        <v>0.61</v>
      </c>
      <c r="F84" s="8">
        <v>0.53</v>
      </c>
      <c r="G84" s="8">
        <v>2.37</v>
      </c>
      <c r="H84" s="8">
        <v>0.47</v>
      </c>
      <c r="I84" s="101" t="s">
        <v>39</v>
      </c>
      <c r="J84" s="3"/>
      <c r="K84" s="3"/>
      <c r="L84" s="3"/>
    </row>
    <row r="85">
      <c r="A85" s="3"/>
      <c r="B85" s="3" t="s">
        <v>198</v>
      </c>
      <c r="C85" s="5">
        <f>Inputs!E100</f>
        <v>0.66</v>
      </c>
      <c r="D85" s="5">
        <f>Inputs!E101</f>
        <v>0.58</v>
      </c>
      <c r="E85" s="5">
        <f>Inputs!E102</f>
        <v>0.61</v>
      </c>
      <c r="F85" s="5">
        <f>Inputs!E103</f>
        <v>0.53</v>
      </c>
      <c r="G85" s="4" t="s">
        <v>39</v>
      </c>
      <c r="H85" s="5">
        <f>Inputs!E104</f>
        <v>0.47</v>
      </c>
      <c r="I85" s="101" t="s">
        <v>39</v>
      </c>
      <c r="J85" s="3"/>
      <c r="K85" s="3"/>
      <c r="L85" s="3"/>
    </row>
    <row r="86">
      <c r="A86" s="3"/>
      <c r="B86" s="6" t="s">
        <v>199</v>
      </c>
      <c r="C86" s="90">
        <f>ROUND(C83,2)-C84</f>
        <v>0</v>
      </c>
      <c r="D86" s="90">
        <f>ROUND(D83,2)-D84</f>
        <v>0</v>
      </c>
      <c r="E86" s="90">
        <f>ROUND(E83,2)-E84</f>
        <v>0</v>
      </c>
      <c r="F86" s="90">
        <f>ROUND(F83,2)-F84</f>
        <v>0</v>
      </c>
      <c r="G86" s="90">
        <f>ROUND(G83,2)-G84</f>
        <v>0</v>
      </c>
      <c r="H86" s="90">
        <f>ROUND(H83,2)-H84</f>
        <v>0</v>
      </c>
      <c r="I86" s="99" t="s">
        <v>39</v>
      </c>
      <c r="J86" s="3"/>
      <c r="K86" s="3"/>
      <c r="L86" s="3"/>
    </row>
    <row r="87">
      <c r="A87" s="3"/>
      <c r="B87" s="6" t="s">
        <v>200</v>
      </c>
      <c r="C87" s="90">
        <f>C84-C85</f>
        <v>0</v>
      </c>
      <c r="D87" s="90">
        <f>D84-D85</f>
        <v>0</v>
      </c>
      <c r="E87" s="90">
        <f>E84-E85</f>
        <v>0</v>
      </c>
      <c r="F87" s="90">
        <f>F84-F85</f>
        <v>0</v>
      </c>
      <c r="G87" s="90" t="s">
        <v>39</v>
      </c>
      <c r="H87" s="90">
        <f>H84-H85</f>
        <v>0</v>
      </c>
      <c r="I87" s="99" t="s">
        <v>39</v>
      </c>
      <c r="J87" s="3"/>
      <c r="K87" s="3"/>
      <c r="L87" s="3"/>
    </row>
    <row r="88">
      <c r="A88" s="3"/>
      <c r="B88" s="6" t="s">
        <v>201</v>
      </c>
      <c r="C88" s="90">
        <f>ROUND(C83-C70/C60,6)</f>
        <v>0</v>
      </c>
      <c r="D88" s="90">
        <f>ROUND(D83-D70/D60,6)</f>
        <v>0</v>
      </c>
      <c r="E88" s="90">
        <f>ROUND(E83-E70/E60,6)</f>
        <v>0</v>
      </c>
      <c r="F88" s="90">
        <f>ROUND(F83-F70/F60,6)</f>
        <v>0</v>
      </c>
      <c r="G88" s="90">
        <f>ROUND(G83-G70/G60,6)</f>
        <v>0</v>
      </c>
      <c r="H88" s="90">
        <f>ROUND(H83-H70/H60,6)</f>
        <v>0</v>
      </c>
      <c r="I88" s="99">
        <f>ROUND(I83-I70/I60,6)</f>
        <v>0</v>
      </c>
      <c r="J88" s="3"/>
      <c r="K88" s="3"/>
      <c r="L88" s="3"/>
    </row>
    <row r="89">
      <c r="A89" s="3"/>
      <c r="B89" s="3" t="s">
        <v>202</v>
      </c>
      <c r="C89" s="5">
        <f>Guidance!H9</f>
        <v>0.75</v>
      </c>
      <c r="D89" s="5">
        <f>Guidance!H10</f>
        <v>0.75</v>
      </c>
      <c r="E89" s="5">
        <f>Guidance!H11+Guidance!H12</f>
        <v>1</v>
      </c>
      <c r="F89" s="5">
        <f>Guidance!H13</f>
        <v>0.75</v>
      </c>
      <c r="G89" s="4">
        <f>SUM(C89:F89)</f>
        <v>3.25</v>
      </c>
      <c r="H89" s="5">
        <f>Guidance!H14</f>
        <v>0.75</v>
      </c>
      <c r="I89" s="33">
        <f>Guidance!H15</f>
        <v>0.75</v>
      </c>
      <c r="J89" s="3"/>
      <c r="K89" s="3"/>
      <c r="L89" s="3"/>
    </row>
    <row r="90">
      <c r="A90" s="3"/>
      <c r="B90" s="6" t="s">
        <v>203</v>
      </c>
      <c r="C90" s="54">
        <f>C83/C89</f>
        <v>0.8812734543711945</v>
      </c>
      <c r="D90" s="54">
        <f>D83/D89</f>
        <v>0.7675021855248304</v>
      </c>
      <c r="E90" s="54">
        <f>E83/E89</f>
        <v>0.6075156643591583</v>
      </c>
      <c r="F90" s="54">
        <f>F83/F89</f>
        <v>0.7032342797593968</v>
      </c>
      <c r="G90" s="54">
        <f>G83/G89</f>
        <v>0.7288389700325898</v>
      </c>
      <c r="H90" s="54">
        <f>H83/H89</f>
        <v>0.6229166446188417</v>
      </c>
      <c r="I90" s="105">
        <f>I83/I89</f>
        <v>0.6304684184862849</v>
      </c>
      <c r="J90" s="3"/>
      <c r="K90" s="3"/>
      <c r="L90" s="3"/>
    </row>
    <row r="91">
      <c r="A91" s="3"/>
      <c r="B91" s="3"/>
      <c r="C91" s="11"/>
      <c r="D91" s="11"/>
      <c r="E91" s="11"/>
      <c r="F91" s="11"/>
      <c r="G91" s="11"/>
      <c r="H91" s="11"/>
      <c r="I91" s="74"/>
      <c r="J91" s="3"/>
      <c r="K91" s="3"/>
      <c r="L91" s="3"/>
    </row>
    <row r="92">
      <c r="A92" s="3"/>
      <c r="B92" s="30" t="s">
        <v>204</v>
      </c>
      <c r="C92" s="39"/>
      <c r="D92" s="39"/>
      <c r="E92" s="39"/>
      <c r="F92" s="39"/>
      <c r="G92" s="39"/>
      <c r="H92" s="39"/>
      <c r="I92" s="66"/>
      <c r="J92" s="3"/>
      <c r="K92" s="3"/>
      <c r="L92" s="3"/>
    </row>
    <row r="93">
      <c r="A93" s="3"/>
      <c r="B93" s="3" t="s">
        <v>205</v>
      </c>
      <c r="C93" s="28">
        <f>'Balance Sheet'!C71</f>
        <v>791.375</v>
      </c>
      <c r="D93" s="28">
        <f>'Balance Sheet'!D71</f>
        <v>786.375</v>
      </c>
      <c r="E93" s="28">
        <f>'Balance Sheet'!E71</f>
        <v>774.375</v>
      </c>
      <c r="F93" s="28">
        <f>'Balance Sheet'!F71</f>
        <v>739.375</v>
      </c>
      <c r="G93" s="28">
        <f>'Balance Sheet'!G71</f>
        <v>739.375</v>
      </c>
      <c r="H93" s="28">
        <f>'Balance Sheet'!H71</f>
        <v>817.375</v>
      </c>
      <c r="I93" s="27">
        <f>'Balance Sheet'!I71</f>
        <v>902.375</v>
      </c>
      <c r="J93" s="3"/>
      <c r="K93" s="3"/>
      <c r="L93" s="3"/>
    </row>
    <row r="94">
      <c r="A94" s="3"/>
      <c r="B94" s="49" t="s">
        <v>73</v>
      </c>
      <c r="C94" s="29" t="s">
        <v>39</v>
      </c>
      <c r="D94" s="29" t="s">
        <v>39</v>
      </c>
      <c r="E94" s="29" t="s">
        <v>39</v>
      </c>
      <c r="F94" s="29" t="s">
        <v>39</v>
      </c>
      <c r="G94" s="29" t="s">
        <v>39</v>
      </c>
      <c r="H94" s="29">
        <f>IFERROR(H93/C93-1,"n/a")</f>
        <v>0.03285420944558526</v>
      </c>
      <c r="I94" s="42">
        <f>IFERROR(I93/D93-1,"n/a")</f>
        <v>0.14751231918613894</v>
      </c>
      <c r="J94" s="3"/>
      <c r="K94" s="3"/>
      <c r="L94" s="3"/>
    </row>
    <row r="95">
      <c r="A95" s="3"/>
      <c r="B95" s="50" t="s">
        <v>74</v>
      </c>
      <c r="C95" s="44" t="s">
        <v>39</v>
      </c>
      <c r="D95" s="44">
        <f>IFERROR(D93-C93,"n/a")</f>
        <v>-5</v>
      </c>
      <c r="E95" s="44">
        <f>IFERROR(E93-D93,"n/a")</f>
        <v>-12</v>
      </c>
      <c r="F95" s="44">
        <f>IFERROR(F93-E93,"n/a")</f>
        <v>-35</v>
      </c>
      <c r="G95" s="44"/>
      <c r="H95" s="44">
        <f>IFERROR(H93-F93,"n/a")</f>
        <v>78</v>
      </c>
      <c r="I95" s="40">
        <f>IFERROR(I93-H93,"n/a")</f>
        <v>85</v>
      </c>
      <c r="J95" s="3"/>
      <c r="K95" s="3"/>
      <c r="L95" s="3"/>
    </row>
    <row r="96">
      <c r="A96" s="3"/>
      <c r="B96" s="3" t="s">
        <v>206</v>
      </c>
      <c r="C96" s="62">
        <v>792.8</v>
      </c>
      <c r="D96" s="44" t="s">
        <v>39</v>
      </c>
      <c r="E96" s="44" t="s">
        <v>39</v>
      </c>
      <c r="F96" s="44" t="s">
        <v>39</v>
      </c>
      <c r="G96" s="44" t="s">
        <v>39</v>
      </c>
      <c r="H96" s="62">
        <v>796.7</v>
      </c>
      <c r="I96" s="40">
        <f>H93+I113*I115/I102</f>
        <v>822.9184782608696</v>
      </c>
      <c r="J96" s="3"/>
      <c r="K96" s="3"/>
      <c r="L96" s="3"/>
    </row>
    <row r="97">
      <c r="A97" s="3"/>
      <c r="B97" s="49" t="s">
        <v>73</v>
      </c>
      <c r="C97" s="29" t="s">
        <v>39</v>
      </c>
      <c r="D97" s="29" t="s">
        <v>39</v>
      </c>
      <c r="E97" s="29" t="s">
        <v>39</v>
      </c>
      <c r="F97" s="29" t="s">
        <v>39</v>
      </c>
      <c r="G97" s="29" t="s">
        <v>39</v>
      </c>
      <c r="H97" s="29">
        <f>IFERROR(H96/C96-1,"n/a")</f>
        <v>0.0049192734611505085</v>
      </c>
      <c r="I97" s="42" t="str">
        <f>IFERROR(I96/D96-1,"n/a")</f>
        <v>n/a</v>
      </c>
      <c r="J97" s="3"/>
      <c r="K97" s="3"/>
      <c r="L97" s="3"/>
    </row>
    <row r="98">
      <c r="A98" s="3"/>
      <c r="B98" s="50" t="s">
        <v>74</v>
      </c>
      <c r="C98" s="44" t="s">
        <v>39</v>
      </c>
      <c r="D98" s="44" t="str">
        <f>IFERROR(D96-C96,"n/a")</f>
        <v>n/a</v>
      </c>
      <c r="E98" s="44" t="str">
        <f>IFERROR(E96-D96,"n/a")</f>
        <v>n/a</v>
      </c>
      <c r="F98" s="44" t="str">
        <f>IFERROR(F96-E96,"n/a")</f>
        <v>n/a</v>
      </c>
      <c r="G98" s="44"/>
      <c r="H98" s="44" t="str">
        <f>IFERROR(H96-F96,"n/a")</f>
        <v>n/a</v>
      </c>
      <c r="I98" s="40">
        <f>IFERROR(I96-H96,"n/a")</f>
        <v>26.218478260869574</v>
      </c>
      <c r="J98" s="3"/>
      <c r="K98" s="3"/>
      <c r="L98" s="3"/>
    </row>
    <row r="99">
      <c r="A99" s="3"/>
      <c r="B99" s="6" t="s">
        <v>207</v>
      </c>
      <c r="C99" s="95">
        <v>0.0558</v>
      </c>
      <c r="D99" s="29" t="s">
        <v>39</v>
      </c>
      <c r="E99" s="29" t="s">
        <v>39</v>
      </c>
      <c r="F99" s="29" t="s">
        <v>39</v>
      </c>
      <c r="G99" s="29" t="s">
        <v>39</v>
      </c>
      <c r="H99" s="95">
        <v>0.0613</v>
      </c>
      <c r="I99" s="87">
        <v>0.0614</v>
      </c>
      <c r="J99" s="3"/>
      <c r="K99" s="3"/>
      <c r="L99" s="3"/>
    </row>
    <row r="100">
      <c r="A100" s="3"/>
      <c r="B100" s="49" t="s">
        <v>89</v>
      </c>
      <c r="C100" s="89" t="s">
        <v>39</v>
      </c>
      <c r="D100" s="89" t="str">
        <f>IFERROR((D99-C99)*10000,"n/a")</f>
        <v>n/a</v>
      </c>
      <c r="E100" s="89" t="str">
        <f>IFERROR((E99-D99)*10000,"n/a")</f>
        <v>n/a</v>
      </c>
      <c r="F100" s="89" t="str">
        <f>IFERROR((F99-E99)*10000,"n/a")</f>
        <v>n/a</v>
      </c>
      <c r="G100" s="89"/>
      <c r="H100" s="89" t="str">
        <f>IFERROR((H99-F99)*10000,"n/a")</f>
        <v>n/a</v>
      </c>
      <c r="I100" s="88">
        <f>IFERROR((I99-H99)*10000,"n/a")</f>
        <v>1.0000000000000286</v>
      </c>
      <c r="J100" s="3"/>
      <c r="K100" s="3"/>
      <c r="L100" s="3"/>
    </row>
    <row r="101">
      <c r="A101" s="3"/>
      <c r="B101" s="49" t="s">
        <v>90</v>
      </c>
      <c r="C101" s="89" t="s">
        <v>39</v>
      </c>
      <c r="D101" s="89" t="s">
        <v>39</v>
      </c>
      <c r="E101" s="89" t="s">
        <v>39</v>
      </c>
      <c r="F101" s="89" t="s">
        <v>39</v>
      </c>
      <c r="G101" s="89" t="s">
        <v>39</v>
      </c>
      <c r="H101" s="89">
        <f>IFERROR((H99-C99)*10000,"n/a")</f>
        <v>54.99999999999998</v>
      </c>
      <c r="I101" s="88" t="str">
        <f>IFERROR((I99-D99)*10000,"n/a")</f>
        <v>n/a</v>
      </c>
      <c r="J101" s="3"/>
      <c r="K101" s="3"/>
      <c r="L101" s="3"/>
    </row>
    <row r="102">
      <c r="A102" s="3"/>
      <c r="B102" s="3" t="s">
        <v>6</v>
      </c>
      <c r="C102" s="41">
        <f>C6</f>
        <v>92</v>
      </c>
      <c r="D102" s="41">
        <f>D6</f>
        <v>92</v>
      </c>
      <c r="E102" s="41">
        <f>E6</f>
        <v>91</v>
      </c>
      <c r="F102" s="41">
        <f>F6</f>
        <v>90</v>
      </c>
      <c r="G102" s="41">
        <f>G6</f>
        <v>365</v>
      </c>
      <c r="H102" s="41">
        <f>H6</f>
        <v>92</v>
      </c>
      <c r="I102" s="71">
        <f>I6</f>
        <v>92</v>
      </c>
      <c r="J102" s="3"/>
      <c r="K102" s="3"/>
      <c r="L102" s="3"/>
    </row>
    <row r="103">
      <c r="A103" s="3"/>
      <c r="B103" s="3" t="s">
        <v>208</v>
      </c>
      <c r="C103" s="28">
        <f>C96*C99*C102/Inputs!$C$131</f>
        <v>11.150460493150685</v>
      </c>
      <c r="D103" s="44" t="s">
        <v>39</v>
      </c>
      <c r="E103" s="44" t="s">
        <v>39</v>
      </c>
      <c r="F103" s="44" t="s">
        <v>39</v>
      </c>
      <c r="G103" s="44" t="s">
        <v>39</v>
      </c>
      <c r="H103" s="28">
        <f>H96*H99*H102/Inputs!$C$131</f>
        <v>12.309778958904111</v>
      </c>
      <c r="I103" s="27">
        <f>I96*I99*I102/Inputs!$C$131</f>
        <v>12.73562164383562</v>
      </c>
      <c r="J103" s="3"/>
      <c r="K103" s="3"/>
      <c r="L103" s="3"/>
    </row>
    <row r="104">
      <c r="A104" s="3"/>
      <c r="B104" s="49" t="s">
        <v>73</v>
      </c>
      <c r="C104" s="29" t="s">
        <v>39</v>
      </c>
      <c r="D104" s="29" t="s">
        <v>39</v>
      </c>
      <c r="E104" s="29" t="s">
        <v>39</v>
      </c>
      <c r="F104" s="29" t="s">
        <v>39</v>
      </c>
      <c r="G104" s="29" t="s">
        <v>39</v>
      </c>
      <c r="H104" s="29">
        <f>IFERROR(H103/C103-1,"n/a")</f>
        <v>0.103970456329185</v>
      </c>
      <c r="I104" s="42" t="str">
        <f>IFERROR(I103/D103-1,"n/a")</f>
        <v>n/a</v>
      </c>
      <c r="J104" s="3"/>
      <c r="K104" s="3"/>
      <c r="L104" s="3"/>
    </row>
    <row r="105">
      <c r="A105" s="3"/>
      <c r="B105" s="50" t="s">
        <v>74</v>
      </c>
      <c r="C105" s="44" t="s">
        <v>39</v>
      </c>
      <c r="D105" s="44" t="str">
        <f>IFERROR(D103-C103,"n/a")</f>
        <v>n/a</v>
      </c>
      <c r="E105" s="44" t="str">
        <f>IFERROR(E103-D103,"n/a")</f>
        <v>n/a</v>
      </c>
      <c r="F105" s="44" t="str">
        <f>IFERROR(F103-E103,"n/a")</f>
        <v>n/a</v>
      </c>
      <c r="G105" s="44"/>
      <c r="H105" s="44" t="str">
        <f>IFERROR(H103-F103,"n/a")</f>
        <v>n/a</v>
      </c>
      <c r="I105" s="40">
        <f>IFERROR(I103-H103,"n/a")</f>
        <v>0.42584268493150823</v>
      </c>
      <c r="J105" s="3"/>
      <c r="K105" s="3"/>
      <c r="L105" s="3"/>
    </row>
    <row r="106">
      <c r="A106" s="3"/>
      <c r="B106" s="3" t="s">
        <v>209</v>
      </c>
      <c r="C106" s="28">
        <f>'Cash Flow Statement'!C12</f>
        <v>1.254331</v>
      </c>
      <c r="D106" s="28">
        <f>'Cash Flow Statement'!D12</f>
        <v>1.2478469999999997</v>
      </c>
      <c r="E106" s="28">
        <f>'Cash Flow Statement'!E12</f>
        <v>1.1119790000000003</v>
      </c>
      <c r="F106" s="28">
        <f>'Cash Flow Statement'!F12</f>
        <v>1.1880099999999998</v>
      </c>
      <c r="G106" s="44">
        <f>SUM(C106:F106)</f>
        <v>4.802167</v>
      </c>
      <c r="H106" s="28">
        <f>'Cash Flow Statement'!H12</f>
        <v>1.29711</v>
      </c>
      <c r="I106" s="63">
        <v>1.33</v>
      </c>
      <c r="J106" s="3"/>
      <c r="K106" s="3"/>
      <c r="L106" s="3"/>
    </row>
    <row r="107">
      <c r="A107" s="3"/>
      <c r="B107" s="49" t="s">
        <v>73</v>
      </c>
      <c r="C107" s="29" t="s">
        <v>39</v>
      </c>
      <c r="D107" s="29" t="s">
        <v>39</v>
      </c>
      <c r="E107" s="29" t="s">
        <v>39</v>
      </c>
      <c r="F107" s="29" t="s">
        <v>39</v>
      </c>
      <c r="G107" s="29" t="s">
        <v>39</v>
      </c>
      <c r="H107" s="29">
        <f>IFERROR(H106/C106-1,"n/a")</f>
        <v>0.03410503288207023</v>
      </c>
      <c r="I107" s="42">
        <f>IFERROR(I106/D106-1,"n/a")</f>
        <v>0.06583579557429742</v>
      </c>
      <c r="J107" s="3"/>
      <c r="K107" s="3"/>
      <c r="L107" s="3"/>
    </row>
    <row r="108">
      <c r="A108" s="3"/>
      <c r="B108" s="50" t="s">
        <v>74</v>
      </c>
      <c r="C108" s="44" t="s">
        <v>39</v>
      </c>
      <c r="D108" s="44">
        <f>IFERROR(D106-C106,"n/a")</f>
        <v>-0.006484000000000378</v>
      </c>
      <c r="E108" s="44">
        <f>IFERROR(E106-D106,"n/a")</f>
        <v>-0.13586799999999943</v>
      </c>
      <c r="F108" s="44">
        <f>IFERROR(F106-E106,"n/a")</f>
        <v>0.07603099999999952</v>
      </c>
      <c r="G108" s="44"/>
      <c r="H108" s="44">
        <f>IFERROR(H106-F106,"n/a")</f>
        <v>0.1091000000000002</v>
      </c>
      <c r="I108" s="40">
        <f>IFERROR(I106-H106,"n/a")</f>
        <v>0.032890000000000086</v>
      </c>
      <c r="J108" s="3"/>
      <c r="K108" s="3"/>
      <c r="L108" s="3"/>
    </row>
    <row r="109">
      <c r="A109" s="3"/>
      <c r="B109" s="3" t="s">
        <v>210</v>
      </c>
      <c r="C109" s="44">
        <f>C19-C103-C106</f>
        <v>0.04707350684931422</v>
      </c>
      <c r="D109" s="44" t="s">
        <v>39</v>
      </c>
      <c r="E109" s="44" t="s">
        <v>39</v>
      </c>
      <c r="F109" s="44" t="s">
        <v>39</v>
      </c>
      <c r="G109" s="44" t="s">
        <v>39</v>
      </c>
      <c r="H109" s="44">
        <f>H19-H103-H106</f>
        <v>0.043394041095888625</v>
      </c>
      <c r="I109" s="63">
        <v>0.04</v>
      </c>
      <c r="J109" s="3"/>
      <c r="K109" s="3"/>
      <c r="L109" s="3"/>
    </row>
    <row r="110">
      <c r="A110" s="3"/>
      <c r="B110" s="49" t="s">
        <v>73</v>
      </c>
      <c r="C110" s="29" t="s">
        <v>39</v>
      </c>
      <c r="D110" s="29" t="s">
        <v>39</v>
      </c>
      <c r="E110" s="29" t="s">
        <v>39</v>
      </c>
      <c r="F110" s="29" t="s">
        <v>39</v>
      </c>
      <c r="G110" s="29" t="s">
        <v>39</v>
      </c>
      <c r="H110" s="29">
        <f>IFERROR(H109/C109-1,"n/a")</f>
        <v>-0.07816425840555785</v>
      </c>
      <c r="I110" s="42" t="str">
        <f>IFERROR(I109/D109-1,"n/a")</f>
        <v>n/a</v>
      </c>
      <c r="J110" s="3"/>
      <c r="K110" s="3"/>
      <c r="L110" s="3"/>
    </row>
    <row r="111">
      <c r="A111" s="3"/>
      <c r="B111" s="50" t="s">
        <v>74</v>
      </c>
      <c r="C111" s="44" t="s">
        <v>39</v>
      </c>
      <c r="D111" s="44" t="str">
        <f>IFERROR(D109-C109,"n/a")</f>
        <v>n/a</v>
      </c>
      <c r="E111" s="44" t="str">
        <f>IFERROR(E109-D109,"n/a")</f>
        <v>n/a</v>
      </c>
      <c r="F111" s="44" t="str">
        <f>IFERROR(F109-E109,"n/a")</f>
        <v>n/a</v>
      </c>
      <c r="G111" s="44"/>
      <c r="H111" s="44" t="str">
        <f>IFERROR(H109-F109,"n/a")</f>
        <v>n/a</v>
      </c>
      <c r="I111" s="40">
        <f>IFERROR(I109-H109,"n/a")</f>
        <v>-0.003394041095888624</v>
      </c>
      <c r="J111" s="3"/>
      <c r="K111" s="3"/>
      <c r="L111" s="3"/>
    </row>
    <row r="112">
      <c r="A112" s="3"/>
      <c r="B112" s="30" t="s">
        <v>211</v>
      </c>
      <c r="C112" s="68">
        <f>C103+C106+C109</f>
        <v>12.451865</v>
      </c>
      <c r="D112" s="68" t="s">
        <v>39</v>
      </c>
      <c r="E112" s="68" t="s">
        <v>39</v>
      </c>
      <c r="F112" s="68" t="s">
        <v>39</v>
      </c>
      <c r="G112" s="68" t="s">
        <v>39</v>
      </c>
      <c r="H112" s="68">
        <f>H103+H106+H109</f>
        <v>13.650283</v>
      </c>
      <c r="I112" s="78">
        <f>I103+I106+I109</f>
        <v>14.105621643835619</v>
      </c>
      <c r="J112" s="3"/>
      <c r="K112" s="3"/>
      <c r="L112" s="3"/>
    </row>
    <row r="113">
      <c r="A113" s="3"/>
      <c r="B113" s="3" t="s">
        <v>212</v>
      </c>
      <c r="C113" s="44"/>
      <c r="D113" s="44"/>
      <c r="E113" s="44"/>
      <c r="F113" s="44"/>
      <c r="G113" s="44"/>
      <c r="H113" s="44"/>
      <c r="I113" s="63">
        <v>85</v>
      </c>
      <c r="J113" s="3"/>
      <c r="K113" s="3"/>
      <c r="L113" s="3"/>
    </row>
    <row r="114">
      <c r="A114" s="3"/>
      <c r="B114" s="6" t="s">
        <v>213</v>
      </c>
      <c r="C114" s="29"/>
      <c r="D114" s="29"/>
      <c r="E114" s="29"/>
      <c r="F114" s="29"/>
      <c r="G114" s="29"/>
      <c r="H114" s="29"/>
      <c r="I114" s="87">
        <v>0.08</v>
      </c>
      <c r="J114" s="3"/>
      <c r="K114" s="3"/>
      <c r="L114" s="3"/>
    </row>
    <row r="115">
      <c r="A115" s="3"/>
      <c r="B115" s="3" t="s">
        <v>214</v>
      </c>
      <c r="C115" s="41"/>
      <c r="D115" s="41"/>
      <c r="E115" s="41"/>
      <c r="F115" s="41"/>
      <c r="G115" s="41"/>
      <c r="H115" s="41"/>
      <c r="I115" s="56">
        <v>6</v>
      </c>
      <c r="J115" s="3"/>
      <c r="K115" s="3"/>
      <c r="L115" s="3"/>
    </row>
    <row r="116">
      <c r="A116" s="3"/>
      <c r="B116" s="3" t="s">
        <v>215</v>
      </c>
      <c r="C116" s="44"/>
      <c r="D116" s="44"/>
      <c r="E116" s="44"/>
      <c r="F116" s="44"/>
      <c r="G116" s="44"/>
      <c r="H116" s="44"/>
      <c r="I116" s="27">
        <f>I113*I114*I115/Inputs!$C$131</f>
        <v>0.1117808219178082</v>
      </c>
      <c r="J116" s="3"/>
      <c r="K116" s="3"/>
      <c r="L116" s="3"/>
    </row>
    <row r="117">
      <c r="A117" s="3"/>
      <c r="B117" s="3" t="s">
        <v>216</v>
      </c>
      <c r="C117" s="44"/>
      <c r="D117" s="44"/>
      <c r="E117" s="44"/>
      <c r="F117" s="44"/>
      <c r="G117" s="44"/>
      <c r="H117" s="44"/>
      <c r="I117" s="63">
        <v>0.01</v>
      </c>
      <c r="J117" s="3"/>
      <c r="K117" s="3"/>
      <c r="L117" s="3"/>
    </row>
    <row r="118">
      <c r="A118" s="3"/>
      <c r="B118" s="30" t="s">
        <v>217</v>
      </c>
      <c r="C118" s="68"/>
      <c r="D118" s="68"/>
      <c r="E118" s="68"/>
      <c r="F118" s="68"/>
      <c r="G118" s="68"/>
      <c r="H118" s="68"/>
      <c r="I118" s="78">
        <f>I116+I117</f>
        <v>0.1217808219178082</v>
      </c>
      <c r="J118" s="3"/>
      <c r="K118" s="3"/>
      <c r="L118" s="3"/>
    </row>
    <row r="119">
      <c r="A119" s="3"/>
      <c r="B119" s="3" t="s">
        <v>218</v>
      </c>
      <c r="C119" s="28">
        <f>('Balance Sheet'!C91+'Balance Sheet'!C22)/2</f>
        <v>982.4012705</v>
      </c>
      <c r="D119" s="28">
        <f>('Balance Sheet'!C22+'Balance Sheet'!D22)/2</f>
        <v>991.6946674999999</v>
      </c>
      <c r="E119" s="28">
        <f>('Balance Sheet'!D22+'Balance Sheet'!E22)/2</f>
        <v>1016.4052339999998</v>
      </c>
      <c r="F119" s="28">
        <f>('Balance Sheet'!E22+'Balance Sheet'!F22)/2</f>
        <v>1072.441546</v>
      </c>
      <c r="G119" s="44">
        <f>SUMPRODUCT(C119:F119,C102:F102)/G102</f>
        <v>1015.4231280273972</v>
      </c>
      <c r="H119" s="28">
        <f>('Balance Sheet'!F22+'Balance Sheet'!H22)/2</f>
        <v>1127.047358</v>
      </c>
      <c r="I119" s="27">
        <f>('Balance Sheet'!H22+'Balance Sheet'!I22)/2</f>
        <v>1147.360365</v>
      </c>
      <c r="J119" s="3"/>
      <c r="K119" s="3"/>
      <c r="L119" s="3"/>
    </row>
    <row r="120">
      <c r="A120" s="3"/>
      <c r="B120" s="49" t="s">
        <v>73</v>
      </c>
      <c r="C120" s="29" t="s">
        <v>39</v>
      </c>
      <c r="D120" s="29" t="s">
        <v>39</v>
      </c>
      <c r="E120" s="29" t="s">
        <v>39</v>
      </c>
      <c r="F120" s="29" t="s">
        <v>39</v>
      </c>
      <c r="G120" s="29" t="s">
        <v>39</v>
      </c>
      <c r="H120" s="29">
        <f>IFERROR(H119/C119-1,"n/a")</f>
        <v>0.147237276501466</v>
      </c>
      <c r="I120" s="42">
        <f>IFERROR(I119/D119-1,"n/a")</f>
        <v>0.1569693803965122</v>
      </c>
      <c r="J120" s="3"/>
      <c r="K120" s="3"/>
      <c r="L120" s="3"/>
    </row>
    <row r="121">
      <c r="A121" s="3"/>
      <c r="B121" s="50" t="s">
        <v>74</v>
      </c>
      <c r="C121" s="44" t="s">
        <v>39</v>
      </c>
      <c r="D121" s="44">
        <f>IFERROR(D119-C119,"n/a")</f>
        <v>9.293396999999914</v>
      </c>
      <c r="E121" s="44">
        <f>IFERROR(E119-D119,"n/a")</f>
        <v>24.710566499999914</v>
      </c>
      <c r="F121" s="44">
        <f>IFERROR(F119-E119,"n/a")</f>
        <v>56.03631200000018</v>
      </c>
      <c r="G121" s="44"/>
      <c r="H121" s="44">
        <f>IFERROR(H119-F119,"n/a")</f>
        <v>54.605812000000014</v>
      </c>
      <c r="I121" s="40">
        <f>IFERROR(I119-H119,"n/a")</f>
        <v>20.31300699999997</v>
      </c>
      <c r="J121" s="3"/>
      <c r="K121" s="3"/>
      <c r="L121" s="3"/>
    </row>
    <row r="122">
      <c r="A122" s="3"/>
      <c r="B122" s="6" t="s">
        <v>219</v>
      </c>
      <c r="C122" s="94">
        <f>C20/C119*Inputs!$C$131/C102</f>
        <v>0.01750000148809068</v>
      </c>
      <c r="D122" s="94">
        <f>D20/D119*Inputs!$C$131/D102</f>
        <v>0.01749999830466972</v>
      </c>
      <c r="E122" s="94">
        <f>E20/E119*Inputs!$C$131/E102</f>
        <v>0.017500000160606963</v>
      </c>
      <c r="F122" s="94">
        <f>F20/F119*Inputs!$C$131/F102</f>
        <v>0.017499997254965646</v>
      </c>
      <c r="G122" s="94">
        <f>G20/G119*Inputs!$C$131/G102</f>
        <v>0.017499999270767595</v>
      </c>
      <c r="H122" s="94">
        <f>H20/H119*Inputs!$C$131/H102</f>
        <v>0.01749540062747552</v>
      </c>
      <c r="I122" s="87">
        <v>0.0175</v>
      </c>
      <c r="J122" s="3"/>
      <c r="K122" s="3"/>
      <c r="L122" s="3"/>
    </row>
    <row r="123">
      <c r="A123" s="3"/>
      <c r="B123" s="49" t="s">
        <v>89</v>
      </c>
      <c r="C123" s="89" t="s">
        <v>39</v>
      </c>
      <c r="D123" s="89">
        <f>IFERROR((D122-C122)*10000,"n/a")</f>
        <v>-0.000031834209608672115</v>
      </c>
      <c r="E123" s="89">
        <f>IFERROR((E122-D122)*10000,"n/a")</f>
        <v>0.00001855937244166217</v>
      </c>
      <c r="F123" s="89">
        <f>IFERROR((F122-E122)*10000,"n/a")</f>
        <v>-0.00002905641317829666</v>
      </c>
      <c r="G123" s="89"/>
      <c r="H123" s="89">
        <f>IFERROR((H122-F122)*10000,"n/a")</f>
        <v>-0.04596627490124905</v>
      </c>
      <c r="I123" s="88">
        <f>IFERROR((I122-H122)*10000,"n/a")</f>
        <v>0.04599372524480977</v>
      </c>
      <c r="J123" s="3"/>
      <c r="K123" s="3"/>
      <c r="L123" s="3"/>
    </row>
    <row r="124">
      <c r="A124" s="3"/>
      <c r="B124" s="49" t="s">
        <v>90</v>
      </c>
      <c r="C124" s="89" t="s">
        <v>39</v>
      </c>
      <c r="D124" s="89" t="s">
        <v>39</v>
      </c>
      <c r="E124" s="89" t="s">
        <v>39</v>
      </c>
      <c r="F124" s="89" t="s">
        <v>39</v>
      </c>
      <c r="G124" s="89" t="s">
        <v>39</v>
      </c>
      <c r="H124" s="89">
        <f>IFERROR((H122-C122)*10000,"n/a")</f>
        <v>-0.046008606151594356</v>
      </c>
      <c r="I124" s="88">
        <f>IFERROR((I122-D122)*10000,"n/a")</f>
        <v>0.00001695330282408536</v>
      </c>
      <c r="J124" s="3"/>
      <c r="K124" s="3"/>
      <c r="L124" s="3"/>
    </row>
    <row r="125">
      <c r="A125" s="3"/>
      <c r="B125" s="30" t="s">
        <v>220</v>
      </c>
      <c r="C125" s="52"/>
      <c r="D125" s="52"/>
      <c r="E125" s="52"/>
      <c r="F125" s="52"/>
      <c r="G125" s="52"/>
      <c r="H125" s="52"/>
      <c r="I125" s="104">
        <f>I119*I122*I102/Inputs!$C$131</f>
        <v>5.060959418219179</v>
      </c>
      <c r="J125" s="3"/>
      <c r="K125" s="3"/>
      <c r="L125" s="3"/>
    </row>
    <row r="126">
      <c r="A126" s="3"/>
      <c r="B126" s="3" t="s">
        <v>221</v>
      </c>
      <c r="C126" s="44">
        <f>C33+C21</f>
        <v>12.678545000000003</v>
      </c>
      <c r="D126" s="44">
        <f>D33+D21</f>
        <v>11.351906</v>
      </c>
      <c r="E126" s="44">
        <f>E33+E21</f>
        <v>12.233996999999997</v>
      </c>
      <c r="F126" s="44">
        <f>F33+F21</f>
        <v>9.772808999999997</v>
      </c>
      <c r="G126" s="44">
        <f>G33+G21</f>
        <v>46.037257</v>
      </c>
      <c r="H126" s="44">
        <f>H33+H21</f>
        <v>9.485048</v>
      </c>
      <c r="I126" s="40">
        <f>I15-I19-I20-I22-I23-I24-I25-I26-I27-I28</f>
        <v>9.493742934085763</v>
      </c>
      <c r="J126" s="3"/>
      <c r="K126" s="3"/>
      <c r="L126" s="3"/>
    </row>
    <row r="127">
      <c r="A127" s="3"/>
      <c r="B127" s="49" t="s">
        <v>73</v>
      </c>
      <c r="C127" s="29" t="s">
        <v>39</v>
      </c>
      <c r="D127" s="29" t="s">
        <v>39</v>
      </c>
      <c r="E127" s="29" t="s">
        <v>39</v>
      </c>
      <c r="F127" s="29" t="s">
        <v>39</v>
      </c>
      <c r="G127" s="29" t="s">
        <v>39</v>
      </c>
      <c r="H127" s="29">
        <f>IFERROR(H126/C126-1,"n/a")</f>
        <v>-0.251881978570885</v>
      </c>
      <c r="I127" s="42">
        <f>IFERROR(I126/D126-1,"n/a")</f>
        <v>-0.16368731963726946</v>
      </c>
      <c r="J127" s="3"/>
      <c r="K127" s="3"/>
      <c r="L127" s="3"/>
    </row>
    <row r="128">
      <c r="A128" s="3"/>
      <c r="B128" s="50" t="s">
        <v>74</v>
      </c>
      <c r="C128" s="44" t="s">
        <v>39</v>
      </c>
      <c r="D128" s="44">
        <f>IFERROR(D126-C126,"n/a")</f>
        <v>-1.3266390000000037</v>
      </c>
      <c r="E128" s="44">
        <f>IFERROR(E126-D126,"n/a")</f>
        <v>0.8820909999999973</v>
      </c>
      <c r="F128" s="44">
        <f>IFERROR(F126-E126,"n/a")</f>
        <v>-2.461188</v>
      </c>
      <c r="G128" s="44"/>
      <c r="H128" s="44">
        <f>IFERROR(H126-F126,"n/a")</f>
        <v>-0.28776099999999616</v>
      </c>
      <c r="I128" s="40">
        <f>IFERROR(I126-H126,"n/a")</f>
        <v>0.00869493408576183</v>
      </c>
      <c r="J128" s="3"/>
      <c r="K128" s="3"/>
      <c r="L128" s="3"/>
    </row>
    <row r="129">
      <c r="A129" s="3"/>
      <c r="B129" s="3" t="s">
        <v>222</v>
      </c>
      <c r="C129" s="28">
        <f>'Balance Sheet'!C92</f>
        <v>392.665468</v>
      </c>
      <c r="D129" s="28">
        <f>'Balance Sheet'!C76</f>
        <v>396.36931500000003</v>
      </c>
      <c r="E129" s="28">
        <f>'Balance Sheet'!D76</f>
        <v>410.499568</v>
      </c>
      <c r="F129" s="28">
        <f>'Balance Sheet'!E76</f>
        <v>413.206912</v>
      </c>
      <c r="G129" s="44" t="s">
        <v>39</v>
      </c>
      <c r="H129" s="28">
        <f>'Balance Sheet'!F76</f>
        <v>396.155754</v>
      </c>
      <c r="I129" s="27">
        <f>'Balance Sheet'!H76</f>
        <v>378.454958</v>
      </c>
      <c r="J129" s="3"/>
      <c r="K129" s="3"/>
      <c r="L129" s="3"/>
    </row>
    <row r="130">
      <c r="A130" s="3"/>
      <c r="B130" s="49" t="s">
        <v>73</v>
      </c>
      <c r="C130" s="29" t="s">
        <v>39</v>
      </c>
      <c r="D130" s="29" t="s">
        <v>39</v>
      </c>
      <c r="E130" s="29" t="s">
        <v>39</v>
      </c>
      <c r="F130" s="29" t="s">
        <v>39</v>
      </c>
      <c r="G130" s="29" t="s">
        <v>39</v>
      </c>
      <c r="H130" s="29">
        <f>IFERROR(H129/C129-1,"n/a")</f>
        <v>0.00888870115769902</v>
      </c>
      <c r="I130" s="42">
        <f>IFERROR(I129/D129-1,"n/a")</f>
        <v>-0.04519612473029111</v>
      </c>
      <c r="J130" s="3"/>
      <c r="K130" s="3"/>
      <c r="L130" s="3"/>
    </row>
    <row r="131">
      <c r="A131" s="3"/>
      <c r="B131" s="50" t="s">
        <v>74</v>
      </c>
      <c r="C131" s="44" t="s">
        <v>39</v>
      </c>
      <c r="D131" s="44">
        <f>IFERROR(D129-C129,"n/a")</f>
        <v>3.703847000000053</v>
      </c>
      <c r="E131" s="44">
        <f>IFERROR(E129-D129,"n/a")</f>
        <v>14.130252999999982</v>
      </c>
      <c r="F131" s="44">
        <f>IFERROR(F129-E129,"n/a")</f>
        <v>2.7073439999999778</v>
      </c>
      <c r="G131" s="44"/>
      <c r="H131" s="44">
        <f>IFERROR(H129-F129,"n/a")</f>
        <v>-17.051157999999987</v>
      </c>
      <c r="I131" s="40">
        <f>IFERROR(I129-H129,"n/a")</f>
        <v>-17.700796000000025</v>
      </c>
      <c r="J131" s="3"/>
      <c r="K131" s="3"/>
      <c r="L131" s="3"/>
    </row>
    <row r="132">
      <c r="A132" s="3"/>
      <c r="B132" s="6" t="s">
        <v>223</v>
      </c>
      <c r="C132" s="29"/>
      <c r="D132" s="29"/>
      <c r="E132" s="29"/>
      <c r="F132" s="29"/>
      <c r="G132" s="29"/>
      <c r="H132" s="29"/>
      <c r="I132" s="87">
        <v>0.01875</v>
      </c>
      <c r="J132" s="3"/>
      <c r="K132" s="3"/>
      <c r="L132" s="3"/>
    </row>
    <row r="133">
      <c r="A133" s="3"/>
      <c r="B133" s="3" t="s">
        <v>224</v>
      </c>
      <c r="C133" s="44"/>
      <c r="D133" s="44"/>
      <c r="E133" s="44"/>
      <c r="F133" s="44"/>
      <c r="G133" s="44"/>
      <c r="H133" s="44"/>
      <c r="I133" s="40">
        <f>I129*I132</f>
        <v>7.096030462499999</v>
      </c>
      <c r="J133" s="3"/>
      <c r="K133" s="3"/>
      <c r="L133" s="3"/>
    </row>
    <row r="134">
      <c r="A134" s="3"/>
      <c r="B134" s="6" t="s">
        <v>225</v>
      </c>
      <c r="C134" s="29">
        <f>C21/C126</f>
        <v>0.20006341421669435</v>
      </c>
      <c r="D134" s="29">
        <f>D21/D126</f>
        <v>0.20006975040138636</v>
      </c>
      <c r="E134" s="29">
        <f>E21/E126</f>
        <v>0.20006633972527546</v>
      </c>
      <c r="F134" s="29">
        <f>F21/F126</f>
        <v>0.2021077051644006</v>
      </c>
      <c r="G134" s="29">
        <f>G21/G126</f>
        <v>0.2004997170009499</v>
      </c>
      <c r="H134" s="29">
        <f>H21/H126</f>
        <v>0.19947827359439824</v>
      </c>
      <c r="I134" s="87">
        <v>0.2</v>
      </c>
      <c r="J134" s="3"/>
      <c r="K134" s="3"/>
      <c r="L134" s="3"/>
    </row>
    <row r="135">
      <c r="A135" s="3"/>
      <c r="B135" s="49" t="s">
        <v>89</v>
      </c>
      <c r="C135" s="89" t="s">
        <v>39</v>
      </c>
      <c r="D135" s="89">
        <f>IFERROR((D134-C134)*10000,"n/a")</f>
        <v>0.06336184692007363</v>
      </c>
      <c r="E135" s="89">
        <f>IFERROR((E134-D134)*10000,"n/a")</f>
        <v>-0.03410676110898736</v>
      </c>
      <c r="F135" s="89">
        <f>IFERROR((F134-E134)*10000,"n/a")</f>
        <v>20.413654391251423</v>
      </c>
      <c r="G135" s="89"/>
      <c r="H135" s="89">
        <f>IFERROR((H134-F134)*10000,"n/a")</f>
        <v>-26.294315700023663</v>
      </c>
      <c r="I135" s="88">
        <f>IFERROR((I134-H134)*10000,"n/a")</f>
        <v>5.217264056017745</v>
      </c>
      <c r="J135" s="3"/>
      <c r="K135" s="3"/>
      <c r="L135" s="3"/>
    </row>
    <row r="136">
      <c r="A136" s="3"/>
      <c r="B136" s="49" t="s">
        <v>90</v>
      </c>
      <c r="C136" s="89" t="s">
        <v>39</v>
      </c>
      <c r="D136" s="89" t="s">
        <v>39</v>
      </c>
      <c r="E136" s="89" t="s">
        <v>39</v>
      </c>
      <c r="F136" s="89" t="s">
        <v>39</v>
      </c>
      <c r="G136" s="89" t="s">
        <v>39</v>
      </c>
      <c r="H136" s="89">
        <f>IFERROR((H134-C134)*10000,"n/a")</f>
        <v>-5.8514062229611525</v>
      </c>
      <c r="I136" s="88">
        <f>IFERROR((I134-D134)*10000,"n/a")</f>
        <v>-0.6975040138634814</v>
      </c>
      <c r="J136" s="3"/>
      <c r="K136" s="3"/>
      <c r="L136" s="3"/>
    </row>
    <row r="137">
      <c r="A137" s="3"/>
      <c r="B137" s="3" t="s">
        <v>226</v>
      </c>
      <c r="C137" s="44"/>
      <c r="D137" s="44"/>
      <c r="E137" s="44"/>
      <c r="F137" s="44"/>
      <c r="G137" s="44"/>
      <c r="H137" s="44"/>
      <c r="I137" s="40">
        <f>I133/(1-I134)</f>
        <v>8.870038078124999</v>
      </c>
      <c r="J137" s="3"/>
      <c r="K137" s="3"/>
      <c r="L137" s="3"/>
    </row>
    <row r="138">
      <c r="A138" s="3"/>
      <c r="B138" s="30" t="s">
        <v>227</v>
      </c>
      <c r="C138" s="52"/>
      <c r="D138" s="52"/>
      <c r="E138" s="52"/>
      <c r="F138" s="52"/>
      <c r="G138" s="52"/>
      <c r="H138" s="52"/>
      <c r="I138" s="73">
        <f>IF(I126&lt;=I133,0,IF(I126&lt;=I137,I126-I133,I134*I126))</f>
        <v>1.8987485868171525</v>
      </c>
      <c r="J138" s="3"/>
      <c r="K138" s="3"/>
      <c r="L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97"/>
  <sheetViews>
    <sheetView showGridLines="0" workbookViewId="0"/>
  </sheetViews>
  <sheetFormatPr defaultColWidth="8.42578125" defaultRowHeight="15"/>
  <cols>
    <col min="1" max="1" width="2" customWidth="1"/>
    <col min="2" max="2" width="46" customWidth="1"/>
    <col min="3" max="9" width="12" customWidth="1"/>
  </cols>
  <sheetData>
    <row r="1">
      <c r="A1" s="3"/>
      <c r="B1" s="17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23" t="s">
        <v>228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22" t="s">
        <v>63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72" t="s">
        <v>4</v>
      </c>
      <c r="J4" s="3"/>
      <c r="K4" s="3"/>
      <c r="L4" s="3"/>
    </row>
    <row r="5">
      <c r="A5" s="3"/>
      <c r="B5" s="14" t="s">
        <v>5</v>
      </c>
      <c r="C5" s="9">
        <v>45808</v>
      </c>
      <c r="D5" s="9">
        <v>45900</v>
      </c>
      <c r="E5" s="9">
        <v>45991</v>
      </c>
      <c r="F5" s="9">
        <v>46081</v>
      </c>
      <c r="G5" s="9">
        <v>46081</v>
      </c>
      <c r="H5" s="9">
        <v>46173</v>
      </c>
      <c r="I5" s="58">
        <v>46265</v>
      </c>
      <c r="J5" s="3"/>
      <c r="K5" s="3"/>
      <c r="L5" s="3"/>
    </row>
    <row r="6">
      <c r="A6" s="3"/>
      <c r="B6" s="21" t="s">
        <v>6</v>
      </c>
      <c r="C6" s="1">
        <f>C5-EOMONTH(C5,-3)</f>
        <v>92</v>
      </c>
      <c r="D6" s="1">
        <f>D5-EOMONTH(D5,-3)</f>
        <v>92</v>
      </c>
      <c r="E6" s="1">
        <f>E5-EOMONTH(E5,-3)</f>
        <v>91</v>
      </c>
      <c r="F6" s="1">
        <f>F5-EOMONTH(F5,-3)</f>
        <v>90</v>
      </c>
      <c r="G6" s="1">
        <f>G5-EOMONTH(G5,-12)</f>
        <v>365</v>
      </c>
      <c r="H6" s="1">
        <f>H5-EOMONTH(H5,-3)</f>
        <v>92</v>
      </c>
      <c r="I6" s="37">
        <f>I5-EOMONTH(I5,-3)</f>
        <v>92</v>
      </c>
      <c r="J6" s="3"/>
      <c r="K6" s="3"/>
      <c r="L6" s="3"/>
    </row>
    <row r="7">
      <c r="A7" s="3"/>
      <c r="B7" s="3"/>
      <c r="C7" s="3"/>
      <c r="D7" s="3"/>
      <c r="E7" s="3"/>
      <c r="F7" s="3"/>
      <c r="G7" s="3"/>
      <c r="H7" s="3"/>
      <c r="I7" s="67"/>
      <c r="J7" s="3"/>
      <c r="K7" s="3"/>
      <c r="L7" s="3"/>
    </row>
    <row r="8">
      <c r="A8" s="3"/>
      <c r="B8" s="30" t="s">
        <v>229</v>
      </c>
      <c r="C8" s="39"/>
      <c r="D8" s="39"/>
      <c r="E8" s="39"/>
      <c r="F8" s="39"/>
      <c r="G8" s="39"/>
      <c r="H8" s="39"/>
      <c r="I8" s="66"/>
      <c r="J8" s="3"/>
      <c r="K8" s="3"/>
      <c r="L8" s="3"/>
    </row>
    <row r="9">
      <c r="A9" s="3"/>
      <c r="B9" s="46" t="s">
        <v>230</v>
      </c>
      <c r="C9" s="62">
        <v>875.410787</v>
      </c>
      <c r="D9" s="62">
        <v>898.724347</v>
      </c>
      <c r="E9" s="62">
        <v>921.12312</v>
      </c>
      <c r="F9" s="62">
        <v>1016.247566</v>
      </c>
      <c r="G9" s="44">
        <f>F9</f>
        <v>1016.247566</v>
      </c>
      <c r="H9" s="62">
        <v>1034.744952</v>
      </c>
      <c r="I9" s="27">
        <f>'Revenue summary'!I31-I10-I11</f>
        <v>1056.234952</v>
      </c>
      <c r="J9" s="3"/>
      <c r="K9" s="3"/>
      <c r="L9" s="3"/>
    </row>
    <row r="10">
      <c r="A10" s="3"/>
      <c r="B10" s="46" t="s">
        <v>231</v>
      </c>
      <c r="C10" s="62">
        <v>52.023563</v>
      </c>
      <c r="D10" s="62">
        <v>52.755641</v>
      </c>
      <c r="E10" s="62">
        <v>52.298789</v>
      </c>
      <c r="F10" s="62">
        <v>52.710911</v>
      </c>
      <c r="G10" s="44">
        <f>F10</f>
        <v>52.710911</v>
      </c>
      <c r="H10" s="62">
        <v>50.325404</v>
      </c>
      <c r="I10" s="40">
        <f>H10</f>
        <v>50.325404</v>
      </c>
      <c r="J10" s="3"/>
      <c r="K10" s="3"/>
      <c r="L10" s="3"/>
    </row>
    <row r="11">
      <c r="A11" s="3"/>
      <c r="B11" s="46" t="s">
        <v>232</v>
      </c>
      <c r="C11" s="62">
        <v>40.883612</v>
      </c>
      <c r="D11" s="62">
        <v>43.815022</v>
      </c>
      <c r="E11" s="62">
        <v>42.528435</v>
      </c>
      <c r="F11" s="62">
        <v>40.175335</v>
      </c>
      <c r="G11" s="44">
        <f>F11</f>
        <v>40.175335</v>
      </c>
      <c r="H11" s="62">
        <v>41.263586</v>
      </c>
      <c r="I11" s="40">
        <f>H11</f>
        <v>41.263586</v>
      </c>
      <c r="J11" s="3"/>
      <c r="K11" s="3"/>
      <c r="L11" s="3"/>
    </row>
    <row r="12">
      <c r="A12" s="3"/>
      <c r="B12" s="30" t="s">
        <v>233</v>
      </c>
      <c r="C12" s="68">
        <f>C9+C10+C11</f>
        <v>968.317962</v>
      </c>
      <c r="D12" s="68">
        <f>D9+D10+D11</f>
        <v>995.2950099999999</v>
      </c>
      <c r="E12" s="68">
        <f>E9+E10+E11</f>
        <v>1015.9503439999999</v>
      </c>
      <c r="F12" s="68">
        <f>F9+F10+F11</f>
        <v>1109.1338119999998</v>
      </c>
      <c r="G12" s="68">
        <f>G9+G10+G11</f>
        <v>1109.1338119999998</v>
      </c>
      <c r="H12" s="68">
        <f>H9+H10+H11</f>
        <v>1126.333942</v>
      </c>
      <c r="I12" s="78">
        <f>I9+I10+I11</f>
        <v>1147.823942</v>
      </c>
      <c r="J12" s="3"/>
      <c r="K12" s="3"/>
      <c r="L12" s="3"/>
    </row>
    <row r="13">
      <c r="A13" s="3"/>
      <c r="B13" s="46" t="s">
        <v>234</v>
      </c>
      <c r="C13" s="62">
        <v>131.562513</v>
      </c>
      <c r="D13" s="62">
        <v>105.660178</v>
      </c>
      <c r="E13" s="62">
        <v>52.298401</v>
      </c>
      <c r="F13" s="62">
        <v>1.68007</v>
      </c>
      <c r="G13" s="44">
        <f>F13</f>
        <v>1.68007</v>
      </c>
      <c r="H13" s="62">
        <v>46.140915</v>
      </c>
      <c r="I13" s="27">
        <f>'Cash Flow Statement'!I51-I14</f>
        <v>99.7239163016863</v>
      </c>
      <c r="J13" s="3"/>
      <c r="K13" s="3"/>
      <c r="L13" s="3"/>
    </row>
    <row r="14">
      <c r="A14" s="3"/>
      <c r="B14" s="46" t="s">
        <v>235</v>
      </c>
      <c r="C14" s="62">
        <v>92.724212</v>
      </c>
      <c r="D14" s="62">
        <v>95.144529</v>
      </c>
      <c r="E14" s="62">
        <v>117.259809</v>
      </c>
      <c r="F14" s="62">
        <v>20.105683</v>
      </c>
      <c r="G14" s="44">
        <f>F14</f>
        <v>20.105683</v>
      </c>
      <c r="H14" s="62">
        <v>14.667902</v>
      </c>
      <c r="I14" s="40">
        <f>H14</f>
        <v>14.667902</v>
      </c>
      <c r="J14" s="3"/>
      <c r="K14" s="3"/>
      <c r="L14" s="3"/>
    </row>
    <row r="15">
      <c r="A15" s="3"/>
      <c r="B15" s="46" t="s">
        <v>236</v>
      </c>
      <c r="C15" s="62">
        <v>8.000745</v>
      </c>
      <c r="D15" s="62">
        <v>8.617063</v>
      </c>
      <c r="E15" s="62">
        <v>8.90187</v>
      </c>
      <c r="F15" s="62">
        <v>7.314053</v>
      </c>
      <c r="G15" s="44">
        <f>F15</f>
        <v>7.314053</v>
      </c>
      <c r="H15" s="62">
        <v>9.04886</v>
      </c>
      <c r="I15" s="40">
        <f>H15</f>
        <v>9.04886</v>
      </c>
      <c r="J15" s="3"/>
      <c r="K15" s="3"/>
      <c r="L15" s="3"/>
    </row>
    <row r="16">
      <c r="A16" s="3"/>
      <c r="B16" s="46" t="s">
        <v>237</v>
      </c>
      <c r="C16" s="62">
        <v>0.294307</v>
      </c>
      <c r="D16" s="62">
        <v>0.278769</v>
      </c>
      <c r="E16" s="62">
        <v>0.271377</v>
      </c>
      <c r="F16" s="62">
        <v>0.24972</v>
      </c>
      <c r="G16" s="44">
        <f>F16</f>
        <v>0.24972</v>
      </c>
      <c r="H16" s="62">
        <v>0.232837</v>
      </c>
      <c r="I16" s="40">
        <f>H16</f>
        <v>0.232837</v>
      </c>
      <c r="J16" s="3"/>
      <c r="K16" s="3"/>
      <c r="L16" s="3"/>
    </row>
    <row r="17">
      <c r="A17" s="3"/>
      <c r="B17" s="46" t="s">
        <v>238</v>
      </c>
      <c r="C17" s="62">
        <v>1.369594</v>
      </c>
      <c r="D17" s="62">
        <v>1.215885</v>
      </c>
      <c r="E17" s="62">
        <v>2.28015</v>
      </c>
      <c r="F17" s="62">
        <v>0.781766</v>
      </c>
      <c r="G17" s="44">
        <f>F17</f>
        <v>0.781766</v>
      </c>
      <c r="H17" s="62">
        <v>0.999726</v>
      </c>
      <c r="I17" s="40">
        <f>H17</f>
        <v>0.999726</v>
      </c>
      <c r="J17" s="3"/>
      <c r="K17" s="3"/>
      <c r="L17" s="3"/>
    </row>
    <row r="18">
      <c r="A18" s="3"/>
      <c r="B18" s="30" t="s">
        <v>239</v>
      </c>
      <c r="C18" s="68">
        <f>C12+C13+C14+C15+C16+C17</f>
        <v>1202.269333</v>
      </c>
      <c r="D18" s="68">
        <f>D12+D13+D14+D15+D16+D17</f>
        <v>1206.2114339999998</v>
      </c>
      <c r="E18" s="68">
        <f>E12+E13+E14+E15+E16+E17</f>
        <v>1196.9619509999998</v>
      </c>
      <c r="F18" s="68">
        <f>F12+F13+F14+F15+F16+F17</f>
        <v>1139.2651039999998</v>
      </c>
      <c r="G18" s="68">
        <f>G12+G13+G14+G15+G16+G17</f>
        <v>1139.2651039999998</v>
      </c>
      <c r="H18" s="68">
        <f>H12+H13+H14+H15+H16+H17</f>
        <v>1197.424182</v>
      </c>
      <c r="I18" s="78">
        <f>I12+I13+I14+I15+I16+I17</f>
        <v>1272.4971833016864</v>
      </c>
      <c r="J18" s="3"/>
      <c r="K18" s="3"/>
      <c r="L18" s="3"/>
    </row>
    <row r="19">
      <c r="A19" s="3"/>
      <c r="B19" s="3" t="s">
        <v>240</v>
      </c>
      <c r="C19" s="62">
        <v>1202.269333</v>
      </c>
      <c r="D19" s="62">
        <v>1206.211434</v>
      </c>
      <c r="E19" s="62">
        <v>1196.961951</v>
      </c>
      <c r="F19" s="62">
        <v>1139.265104</v>
      </c>
      <c r="G19" s="44">
        <f>F19</f>
        <v>1139.265104</v>
      </c>
      <c r="H19" s="62">
        <v>1197.424182</v>
      </c>
      <c r="I19" s="40" t="s">
        <v>39</v>
      </c>
      <c r="J19" s="3"/>
      <c r="K19" s="3"/>
      <c r="L19" s="3"/>
    </row>
    <row r="20">
      <c r="A20" s="3"/>
      <c r="B20" s="6" t="s">
        <v>241</v>
      </c>
      <c r="C20" s="65">
        <f>ROUND(C18-C19,3)</f>
        <v>0</v>
      </c>
      <c r="D20" s="65">
        <f>ROUND(D18-D19,3)</f>
        <v>0</v>
      </c>
      <c r="E20" s="65">
        <f>ROUND(E18-E19,3)</f>
        <v>0</v>
      </c>
      <c r="F20" s="65">
        <f>ROUND(F18-F19,3)</f>
        <v>0</v>
      </c>
      <c r="G20" s="65">
        <f>ROUND(G18-G19,3)</f>
        <v>0</v>
      </c>
      <c r="H20" s="65">
        <f>ROUND(H18-H19,3)</f>
        <v>0</v>
      </c>
      <c r="I20" s="75" t="s">
        <v>39</v>
      </c>
      <c r="J20" s="3"/>
      <c r="K20" s="3"/>
      <c r="L20" s="3"/>
    </row>
    <row r="21">
      <c r="A21" s="3"/>
      <c r="B21" s="6" t="s">
        <v>242</v>
      </c>
      <c r="C21" s="65">
        <f>C13+C14</f>
        <v>224.286725</v>
      </c>
      <c r="D21" s="65">
        <f>D13+D14</f>
        <v>200.804707</v>
      </c>
      <c r="E21" s="65">
        <f>E13+E14</f>
        <v>169.55821</v>
      </c>
      <c r="F21" s="65">
        <f>F13+F14</f>
        <v>21.785753</v>
      </c>
      <c r="G21" s="65">
        <f>G13+G14</f>
        <v>21.785753</v>
      </c>
      <c r="H21" s="65">
        <f>H13+H14</f>
        <v>60.808817</v>
      </c>
      <c r="I21" s="75">
        <f>I13+I14</f>
        <v>114.3918183016863</v>
      </c>
      <c r="J21" s="3"/>
      <c r="K21" s="3"/>
      <c r="L21" s="3"/>
    </row>
    <row r="22">
      <c r="A22" s="3"/>
      <c r="B22" s="6" t="s">
        <v>243</v>
      </c>
      <c r="C22" s="65">
        <f>C12+C15+C16+C17</f>
        <v>977.982608</v>
      </c>
      <c r="D22" s="65">
        <f>D12+D15+D16+D17</f>
        <v>1005.4067269999999</v>
      </c>
      <c r="E22" s="65">
        <f>E12+E15+E16+E17</f>
        <v>1027.4037409999999</v>
      </c>
      <c r="F22" s="65">
        <f>F12+F15+F16+F17</f>
        <v>1117.479351</v>
      </c>
      <c r="G22" s="65">
        <f>G12+G15+G16+G17</f>
        <v>1117.479351</v>
      </c>
      <c r="H22" s="65">
        <f>H12+H15+H16+H17</f>
        <v>1136.615365</v>
      </c>
      <c r="I22" s="75">
        <f>I12+I15+I16+I17</f>
        <v>1158.1053650000001</v>
      </c>
      <c r="J22" s="3"/>
      <c r="K22" s="3"/>
      <c r="L22" s="3"/>
    </row>
    <row r="23">
      <c r="A23" s="3"/>
      <c r="B23" s="30" t="s">
        <v>244</v>
      </c>
      <c r="C23" s="39"/>
      <c r="D23" s="39"/>
      <c r="E23" s="39"/>
      <c r="F23" s="39"/>
      <c r="G23" s="39"/>
      <c r="H23" s="39"/>
      <c r="I23" s="66"/>
      <c r="J23" s="3"/>
      <c r="K23" s="3"/>
      <c r="L23" s="3"/>
    </row>
    <row r="24">
      <c r="A24" s="3"/>
      <c r="B24" s="46" t="s">
        <v>245</v>
      </c>
      <c r="C24" s="62">
        <v>70</v>
      </c>
      <c r="D24" s="62">
        <v>70</v>
      </c>
      <c r="E24" s="62">
        <v>70</v>
      </c>
      <c r="F24" s="62">
        <v>70</v>
      </c>
      <c r="G24" s="44">
        <f>F24</f>
        <v>70</v>
      </c>
      <c r="H24" s="62">
        <v>70</v>
      </c>
      <c r="I24" s="40">
        <f>H24</f>
        <v>70</v>
      </c>
      <c r="J24" s="3"/>
      <c r="K24" s="3"/>
      <c r="L24" s="3"/>
    </row>
    <row r="25">
      <c r="A25" s="3"/>
      <c r="B25" s="50" t="s">
        <v>246</v>
      </c>
      <c r="C25" s="62">
        <v>-1.037309</v>
      </c>
      <c r="D25" s="62">
        <v>-0.833266</v>
      </c>
      <c r="E25" s="62">
        <v>-1.859067</v>
      </c>
      <c r="F25" s="62">
        <v>-1.670816</v>
      </c>
      <c r="G25" s="44">
        <f>F25</f>
        <v>-1.670816</v>
      </c>
      <c r="H25" s="62">
        <v>-1.45376</v>
      </c>
      <c r="I25" s="40">
        <f>H25</f>
        <v>-1.45376</v>
      </c>
      <c r="J25" s="3"/>
      <c r="K25" s="3"/>
      <c r="L25" s="3"/>
    </row>
    <row r="26">
      <c r="A26" s="3"/>
      <c r="B26" s="46" t="s">
        <v>247</v>
      </c>
      <c r="C26" s="62">
        <v>170</v>
      </c>
      <c r="D26" s="62">
        <v>170</v>
      </c>
      <c r="E26" s="62">
        <v>170</v>
      </c>
      <c r="F26" s="62">
        <v>160</v>
      </c>
      <c r="G26" s="44">
        <f>F26</f>
        <v>160</v>
      </c>
      <c r="H26" s="62">
        <v>213</v>
      </c>
      <c r="I26" s="40">
        <f>H26</f>
        <v>213</v>
      </c>
      <c r="J26" s="3"/>
      <c r="K26" s="3"/>
      <c r="L26" s="3"/>
    </row>
    <row r="27">
      <c r="A27" s="3"/>
      <c r="B27" s="50" t="s">
        <v>248</v>
      </c>
      <c r="C27" s="62">
        <v>-3.831484</v>
      </c>
      <c r="D27" s="62">
        <v>-3.621941</v>
      </c>
      <c r="E27" s="62">
        <v>-3.439476</v>
      </c>
      <c r="F27" s="62">
        <v>-3.888087</v>
      </c>
      <c r="G27" s="44">
        <f>F27</f>
        <v>-3.888087</v>
      </c>
      <c r="H27" s="62">
        <v>-4.997638</v>
      </c>
      <c r="I27" s="40">
        <f>H27</f>
        <v>-4.997638</v>
      </c>
      <c r="J27" s="3"/>
      <c r="K27" s="3"/>
      <c r="L27" s="3"/>
    </row>
    <row r="28">
      <c r="A28" s="3"/>
      <c r="B28" s="46" t="s">
        <v>249</v>
      </c>
      <c r="C28" s="62">
        <v>12</v>
      </c>
      <c r="D28" s="62">
        <v>12</v>
      </c>
      <c r="E28" s="62">
        <v>0</v>
      </c>
      <c r="F28" s="62">
        <v>0</v>
      </c>
      <c r="G28" s="44">
        <f>F28</f>
        <v>0</v>
      </c>
      <c r="H28" s="62">
        <v>0</v>
      </c>
      <c r="I28" s="40">
        <f>H28</f>
        <v>0</v>
      </c>
      <c r="J28" s="3"/>
      <c r="K28" s="3"/>
      <c r="L28" s="3"/>
    </row>
    <row r="29">
      <c r="A29" s="3"/>
      <c r="B29" s="50" t="s">
        <v>250</v>
      </c>
      <c r="C29" s="62">
        <v>-0.035844</v>
      </c>
      <c r="D29" s="62">
        <v>-0.002622</v>
      </c>
      <c r="E29" s="62">
        <v>0</v>
      </c>
      <c r="F29" s="62">
        <v>0</v>
      </c>
      <c r="G29" s="44">
        <f>F29</f>
        <v>0</v>
      </c>
      <c r="H29" s="62">
        <v>0</v>
      </c>
      <c r="I29" s="40">
        <f>H29</f>
        <v>0</v>
      </c>
      <c r="J29" s="3"/>
      <c r="K29" s="3"/>
      <c r="L29" s="3"/>
    </row>
    <row r="30">
      <c r="A30" s="3"/>
      <c r="B30" s="50" t="s">
        <v>251</v>
      </c>
      <c r="C30" s="62">
        <v>-0.004346</v>
      </c>
      <c r="D30" s="62">
        <v>-0.000348</v>
      </c>
      <c r="E30" s="62">
        <v>0</v>
      </c>
      <c r="F30" s="62">
        <v>0</v>
      </c>
      <c r="G30" s="44">
        <f>F30</f>
        <v>0</v>
      </c>
      <c r="H30" s="62">
        <v>0</v>
      </c>
      <c r="I30" s="40">
        <f>H30</f>
        <v>0</v>
      </c>
      <c r="J30" s="3"/>
      <c r="K30" s="3"/>
      <c r="L30" s="3"/>
    </row>
    <row r="31">
      <c r="A31" s="3"/>
      <c r="B31" s="46" t="s">
        <v>252</v>
      </c>
      <c r="C31" s="62">
        <v>5</v>
      </c>
      <c r="D31" s="62">
        <v>0</v>
      </c>
      <c r="E31" s="62">
        <v>0</v>
      </c>
      <c r="F31" s="62">
        <v>0</v>
      </c>
      <c r="G31" s="44">
        <f>F31</f>
        <v>0</v>
      </c>
      <c r="H31" s="62">
        <v>0</v>
      </c>
      <c r="I31" s="40">
        <f>H31</f>
        <v>0</v>
      </c>
      <c r="J31" s="3"/>
      <c r="K31" s="3"/>
      <c r="L31" s="3"/>
    </row>
    <row r="32">
      <c r="A32" s="3"/>
      <c r="B32" s="50" t="s">
        <v>253</v>
      </c>
      <c r="C32" s="62">
        <v>-0.00586</v>
      </c>
      <c r="D32" s="62">
        <v>0</v>
      </c>
      <c r="E32" s="62">
        <v>0</v>
      </c>
      <c r="F32" s="62">
        <v>0</v>
      </c>
      <c r="G32" s="44">
        <f>F32</f>
        <v>0</v>
      </c>
      <c r="H32" s="62">
        <v>0</v>
      </c>
      <c r="I32" s="40">
        <f>H32</f>
        <v>0</v>
      </c>
      <c r="J32" s="3"/>
      <c r="K32" s="3"/>
      <c r="L32" s="3"/>
    </row>
    <row r="33">
      <c r="A33" s="3"/>
      <c r="B33" s="46" t="s">
        <v>254</v>
      </c>
      <c r="C33" s="62">
        <v>175</v>
      </c>
      <c r="D33" s="62">
        <v>175</v>
      </c>
      <c r="E33" s="62">
        <v>175</v>
      </c>
      <c r="F33" s="62">
        <v>0</v>
      </c>
      <c r="G33" s="44">
        <f>F33</f>
        <v>0</v>
      </c>
      <c r="H33" s="62">
        <v>0</v>
      </c>
      <c r="I33" s="40">
        <f>H33</f>
        <v>0</v>
      </c>
      <c r="J33" s="3"/>
      <c r="K33" s="3"/>
      <c r="L33" s="3"/>
    </row>
    <row r="34">
      <c r="A34" s="3"/>
      <c r="B34" s="50" t="s">
        <v>255</v>
      </c>
      <c r="C34" s="62">
        <v>0.226581</v>
      </c>
      <c r="D34" s="62">
        <v>0.164326</v>
      </c>
      <c r="E34" s="62">
        <v>0.08125</v>
      </c>
      <c r="F34" s="62">
        <v>0</v>
      </c>
      <c r="G34" s="44">
        <f>F34</f>
        <v>0</v>
      </c>
      <c r="H34" s="62">
        <v>0</v>
      </c>
      <c r="I34" s="40">
        <f>H34</f>
        <v>0</v>
      </c>
      <c r="J34" s="3"/>
      <c r="K34" s="3"/>
      <c r="L34" s="3"/>
    </row>
    <row r="35">
      <c r="A35" s="3"/>
      <c r="B35" s="50" t="s">
        <v>256</v>
      </c>
      <c r="C35" s="62">
        <v>-0.653235</v>
      </c>
      <c r="D35" s="62">
        <v>-0.440876</v>
      </c>
      <c r="E35" s="62">
        <v>-0.230825</v>
      </c>
      <c r="F35" s="62">
        <v>0</v>
      </c>
      <c r="G35" s="44">
        <f>F35</f>
        <v>0</v>
      </c>
      <c r="H35" s="62">
        <v>0</v>
      </c>
      <c r="I35" s="40">
        <f>H35</f>
        <v>0</v>
      </c>
      <c r="J35" s="3"/>
      <c r="K35" s="3"/>
      <c r="L35" s="3"/>
    </row>
    <row r="36">
      <c r="A36" s="3"/>
      <c r="B36" s="46" t="s">
        <v>257</v>
      </c>
      <c r="C36" s="62">
        <v>75</v>
      </c>
      <c r="D36" s="62">
        <v>75</v>
      </c>
      <c r="E36" s="62">
        <v>75</v>
      </c>
      <c r="F36" s="62">
        <v>75</v>
      </c>
      <c r="G36" s="44">
        <f>F36</f>
        <v>75</v>
      </c>
      <c r="H36" s="62">
        <v>75</v>
      </c>
      <c r="I36" s="40">
        <f>H36</f>
        <v>75</v>
      </c>
      <c r="J36" s="3"/>
      <c r="K36" s="3"/>
      <c r="L36" s="3"/>
    </row>
    <row r="37">
      <c r="A37" s="3"/>
      <c r="B37" s="50" t="s">
        <v>258</v>
      </c>
      <c r="C37" s="62">
        <v>-0.180419</v>
      </c>
      <c r="D37" s="62">
        <v>-0.147988</v>
      </c>
      <c r="E37" s="62">
        <v>-0.128414</v>
      </c>
      <c r="F37" s="62">
        <v>-0.108898</v>
      </c>
      <c r="G37" s="44">
        <f>F37</f>
        <v>-0.108898</v>
      </c>
      <c r="H37" s="62">
        <v>-0.074697</v>
      </c>
      <c r="I37" s="40">
        <f>H37</f>
        <v>-0.074697</v>
      </c>
      <c r="J37" s="3"/>
      <c r="K37" s="3"/>
      <c r="L37" s="3"/>
    </row>
    <row r="38">
      <c r="A38" s="3"/>
      <c r="B38" s="50" t="s">
        <v>259</v>
      </c>
      <c r="C38" s="62">
        <v>-0.60198</v>
      </c>
      <c r="D38" s="62">
        <v>-0.515174</v>
      </c>
      <c r="E38" s="62">
        <v>-0.429312</v>
      </c>
      <c r="F38" s="62">
        <v>-0.344393</v>
      </c>
      <c r="G38" s="44">
        <f>F38</f>
        <v>-0.344393</v>
      </c>
      <c r="H38" s="62">
        <v>-0.257587</v>
      </c>
      <c r="I38" s="40">
        <f>H38</f>
        <v>-0.257587</v>
      </c>
      <c r="J38" s="3"/>
      <c r="K38" s="3"/>
      <c r="L38" s="3"/>
    </row>
    <row r="39">
      <c r="A39" s="3"/>
      <c r="B39" s="46" t="s">
        <v>260</v>
      </c>
      <c r="C39" s="62">
        <v>15</v>
      </c>
      <c r="D39" s="62">
        <v>15</v>
      </c>
      <c r="E39" s="62">
        <v>15</v>
      </c>
      <c r="F39" s="62">
        <v>15</v>
      </c>
      <c r="G39" s="44">
        <f>F39</f>
        <v>15</v>
      </c>
      <c r="H39" s="62">
        <v>15</v>
      </c>
      <c r="I39" s="40">
        <f>H39</f>
        <v>15</v>
      </c>
      <c r="J39" s="3"/>
      <c r="K39" s="3"/>
      <c r="L39" s="3"/>
    </row>
    <row r="40">
      <c r="A40" s="3"/>
      <c r="B40" s="50" t="s">
        <v>261</v>
      </c>
      <c r="C40" s="62">
        <v>-0.184171</v>
      </c>
      <c r="D40" s="62">
        <v>-0.166199</v>
      </c>
      <c r="E40" s="62">
        <v>-0.148421</v>
      </c>
      <c r="F40" s="62">
        <v>-0.130839</v>
      </c>
      <c r="G40" s="44">
        <f>F40</f>
        <v>-0.130839</v>
      </c>
      <c r="H40" s="62">
        <v>-0.112867</v>
      </c>
      <c r="I40" s="40">
        <f>H40</f>
        <v>-0.112867</v>
      </c>
      <c r="J40" s="3"/>
      <c r="K40" s="3"/>
      <c r="L40" s="3"/>
    </row>
    <row r="41">
      <c r="A41" s="3"/>
      <c r="B41" s="46" t="s">
        <v>262</v>
      </c>
      <c r="C41" s="62">
        <v>105.5</v>
      </c>
      <c r="D41" s="62">
        <v>105.5</v>
      </c>
      <c r="E41" s="62">
        <v>105.5</v>
      </c>
      <c r="F41" s="62">
        <v>105.5</v>
      </c>
      <c r="G41" s="44">
        <f>F41</f>
        <v>105.5</v>
      </c>
      <c r="H41" s="62">
        <v>105.5</v>
      </c>
      <c r="I41" s="40">
        <f>H41</f>
        <v>105.5</v>
      </c>
      <c r="J41" s="3"/>
      <c r="K41" s="3"/>
      <c r="L41" s="3"/>
    </row>
    <row r="42">
      <c r="A42" s="3"/>
      <c r="B42" s="50" t="s">
        <v>263</v>
      </c>
      <c r="C42" s="62">
        <v>-0.077798</v>
      </c>
      <c r="D42" s="62">
        <v>-0.068143</v>
      </c>
      <c r="E42" s="62">
        <v>-0.058331</v>
      </c>
      <c r="F42" s="62">
        <v>-0.048361</v>
      </c>
      <c r="G42" s="44">
        <f>F42</f>
        <v>-0.048361</v>
      </c>
      <c r="H42" s="62">
        <v>-0.038226</v>
      </c>
      <c r="I42" s="40">
        <f>H42</f>
        <v>-0.038226</v>
      </c>
      <c r="J42" s="3"/>
      <c r="K42" s="3"/>
      <c r="L42" s="3"/>
    </row>
    <row r="43">
      <c r="A43" s="3"/>
      <c r="B43" s="50" t="s">
        <v>264</v>
      </c>
      <c r="C43" s="62">
        <v>-1.347571</v>
      </c>
      <c r="D43" s="62">
        <v>-1.171054</v>
      </c>
      <c r="E43" s="62">
        <v>-0.996455</v>
      </c>
      <c r="F43" s="62">
        <v>-0.823774</v>
      </c>
      <c r="G43" s="44">
        <f>F43</f>
        <v>-0.823774</v>
      </c>
      <c r="H43" s="62">
        <v>-0.647257</v>
      </c>
      <c r="I43" s="40">
        <f>H43</f>
        <v>-0.647257</v>
      </c>
      <c r="J43" s="3"/>
      <c r="K43" s="3"/>
      <c r="L43" s="3"/>
    </row>
    <row r="44">
      <c r="A44" s="3"/>
      <c r="B44" s="46" t="s">
        <v>265</v>
      </c>
      <c r="C44" s="62">
        <v>46</v>
      </c>
      <c r="D44" s="62">
        <v>46</v>
      </c>
      <c r="E44" s="62">
        <v>46</v>
      </c>
      <c r="F44" s="62">
        <v>46</v>
      </c>
      <c r="G44" s="44">
        <f>F44</f>
        <v>46</v>
      </c>
      <c r="H44" s="62">
        <v>46</v>
      </c>
      <c r="I44" s="40">
        <f>H44</f>
        <v>46</v>
      </c>
      <c r="J44" s="3"/>
      <c r="K44" s="3"/>
      <c r="L44" s="3"/>
    </row>
    <row r="45">
      <c r="A45" s="3"/>
      <c r="B45" s="50" t="s">
        <v>266</v>
      </c>
      <c r="C45" s="62">
        <v>-0.840029</v>
      </c>
      <c r="D45" s="62">
        <v>-0.752573</v>
      </c>
      <c r="E45" s="62">
        <v>-0.666068</v>
      </c>
      <c r="F45" s="62">
        <v>-0.580514</v>
      </c>
      <c r="G45" s="44">
        <f>F45</f>
        <v>-0.580514</v>
      </c>
      <c r="H45" s="62">
        <v>-0.493059</v>
      </c>
      <c r="I45" s="40">
        <f>H45</f>
        <v>-0.493059</v>
      </c>
      <c r="J45" s="3"/>
      <c r="K45" s="3"/>
      <c r="L45" s="3"/>
    </row>
    <row r="46">
      <c r="A46" s="3"/>
      <c r="B46" s="46" t="s">
        <v>267</v>
      </c>
      <c r="C46" s="62">
        <v>60.375</v>
      </c>
      <c r="D46" s="62">
        <v>60.375</v>
      </c>
      <c r="E46" s="62">
        <v>60.375</v>
      </c>
      <c r="F46" s="62">
        <v>60.375</v>
      </c>
      <c r="G46" s="44">
        <f>F46</f>
        <v>60.375</v>
      </c>
      <c r="H46" s="62">
        <v>60.375</v>
      </c>
      <c r="I46" s="40">
        <f>H46</f>
        <v>60.375</v>
      </c>
      <c r="J46" s="3"/>
      <c r="K46" s="3"/>
      <c r="L46" s="3"/>
    </row>
    <row r="47">
      <c r="A47" s="3"/>
      <c r="B47" s="50" t="s">
        <v>268</v>
      </c>
      <c r="C47" s="62">
        <v>-1.053557</v>
      </c>
      <c r="D47" s="62">
        <v>-0.95088</v>
      </c>
      <c r="E47" s="62">
        <v>-0.849319</v>
      </c>
      <c r="F47" s="62">
        <v>-0.748873</v>
      </c>
      <c r="G47" s="44">
        <f>F47</f>
        <v>-0.748873</v>
      </c>
      <c r="H47" s="62">
        <v>-0.646196</v>
      </c>
      <c r="I47" s="40">
        <f>H47</f>
        <v>-0.646196</v>
      </c>
      <c r="J47" s="3"/>
      <c r="K47" s="3"/>
      <c r="L47" s="3"/>
    </row>
    <row r="48">
      <c r="A48" s="3"/>
      <c r="B48" s="46" t="s">
        <v>269</v>
      </c>
      <c r="C48" s="62">
        <v>57.5</v>
      </c>
      <c r="D48" s="62">
        <v>57.5</v>
      </c>
      <c r="E48" s="62">
        <v>57.5</v>
      </c>
      <c r="F48" s="62">
        <v>57.5</v>
      </c>
      <c r="G48" s="44">
        <f>F48</f>
        <v>57.5</v>
      </c>
      <c r="H48" s="62">
        <v>57.5</v>
      </c>
      <c r="I48" s="40">
        <f>H48</f>
        <v>57.5</v>
      </c>
      <c r="J48" s="3"/>
      <c r="K48" s="3"/>
      <c r="L48" s="3"/>
    </row>
    <row r="49">
      <c r="A49" s="3"/>
      <c r="B49" s="50" t="s">
        <v>270</v>
      </c>
      <c r="C49" s="62">
        <v>-1.170572</v>
      </c>
      <c r="D49" s="62">
        <v>-1.06801</v>
      </c>
      <c r="E49" s="62">
        <v>-0.966562</v>
      </c>
      <c r="F49" s="62">
        <v>-0.86623</v>
      </c>
      <c r="G49" s="44">
        <f>F49</f>
        <v>-0.86623</v>
      </c>
      <c r="H49" s="62">
        <v>-0.763667</v>
      </c>
      <c r="I49" s="40">
        <f>H49</f>
        <v>-0.763667</v>
      </c>
      <c r="J49" s="3"/>
      <c r="K49" s="3"/>
      <c r="L49" s="3"/>
    </row>
    <row r="50">
      <c r="A50" s="3"/>
      <c r="B50" s="46" t="s">
        <v>271</v>
      </c>
      <c r="C50" s="62">
        <v>0</v>
      </c>
      <c r="D50" s="62">
        <v>0</v>
      </c>
      <c r="E50" s="62">
        <v>0</v>
      </c>
      <c r="F50" s="62">
        <v>0</v>
      </c>
      <c r="G50" s="44">
        <f>F50</f>
        <v>0</v>
      </c>
      <c r="H50" s="62">
        <v>25</v>
      </c>
      <c r="I50" s="40">
        <f>H50</f>
        <v>25</v>
      </c>
      <c r="J50" s="3"/>
      <c r="K50" s="3"/>
      <c r="L50" s="3"/>
    </row>
    <row r="51">
      <c r="A51" s="3"/>
      <c r="B51" s="50" t="s">
        <v>272</v>
      </c>
      <c r="C51" s="62">
        <v>0</v>
      </c>
      <c r="D51" s="62">
        <v>0</v>
      </c>
      <c r="E51" s="62">
        <v>0</v>
      </c>
      <c r="F51" s="62">
        <v>0</v>
      </c>
      <c r="G51" s="44">
        <f>F51</f>
        <v>0</v>
      </c>
      <c r="H51" s="62">
        <v>-0.480024</v>
      </c>
      <c r="I51" s="40">
        <f>H51</f>
        <v>-0.480024</v>
      </c>
      <c r="J51" s="3"/>
      <c r="K51" s="3"/>
      <c r="L51" s="3"/>
    </row>
    <row r="52">
      <c r="A52" s="3"/>
      <c r="B52" s="50" t="s">
        <v>273</v>
      </c>
      <c r="C52" s="62">
        <v>0</v>
      </c>
      <c r="D52" s="62">
        <v>0</v>
      </c>
      <c r="E52" s="62">
        <v>0</v>
      </c>
      <c r="F52" s="62">
        <v>0</v>
      </c>
      <c r="G52" s="44">
        <f>F52</f>
        <v>0</v>
      </c>
      <c r="H52" s="62">
        <v>-0.071445</v>
      </c>
      <c r="I52" s="40">
        <f>H52</f>
        <v>-0.071445</v>
      </c>
      <c r="J52" s="3"/>
      <c r="K52" s="3"/>
      <c r="L52" s="3"/>
    </row>
    <row r="53">
      <c r="A53" s="3"/>
      <c r="B53" s="46" t="s">
        <v>274</v>
      </c>
      <c r="C53" s="62">
        <v>0</v>
      </c>
      <c r="D53" s="62">
        <v>0</v>
      </c>
      <c r="E53" s="62">
        <v>0</v>
      </c>
      <c r="F53" s="62">
        <v>50</v>
      </c>
      <c r="G53" s="44">
        <f>F53</f>
        <v>50</v>
      </c>
      <c r="H53" s="62">
        <v>50</v>
      </c>
      <c r="I53" s="40">
        <f>H53</f>
        <v>50</v>
      </c>
      <c r="J53" s="3"/>
      <c r="K53" s="3"/>
      <c r="L53" s="3"/>
    </row>
    <row r="54">
      <c r="A54" s="3"/>
      <c r="B54" s="50" t="s">
        <v>275</v>
      </c>
      <c r="C54" s="62">
        <v>0</v>
      </c>
      <c r="D54" s="62">
        <v>0</v>
      </c>
      <c r="E54" s="62">
        <v>0</v>
      </c>
      <c r="F54" s="62">
        <v>-0.435318</v>
      </c>
      <c r="G54" s="44">
        <f>F54</f>
        <v>-0.435318</v>
      </c>
      <c r="H54" s="62">
        <v>-0.417283</v>
      </c>
      <c r="I54" s="40">
        <f>H54</f>
        <v>-0.417283</v>
      </c>
      <c r="J54" s="3"/>
      <c r="K54" s="3"/>
      <c r="L54" s="3"/>
    </row>
    <row r="55">
      <c r="A55" s="3"/>
      <c r="B55" s="50" t="s">
        <v>276</v>
      </c>
      <c r="C55" s="62">
        <v>0</v>
      </c>
      <c r="D55" s="62">
        <v>0</v>
      </c>
      <c r="E55" s="62">
        <v>0</v>
      </c>
      <c r="F55" s="62">
        <v>-0.775165</v>
      </c>
      <c r="G55" s="44">
        <f>F55</f>
        <v>-0.775165</v>
      </c>
      <c r="H55" s="62">
        <v>-0.830833</v>
      </c>
      <c r="I55" s="40">
        <f>H55</f>
        <v>-0.830833</v>
      </c>
      <c r="J55" s="3"/>
      <c r="K55" s="3"/>
      <c r="L55" s="3"/>
    </row>
    <row r="56">
      <c r="A56" s="3"/>
      <c r="B56" s="46" t="s">
        <v>277</v>
      </c>
      <c r="C56" s="62">
        <v>0</v>
      </c>
      <c r="D56" s="62">
        <v>0</v>
      </c>
      <c r="E56" s="62">
        <v>0</v>
      </c>
      <c r="F56" s="62">
        <v>100</v>
      </c>
      <c r="G56" s="44">
        <f>F56</f>
        <v>100</v>
      </c>
      <c r="H56" s="62">
        <v>100</v>
      </c>
      <c r="I56" s="40">
        <f>H56</f>
        <v>100</v>
      </c>
      <c r="J56" s="3"/>
      <c r="K56" s="3"/>
      <c r="L56" s="3"/>
    </row>
    <row r="57">
      <c r="A57" s="3"/>
      <c r="B57" s="50" t="s">
        <v>278</v>
      </c>
      <c r="C57" s="62">
        <v>0</v>
      </c>
      <c r="D57" s="62">
        <v>0</v>
      </c>
      <c r="E57" s="62">
        <v>0</v>
      </c>
      <c r="F57" s="62">
        <v>-3.298905</v>
      </c>
      <c r="G57" s="44">
        <f>F57</f>
        <v>-3.298905</v>
      </c>
      <c r="H57" s="62">
        <v>-3.351883</v>
      </c>
      <c r="I57" s="40">
        <f>H57</f>
        <v>-3.351883</v>
      </c>
      <c r="J57" s="3"/>
      <c r="K57" s="3"/>
      <c r="L57" s="3"/>
    </row>
    <row r="58">
      <c r="A58" s="3"/>
      <c r="B58" s="46" t="s">
        <v>279</v>
      </c>
      <c r="C58" s="62">
        <v>0</v>
      </c>
      <c r="D58" s="62">
        <v>0</v>
      </c>
      <c r="E58" s="62">
        <v>0</v>
      </c>
      <c r="F58" s="62">
        <v>0</v>
      </c>
      <c r="G58" s="44">
        <f>F58</f>
        <v>0</v>
      </c>
      <c r="H58" s="62">
        <v>0</v>
      </c>
      <c r="I58" s="27">
        <f>'Income Statement'!I113</f>
        <v>85</v>
      </c>
      <c r="J58" s="3"/>
      <c r="K58" s="3"/>
      <c r="L58" s="3"/>
    </row>
    <row r="59">
      <c r="A59" s="3"/>
      <c r="B59" s="50" t="s">
        <v>280</v>
      </c>
      <c r="C59" s="62">
        <v>0</v>
      </c>
      <c r="D59" s="62">
        <v>0</v>
      </c>
      <c r="E59" s="62">
        <v>0</v>
      </c>
      <c r="F59" s="62">
        <v>0</v>
      </c>
      <c r="G59" s="44">
        <f>F59</f>
        <v>0</v>
      </c>
      <c r="H59" s="62">
        <v>0</v>
      </c>
      <c r="I59" s="27">
        <f>'Cash Flow Statement'!I40</f>
        <v>-2.9</v>
      </c>
      <c r="J59" s="3"/>
      <c r="K59" s="3"/>
      <c r="L59" s="3"/>
    </row>
    <row r="60">
      <c r="A60" s="3"/>
      <c r="B60" s="50" t="s">
        <v>281</v>
      </c>
      <c r="C60" s="44"/>
      <c r="D60" s="44"/>
      <c r="E60" s="44"/>
      <c r="F60" s="44"/>
      <c r="G60" s="44"/>
      <c r="H60" s="44"/>
      <c r="I60" s="27">
        <f>'Income Statement'!I106</f>
        <v>1.33</v>
      </c>
      <c r="J60" s="3"/>
      <c r="K60" s="3"/>
      <c r="L60" s="3"/>
    </row>
    <row r="61">
      <c r="A61" s="3"/>
      <c r="B61" s="46" t="s">
        <v>282</v>
      </c>
      <c r="C61" s="62">
        <v>6.869845</v>
      </c>
      <c r="D61" s="62">
        <v>6.645499</v>
      </c>
      <c r="E61" s="62">
        <v>6.882202</v>
      </c>
      <c r="F61" s="62">
        <v>6.602819</v>
      </c>
      <c r="G61" s="44">
        <f>F61</f>
        <v>6.602819</v>
      </c>
      <c r="H61" s="62">
        <v>6.862113</v>
      </c>
      <c r="I61" s="40">
        <f>H61</f>
        <v>6.862113</v>
      </c>
      <c r="J61" s="3"/>
      <c r="K61" s="3"/>
      <c r="L61" s="3"/>
    </row>
    <row r="62">
      <c r="A62" s="3"/>
      <c r="B62" s="46" t="s">
        <v>283</v>
      </c>
      <c r="C62" s="62">
        <v>4.994417</v>
      </c>
      <c r="D62" s="62">
        <v>4.559105</v>
      </c>
      <c r="E62" s="62">
        <v>4.504561</v>
      </c>
      <c r="F62" s="62">
        <v>4.579522</v>
      </c>
      <c r="G62" s="44">
        <f>F62</f>
        <v>4.579522</v>
      </c>
      <c r="H62" s="62">
        <v>4.02799</v>
      </c>
      <c r="I62" s="40">
        <f>H62</f>
        <v>4.02799</v>
      </c>
      <c r="J62" s="3"/>
      <c r="K62" s="3"/>
      <c r="L62" s="3"/>
    </row>
    <row r="63">
      <c r="A63" s="3"/>
      <c r="B63" s="46" t="s">
        <v>284</v>
      </c>
      <c r="C63" s="62">
        <v>6.75</v>
      </c>
      <c r="D63" s="62">
        <v>2</v>
      </c>
      <c r="E63" s="62">
        <v>0</v>
      </c>
      <c r="F63" s="62">
        <v>0</v>
      </c>
      <c r="G63" s="44">
        <f>F63</f>
        <v>0</v>
      </c>
      <c r="H63" s="62">
        <v>0</v>
      </c>
      <c r="I63" s="40">
        <f>H63</f>
        <v>0</v>
      </c>
      <c r="J63" s="3"/>
      <c r="K63" s="3"/>
      <c r="L63" s="3"/>
    </row>
    <row r="64">
      <c r="A64" s="3"/>
      <c r="B64" s="46" t="s">
        <v>285</v>
      </c>
      <c r="C64" s="62">
        <v>1.556106</v>
      </c>
      <c r="D64" s="62">
        <v>1.91577</v>
      </c>
      <c r="E64" s="62">
        <v>2.146045</v>
      </c>
      <c r="F64" s="62">
        <v>1.771915</v>
      </c>
      <c r="G64" s="44">
        <f>F64</f>
        <v>1.771915</v>
      </c>
      <c r="H64" s="62">
        <v>1.334109</v>
      </c>
      <c r="I64" s="40">
        <f>H64</f>
        <v>1.334109</v>
      </c>
      <c r="J64" s="3"/>
      <c r="K64" s="3"/>
      <c r="L64" s="3"/>
    </row>
    <row r="65">
      <c r="A65" s="3"/>
      <c r="B65" s="46" t="s">
        <v>286</v>
      </c>
      <c r="C65" s="62">
        <v>4.598538</v>
      </c>
      <c r="D65" s="62">
        <v>3.160274</v>
      </c>
      <c r="E65" s="62">
        <v>4.593369</v>
      </c>
      <c r="F65" s="62">
        <v>3.904143</v>
      </c>
      <c r="G65" s="44">
        <f>F65</f>
        <v>3.904143</v>
      </c>
      <c r="H65" s="62">
        <v>3.405852</v>
      </c>
      <c r="I65" s="40">
        <f>H65</f>
        <v>3.405852</v>
      </c>
      <c r="J65" s="3"/>
      <c r="K65" s="3"/>
      <c r="L65" s="3"/>
    </row>
    <row r="66">
      <c r="A66" s="3"/>
      <c r="B66" s="46" t="s">
        <v>287</v>
      </c>
      <c r="C66" s="62">
        <v>0</v>
      </c>
      <c r="D66" s="62">
        <v>0</v>
      </c>
      <c r="E66" s="62">
        <v>0.0055</v>
      </c>
      <c r="F66" s="62">
        <v>0.0055</v>
      </c>
      <c r="G66" s="44">
        <f>F66</f>
        <v>0.0055</v>
      </c>
      <c r="H66" s="62">
        <v>0</v>
      </c>
      <c r="I66" s="40">
        <f>H66</f>
        <v>0</v>
      </c>
      <c r="J66" s="3"/>
      <c r="K66" s="3"/>
      <c r="L66" s="3"/>
    </row>
    <row r="67">
      <c r="A67" s="3"/>
      <c r="B67" s="46" t="s">
        <v>288</v>
      </c>
      <c r="C67" s="62">
        <v>0.553706</v>
      </c>
      <c r="D67" s="62">
        <v>0.630966</v>
      </c>
      <c r="E67" s="62">
        <v>0.939362</v>
      </c>
      <c r="F67" s="62">
        <v>0.590624</v>
      </c>
      <c r="G67" s="44">
        <f>F67</f>
        <v>0.590624</v>
      </c>
      <c r="H67" s="62">
        <v>0.600582</v>
      </c>
      <c r="I67" s="40">
        <f>H67</f>
        <v>0.600582</v>
      </c>
      <c r="J67" s="3"/>
      <c r="K67" s="3"/>
      <c r="L67" s="3"/>
    </row>
    <row r="68">
      <c r="A68" s="3"/>
      <c r="B68" s="30" t="s">
        <v>289</v>
      </c>
      <c r="C68" s="68">
        <f>SUM(C24:C67)</f>
        <v>805.900018</v>
      </c>
      <c r="D68" s="68">
        <f>SUM(D24:D67)</f>
        <v>795.711866</v>
      </c>
      <c r="E68" s="68">
        <f>SUM(E24:E67)</f>
        <v>783.755039</v>
      </c>
      <c r="F68" s="68">
        <f>SUM(F24:F67)</f>
        <v>743.10935</v>
      </c>
      <c r="G68" s="68">
        <f>SUM(G24:G67)</f>
        <v>743.10935</v>
      </c>
      <c r="H68" s="68">
        <f>SUM(H24:H67)</f>
        <v>818.969224</v>
      </c>
      <c r="I68" s="78">
        <f>SUM(I24:I67)</f>
        <v>902.399224</v>
      </c>
      <c r="J68" s="3"/>
      <c r="K68" s="3"/>
      <c r="L68" s="3"/>
    </row>
    <row r="69">
      <c r="A69" s="3"/>
      <c r="B69" s="3" t="s">
        <v>290</v>
      </c>
      <c r="C69" s="62">
        <v>805.900018</v>
      </c>
      <c r="D69" s="62">
        <v>795.711866</v>
      </c>
      <c r="E69" s="62">
        <v>783.755039</v>
      </c>
      <c r="F69" s="62">
        <v>743.10935</v>
      </c>
      <c r="G69" s="44">
        <f>F69</f>
        <v>743.10935</v>
      </c>
      <c r="H69" s="62">
        <v>818.969224</v>
      </c>
      <c r="I69" s="40" t="s">
        <v>39</v>
      </c>
      <c r="J69" s="3"/>
      <c r="K69" s="3"/>
      <c r="L69" s="3"/>
    </row>
    <row r="70">
      <c r="A70" s="3"/>
      <c r="B70" s="6" t="s">
        <v>291</v>
      </c>
      <c r="C70" s="65">
        <f>ROUND(C68-C69,3)</f>
        <v>0</v>
      </c>
      <c r="D70" s="65">
        <f>ROUND(D68-D69,3)</f>
        <v>0</v>
      </c>
      <c r="E70" s="65">
        <f>ROUND(E68-E69,3)</f>
        <v>0</v>
      </c>
      <c r="F70" s="65">
        <f>ROUND(F68-F69,3)</f>
        <v>0</v>
      </c>
      <c r="G70" s="65">
        <f>ROUND(G68-G69,3)</f>
        <v>0</v>
      </c>
      <c r="H70" s="65">
        <f>ROUND(H68-H69,3)</f>
        <v>0</v>
      </c>
      <c r="I70" s="75" t="s">
        <v>39</v>
      </c>
      <c r="J70" s="3"/>
      <c r="K70" s="3"/>
      <c r="L70" s="3"/>
    </row>
    <row r="71">
      <c r="A71" s="3"/>
      <c r="B71" s="6" t="s">
        <v>292</v>
      </c>
      <c r="C71" s="65">
        <f>C24+C26+C28+C31+C33+C36+C39+C41+C44+C46+C48+C50+C53+C56+C58</f>
        <v>791.375</v>
      </c>
      <c r="D71" s="65">
        <f>D24+D26+D28+D31+D33+D36+D39+D41+D44+D46+D48+D50+D53+D56+D58</f>
        <v>786.375</v>
      </c>
      <c r="E71" s="65">
        <f>E24+E26+E28+E31+E33+E36+E39+E41+E44+E46+E48+E50+E53+E56+E58</f>
        <v>774.375</v>
      </c>
      <c r="F71" s="65">
        <f>F24+F26+F28+F31+F33+F36+F39+F41+F44+F46+F48+F50+F53+F56+F58</f>
        <v>739.375</v>
      </c>
      <c r="G71" s="65">
        <f>G24+G26+G28+G31+G33+G36+G39+G41+G44+G46+G48+G50+G53+G56+G58</f>
        <v>739.375</v>
      </c>
      <c r="H71" s="65">
        <f>H24+H26+H28+H31+H33+H36+H39+H41+H44+H46+H48+H50+H53+H56+H58</f>
        <v>817.375</v>
      </c>
      <c r="I71" s="75">
        <f>I24+I26+I28+I31+I33+I36+I39+I41+I44+I46+I48+I50+I53+I56+I58</f>
        <v>902.375</v>
      </c>
      <c r="J71" s="3"/>
      <c r="K71" s="3"/>
      <c r="L71" s="3"/>
    </row>
    <row r="72">
      <c r="A72" s="3"/>
      <c r="B72" s="30" t="s">
        <v>293</v>
      </c>
      <c r="C72" s="39"/>
      <c r="D72" s="39"/>
      <c r="E72" s="39"/>
      <c r="F72" s="39"/>
      <c r="G72" s="39"/>
      <c r="H72" s="39"/>
      <c r="I72" s="66"/>
      <c r="J72" s="3"/>
      <c r="K72" s="3"/>
      <c r="L72" s="3"/>
    </row>
    <row r="73">
      <c r="A73" s="3"/>
      <c r="B73" s="46" t="s">
        <v>294</v>
      </c>
      <c r="C73" s="62">
        <v>0.015529</v>
      </c>
      <c r="D73" s="62">
        <v>0.016027</v>
      </c>
      <c r="E73" s="62">
        <v>0.016145</v>
      </c>
      <c r="F73" s="62">
        <v>0.016224</v>
      </c>
      <c r="G73" s="44">
        <f>F73</f>
        <v>0.016224</v>
      </c>
      <c r="H73" s="62">
        <v>0.016289</v>
      </c>
      <c r="I73" s="40">
        <f>H73</f>
        <v>0.016289</v>
      </c>
      <c r="J73" s="3"/>
      <c r="K73" s="3"/>
      <c r="L73" s="3"/>
    </row>
    <row r="74">
      <c r="A74" s="3"/>
      <c r="B74" s="46" t="s">
        <v>295</v>
      </c>
      <c r="C74" s="62">
        <v>421.664914</v>
      </c>
      <c r="D74" s="62">
        <v>434.306847</v>
      </c>
      <c r="E74" s="62">
        <v>437.092856</v>
      </c>
      <c r="F74" s="62">
        <v>439.202477</v>
      </c>
      <c r="G74" s="44">
        <f>F74</f>
        <v>439.202477</v>
      </c>
      <c r="H74" s="62">
        <v>440.588956</v>
      </c>
      <c r="I74" s="27">
        <f>H74+'Share Count'!I36</f>
        <v>441.87148026666665</v>
      </c>
      <c r="J74" s="3"/>
      <c r="K74" s="3"/>
      <c r="L74" s="3"/>
    </row>
    <row r="75">
      <c r="A75" s="3"/>
      <c r="B75" s="46" t="s">
        <v>296</v>
      </c>
      <c r="C75" s="62">
        <v>-25.311128</v>
      </c>
      <c r="D75" s="62">
        <v>-23.823306</v>
      </c>
      <c r="E75" s="62">
        <v>-23.902089</v>
      </c>
      <c r="F75" s="62">
        <v>-43.062947</v>
      </c>
      <c r="G75" s="44">
        <f>F75</f>
        <v>-43.062947</v>
      </c>
      <c r="H75" s="62">
        <v>-62.150287</v>
      </c>
      <c r="I75" s="27">
        <f>H75+'Income Statement'!I52-'Share Count'!I45</f>
        <v>-71.78980996498038</v>
      </c>
      <c r="J75" s="3"/>
      <c r="K75" s="3"/>
      <c r="L75" s="3"/>
    </row>
    <row r="76">
      <c r="A76" s="3"/>
      <c r="B76" s="30" t="s">
        <v>297</v>
      </c>
      <c r="C76" s="68">
        <f>C73+C74+C75</f>
        <v>396.36931500000003</v>
      </c>
      <c r="D76" s="68">
        <f>D73+D74+D75</f>
        <v>410.499568</v>
      </c>
      <c r="E76" s="68">
        <f>E73+E74+E75</f>
        <v>413.206912</v>
      </c>
      <c r="F76" s="68">
        <f>F73+F74+F75</f>
        <v>396.155754</v>
      </c>
      <c r="G76" s="68">
        <f>G73+G74+G75</f>
        <v>396.155754</v>
      </c>
      <c r="H76" s="68">
        <f>H73+H74+H75</f>
        <v>378.454958</v>
      </c>
      <c r="I76" s="78">
        <f>I73+I74+I75</f>
        <v>370.0979593016863</v>
      </c>
      <c r="J76" s="3"/>
      <c r="K76" s="3"/>
      <c r="L76" s="3"/>
    </row>
    <row r="77">
      <c r="A77" s="3"/>
      <c r="B77" s="30" t="s">
        <v>298</v>
      </c>
      <c r="C77" s="68">
        <f>C68+C76</f>
        <v>1202.2693330000002</v>
      </c>
      <c r="D77" s="68">
        <f>D68+D76</f>
        <v>1206.211434</v>
      </c>
      <c r="E77" s="68">
        <f>E68+E76</f>
        <v>1196.961951</v>
      </c>
      <c r="F77" s="68">
        <f>F68+F76</f>
        <v>1139.265104</v>
      </c>
      <c r="G77" s="68">
        <f>G68+G76</f>
        <v>1139.265104</v>
      </c>
      <c r="H77" s="68">
        <f>H68+H76</f>
        <v>1197.424182</v>
      </c>
      <c r="I77" s="78">
        <f>I68+I76</f>
        <v>1272.4971833016862</v>
      </c>
      <c r="J77" s="3"/>
      <c r="K77" s="3"/>
      <c r="L77" s="3"/>
    </row>
    <row r="78">
      <c r="A78" s="3"/>
      <c r="B78" s="30" t="s">
        <v>299</v>
      </c>
      <c r="C78" s="52">
        <f>ROUND(C18-C68-C76,6)</f>
        <v>0</v>
      </c>
      <c r="D78" s="52">
        <f>ROUND(D18-D68-D76,6)</f>
        <v>0</v>
      </c>
      <c r="E78" s="52">
        <f>ROUND(E18-E68-E76,6)</f>
        <v>0</v>
      </c>
      <c r="F78" s="52">
        <f>ROUND(F18-F68-F76,6)</f>
        <v>0</v>
      </c>
      <c r="G78" s="52">
        <f>ROUND(G18-G68-G76,6)</f>
        <v>0</v>
      </c>
      <c r="H78" s="52">
        <f>ROUND(H18-H68-H76,6)</f>
        <v>0</v>
      </c>
      <c r="I78" s="73">
        <f>ROUND(I18-I68-I76,6)</f>
        <v>0</v>
      </c>
      <c r="J78" s="3"/>
      <c r="K78" s="3"/>
      <c r="L78" s="3"/>
    </row>
    <row r="79">
      <c r="A79" s="3"/>
      <c r="B79" s="30" t="s">
        <v>300</v>
      </c>
      <c r="C79" s="92">
        <f>C76/'Share Count'!C10</f>
        <v>25.523815776162763</v>
      </c>
      <c r="D79" s="92">
        <f>D76/'Share Count'!D10</f>
        <v>25.61250245830368</v>
      </c>
      <c r="E79" s="92">
        <f>E76/'Share Count'!E10</f>
        <v>25.592860083102316</v>
      </c>
      <c r="F79" s="92">
        <f>F76/'Share Count'!F10</f>
        <v>24.41758624987195</v>
      </c>
      <c r="G79" s="92">
        <f>G76/'Share Count'!G10</f>
        <v>24.41758624987195</v>
      </c>
      <c r="H79" s="92">
        <f>H76/'Share Count'!H10</f>
        <v>23.23373915872804</v>
      </c>
      <c r="I79" s="108">
        <f>I76/'Share Count'!I10</f>
        <v>22.613436588717384</v>
      </c>
      <c r="J79" s="3"/>
      <c r="K79" s="3"/>
      <c r="L79" s="3"/>
    </row>
    <row r="80">
      <c r="A80" s="3"/>
      <c r="B80" s="3" t="s">
        <v>301</v>
      </c>
      <c r="C80" s="8">
        <v>25.52</v>
      </c>
      <c r="D80" s="8">
        <v>25.61</v>
      </c>
      <c r="E80" s="8">
        <v>25.59</v>
      </c>
      <c r="F80" s="8">
        <v>24.42</v>
      </c>
      <c r="G80" s="4">
        <f>F80</f>
        <v>24.42</v>
      </c>
      <c r="H80" s="8">
        <v>23.23</v>
      </c>
      <c r="I80" s="101" t="s">
        <v>39</v>
      </c>
      <c r="J80" s="3"/>
      <c r="K80" s="3"/>
      <c r="L80" s="3"/>
    </row>
    <row r="81">
      <c r="A81" s="3"/>
      <c r="B81" s="50" t="s">
        <v>302</v>
      </c>
      <c r="C81" s="4" t="s">
        <v>39</v>
      </c>
      <c r="D81" s="4" t="s">
        <v>39</v>
      </c>
      <c r="E81" s="4" t="s">
        <v>39</v>
      </c>
      <c r="F81" s="4" t="s">
        <v>39</v>
      </c>
      <c r="G81" s="4" t="s">
        <v>39</v>
      </c>
      <c r="H81" s="4">
        <f>IFERROR(H79-C79,"n/a")</f>
        <v>-2.2900766174347247</v>
      </c>
      <c r="I81" s="101">
        <f>IFERROR(I79-D79,"n/a")</f>
        <v>-2.999065869586296</v>
      </c>
      <c r="J81" s="3"/>
      <c r="K81" s="3"/>
      <c r="L81" s="3"/>
    </row>
    <row r="82">
      <c r="A82" s="3"/>
      <c r="B82" s="50" t="s">
        <v>303</v>
      </c>
      <c r="C82" s="4" t="s">
        <v>39</v>
      </c>
      <c r="D82" s="4">
        <f>IFERROR(D79-C79,"n/a")</f>
        <v>0.08868668214091713</v>
      </c>
      <c r="E82" s="4">
        <f>IFERROR(E79-D79,"n/a")</f>
        <v>-0.01964237520136436</v>
      </c>
      <c r="F82" s="4">
        <f>IFERROR(F79-E79,"n/a")</f>
        <v>-1.1752738332303672</v>
      </c>
      <c r="G82" s="4"/>
      <c r="H82" s="4">
        <f>IFERROR(H79-F79,"n/a")</f>
        <v>-1.1838470911439103</v>
      </c>
      <c r="I82" s="101">
        <f>IFERROR(I79-H79,"n/a")</f>
        <v>-0.6203025700106544</v>
      </c>
      <c r="J82" s="3"/>
      <c r="K82" s="3"/>
      <c r="L82" s="3"/>
    </row>
    <row r="83">
      <c r="A83" s="3"/>
      <c r="B83" s="6" t="s">
        <v>304</v>
      </c>
      <c r="C83" s="54">
        <f>C71/C76</f>
        <v>1.996559698371202</v>
      </c>
      <c r="D83" s="54">
        <f>D71/D76</f>
        <v>1.9156536603224879</v>
      </c>
      <c r="E83" s="54">
        <f>E71/E76</f>
        <v>1.874061099926615</v>
      </c>
      <c r="F83" s="54">
        <f>F71/F76</f>
        <v>1.8663745068309674</v>
      </c>
      <c r="G83" s="54">
        <f>G71/G76</f>
        <v>1.8663745068309674</v>
      </c>
      <c r="H83" s="54">
        <f>H71/H76</f>
        <v>2.1597682438077612</v>
      </c>
      <c r="I83" s="105">
        <f>I71/I76</f>
        <v>2.4382058244866647</v>
      </c>
      <c r="J83" s="3"/>
      <c r="K83" s="3"/>
      <c r="L83" s="3"/>
    </row>
    <row r="84">
      <c r="A84" s="3"/>
      <c r="B84" s="49" t="s">
        <v>305</v>
      </c>
      <c r="C84" s="54" t="s">
        <v>39</v>
      </c>
      <c r="D84" s="54" t="s">
        <v>39</v>
      </c>
      <c r="E84" s="54" t="s">
        <v>39</v>
      </c>
      <c r="F84" s="54" t="s">
        <v>39</v>
      </c>
      <c r="G84" s="54" t="s">
        <v>39</v>
      </c>
      <c r="H84" s="54">
        <f>IFERROR(H83-C83,"n/a")</f>
        <v>0.16320854543655927</v>
      </c>
      <c r="I84" s="105">
        <f>IFERROR(I83-D83,"n/a")</f>
        <v>0.5225521641641768</v>
      </c>
      <c r="J84" s="3"/>
      <c r="K84" s="3"/>
      <c r="L84" s="3"/>
    </row>
    <row r="85">
      <c r="A85" s="3"/>
      <c r="B85" s="49" t="s">
        <v>306</v>
      </c>
      <c r="C85" s="54" t="s">
        <v>39</v>
      </c>
      <c r="D85" s="54">
        <f>IFERROR(D83-C83,"n/a")</f>
        <v>-0.0809060380487141</v>
      </c>
      <c r="E85" s="54">
        <f>IFERROR(E83-D83,"n/a")</f>
        <v>-0.04159256039587289</v>
      </c>
      <c r="F85" s="54">
        <f>IFERROR(F83-E83,"n/a")</f>
        <v>-0.007686593095647565</v>
      </c>
      <c r="G85" s="54"/>
      <c r="H85" s="54">
        <f>IFERROR(H83-F83,"n/a")</f>
        <v>0.29339373697679383</v>
      </c>
      <c r="I85" s="105">
        <f>IFERROR(I83-H83,"n/a")</f>
        <v>0.27843758067890345</v>
      </c>
      <c r="J85" s="3"/>
      <c r="K85" s="3"/>
      <c r="L85" s="3"/>
    </row>
    <row r="86">
      <c r="A86" s="3"/>
      <c r="B86" s="3"/>
      <c r="C86" s="11"/>
      <c r="D86" s="11"/>
      <c r="E86" s="11"/>
      <c r="F86" s="11"/>
      <c r="G86" s="11"/>
      <c r="H86" s="11"/>
      <c r="I86" s="74"/>
      <c r="J86" s="3"/>
      <c r="K86" s="3"/>
      <c r="L86" s="3"/>
    </row>
    <row r="87">
      <c r="A87" s="3"/>
      <c r="B87" s="30" t="s">
        <v>307</v>
      </c>
      <c r="C87" s="85"/>
      <c r="D87" s="85"/>
      <c r="E87" s="85"/>
      <c r="F87" s="85"/>
      <c r="G87" s="85"/>
      <c r="H87" s="85"/>
      <c r="I87" s="98"/>
      <c r="J87" s="3"/>
      <c r="K87" s="3"/>
      <c r="L87" s="3"/>
    </row>
    <row r="88">
      <c r="A88" s="3"/>
      <c r="B88" s="46" t="s">
        <v>308</v>
      </c>
      <c r="C88" s="62">
        <v>978.07775</v>
      </c>
      <c r="D88" s="44"/>
      <c r="E88" s="44"/>
      <c r="F88" s="44"/>
      <c r="G88" s="44"/>
      <c r="H88" s="44"/>
      <c r="I88" s="40"/>
      <c r="J88" s="3"/>
      <c r="K88" s="3"/>
      <c r="L88" s="3"/>
    </row>
    <row r="89">
      <c r="A89" s="3"/>
      <c r="B89" s="46" t="s">
        <v>309</v>
      </c>
      <c r="C89" s="62">
        <v>204.723924</v>
      </c>
      <c r="D89" s="44"/>
      <c r="E89" s="44"/>
      <c r="F89" s="44"/>
      <c r="G89" s="44"/>
      <c r="H89" s="44"/>
      <c r="I89" s="40"/>
      <c r="J89" s="3"/>
      <c r="K89" s="3"/>
      <c r="L89" s="3"/>
    </row>
    <row r="90">
      <c r="A90" s="3"/>
      <c r="B90" s="46" t="s">
        <v>239</v>
      </c>
      <c r="C90" s="62">
        <v>1191.543857</v>
      </c>
      <c r="D90" s="44"/>
      <c r="E90" s="44"/>
      <c r="F90" s="44"/>
      <c r="G90" s="44"/>
      <c r="H90" s="44"/>
      <c r="I90" s="40"/>
      <c r="J90" s="3"/>
      <c r="K90" s="3"/>
      <c r="L90" s="3"/>
    </row>
    <row r="91">
      <c r="A91" s="3"/>
      <c r="B91" s="46" t="s">
        <v>310</v>
      </c>
      <c r="C91" s="44">
        <f>C90-C89</f>
        <v>986.8199329999999</v>
      </c>
      <c r="D91" s="44"/>
      <c r="E91" s="44"/>
      <c r="F91" s="44"/>
      <c r="G91" s="44"/>
      <c r="H91" s="44"/>
      <c r="I91" s="40"/>
      <c r="J91" s="3"/>
      <c r="K91" s="3"/>
      <c r="L91" s="3"/>
    </row>
    <row r="92">
      <c r="A92" s="3"/>
      <c r="B92" s="46" t="s">
        <v>311</v>
      </c>
      <c r="C92" s="62">
        <v>392.665468</v>
      </c>
      <c r="D92" s="44"/>
      <c r="E92" s="44"/>
      <c r="F92" s="44"/>
      <c r="G92" s="44"/>
      <c r="H92" s="44"/>
      <c r="I92" s="40"/>
      <c r="J92" s="3"/>
      <c r="K92" s="3"/>
      <c r="L92" s="3"/>
    </row>
    <row r="93">
      <c r="A93" s="3"/>
      <c r="B93" s="46" t="s">
        <v>312</v>
      </c>
      <c r="C93" s="62">
        <v>412.92878</v>
      </c>
      <c r="D93" s="44"/>
      <c r="E93" s="44"/>
      <c r="F93" s="44"/>
      <c r="G93" s="44"/>
      <c r="H93" s="44"/>
      <c r="I93" s="40"/>
      <c r="J93" s="3"/>
      <c r="K93" s="3"/>
      <c r="L93" s="3"/>
    </row>
    <row r="94">
      <c r="A94" s="3"/>
      <c r="B94" s="46" t="s">
        <v>313</v>
      </c>
      <c r="C94" s="100">
        <v>15.183078</v>
      </c>
      <c r="D94" s="43"/>
      <c r="E94" s="43"/>
      <c r="F94" s="43"/>
      <c r="G94" s="43"/>
      <c r="H94" s="43"/>
      <c r="I94" s="51"/>
      <c r="J94" s="3"/>
      <c r="K94" s="3"/>
      <c r="L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94"/>
  <sheetViews>
    <sheetView showGridLines="0" workbookViewId="0"/>
  </sheetViews>
  <sheetFormatPr defaultColWidth="8.42578125" defaultRowHeight="15"/>
  <cols>
    <col min="1" max="1" width="2" customWidth="1"/>
    <col min="2" max="2" width="54" customWidth="1"/>
    <col min="3" max="9" width="12" customWidth="1"/>
  </cols>
  <sheetData>
    <row r="1">
      <c r="A1" s="3"/>
      <c r="B1" s="17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23" t="s">
        <v>314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22" t="s">
        <v>63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72" t="s">
        <v>4</v>
      </c>
      <c r="J4" s="3"/>
      <c r="K4" s="3"/>
      <c r="L4" s="3"/>
    </row>
    <row r="5">
      <c r="A5" s="3"/>
      <c r="B5" s="14" t="s">
        <v>5</v>
      </c>
      <c r="C5" s="9">
        <v>45808</v>
      </c>
      <c r="D5" s="9">
        <v>45900</v>
      </c>
      <c r="E5" s="9">
        <v>45991</v>
      </c>
      <c r="F5" s="9">
        <v>46081</v>
      </c>
      <c r="G5" s="9">
        <v>46081</v>
      </c>
      <c r="H5" s="9">
        <v>46173</v>
      </c>
      <c r="I5" s="58">
        <v>46265</v>
      </c>
      <c r="J5" s="3"/>
      <c r="K5" s="3"/>
      <c r="L5" s="3"/>
    </row>
    <row r="6">
      <c r="A6" s="3"/>
      <c r="B6" s="21" t="s">
        <v>6</v>
      </c>
      <c r="C6" s="1">
        <f>C5-EOMONTH(C5,-3)</f>
        <v>92</v>
      </c>
      <c r="D6" s="1">
        <f>D5-EOMONTH(D5,-3)</f>
        <v>92</v>
      </c>
      <c r="E6" s="1">
        <f>E5-EOMONTH(E5,-3)</f>
        <v>91</v>
      </c>
      <c r="F6" s="1">
        <f>F5-EOMONTH(F5,-3)</f>
        <v>90</v>
      </c>
      <c r="G6" s="1">
        <f>G5-EOMONTH(G5,-12)</f>
        <v>365</v>
      </c>
      <c r="H6" s="1">
        <f>H5-EOMONTH(H5,-3)</f>
        <v>92</v>
      </c>
      <c r="I6" s="37">
        <f>I5-EOMONTH(I5,-3)</f>
        <v>92</v>
      </c>
      <c r="J6" s="3"/>
      <c r="K6" s="3"/>
      <c r="L6" s="3"/>
    </row>
    <row r="7">
      <c r="A7" s="3"/>
      <c r="B7" s="3"/>
      <c r="C7" s="3"/>
      <c r="D7" s="3"/>
      <c r="E7" s="3"/>
      <c r="F7" s="3"/>
      <c r="G7" s="3"/>
      <c r="H7" s="3"/>
      <c r="I7" s="67"/>
      <c r="J7" s="3"/>
      <c r="K7" s="3"/>
      <c r="L7" s="3"/>
    </row>
    <row r="8">
      <c r="A8" s="3"/>
      <c r="B8" s="30" t="s">
        <v>315</v>
      </c>
      <c r="C8" s="39"/>
      <c r="D8" s="39"/>
      <c r="E8" s="39"/>
      <c r="F8" s="39"/>
      <c r="G8" s="39"/>
      <c r="H8" s="39"/>
      <c r="I8" s="66"/>
      <c r="J8" s="3"/>
      <c r="K8" s="3"/>
      <c r="L8" s="3"/>
    </row>
    <row r="9">
      <c r="A9" s="3"/>
      <c r="B9" s="46" t="s">
        <v>316</v>
      </c>
      <c r="C9" s="44">
        <f>C57</f>
        <v>13.932263</v>
      </c>
      <c r="D9" s="44">
        <f>D57-C57</f>
        <v>13.285134999999999</v>
      </c>
      <c r="E9" s="44">
        <f>E57-D57</f>
        <v>11.999984000000001</v>
      </c>
      <c r="F9" s="44">
        <f>F57-E57</f>
        <v>-2.6130840000000006</v>
      </c>
      <c r="G9" s="44">
        <f>SUM(C9:F9)</f>
        <v>36.604298</v>
      </c>
      <c r="H9" s="44">
        <f>H57</f>
        <v>-6.903113</v>
      </c>
      <c r="I9" s="27">
        <f>'Income Statement'!I52</f>
        <v>2.59499434726861</v>
      </c>
      <c r="J9" s="3"/>
      <c r="K9" s="3"/>
      <c r="L9" s="3"/>
    </row>
    <row r="10">
      <c r="A10" s="3"/>
      <c r="B10" s="46" t="s">
        <v>317</v>
      </c>
      <c r="C10" s="44">
        <f>C58</f>
        <v>-0.517108</v>
      </c>
      <c r="D10" s="44">
        <f>D58-C58</f>
        <v>-0.544739</v>
      </c>
      <c r="E10" s="44">
        <f>E58-D58</f>
        <v>-0.80189</v>
      </c>
      <c r="F10" s="44">
        <f>F58-E58</f>
        <v>-0.7210380000000001</v>
      </c>
      <c r="G10" s="44">
        <f>SUM(C10:F10)</f>
        <v>-2.584775</v>
      </c>
      <c r="H10" s="44">
        <f>H58</f>
        <v>-0.677848</v>
      </c>
      <c r="I10" s="27">
        <f>-'Revenue summary'!I19</f>
        <v>-0.68</v>
      </c>
      <c r="J10" s="3"/>
      <c r="K10" s="3"/>
      <c r="L10" s="3"/>
    </row>
    <row r="11">
      <c r="A11" s="3"/>
      <c r="B11" s="46" t="s">
        <v>318</v>
      </c>
      <c r="C11" s="44">
        <f>C59</f>
        <v>-0.858544</v>
      </c>
      <c r="D11" s="44">
        <f>D59-C59</f>
        <v>-0.3057019999999999</v>
      </c>
      <c r="E11" s="44">
        <f>E59-D59</f>
        <v>-1.2639530000000003</v>
      </c>
      <c r="F11" s="44">
        <f>F59-E59</f>
        <v>-0.6697219999999997</v>
      </c>
      <c r="G11" s="44">
        <f>SUM(C11:F11)</f>
        <v>-3.097921</v>
      </c>
      <c r="H11" s="44">
        <f>H59</f>
        <v>-0.813693</v>
      </c>
      <c r="I11" s="27">
        <f>-'Revenue summary'!I22</f>
        <v>-0.81</v>
      </c>
      <c r="J11" s="3"/>
      <c r="K11" s="3"/>
      <c r="L11" s="3"/>
    </row>
    <row r="12">
      <c r="A12" s="3"/>
      <c r="B12" s="46" t="s">
        <v>209</v>
      </c>
      <c r="C12" s="44">
        <f>C60</f>
        <v>1.254331</v>
      </c>
      <c r="D12" s="44">
        <f>D60-C60</f>
        <v>1.2478469999999997</v>
      </c>
      <c r="E12" s="44">
        <f>E60-D60</f>
        <v>1.1119790000000003</v>
      </c>
      <c r="F12" s="44">
        <f>F60-E60</f>
        <v>1.1880099999999998</v>
      </c>
      <c r="G12" s="44">
        <f>SUM(C12:F12)</f>
        <v>4.802167</v>
      </c>
      <c r="H12" s="44">
        <f>H60</f>
        <v>1.29711</v>
      </c>
      <c r="I12" s="27">
        <f>'Income Statement'!I106</f>
        <v>1.33</v>
      </c>
      <c r="J12" s="3"/>
      <c r="K12" s="3"/>
      <c r="L12" s="3"/>
    </row>
    <row r="13">
      <c r="A13" s="3"/>
      <c r="B13" s="46" t="s">
        <v>171</v>
      </c>
      <c r="C13" s="44">
        <f>C61</f>
        <v>0</v>
      </c>
      <c r="D13" s="44">
        <f>D61-C61</f>
        <v>0</v>
      </c>
      <c r="E13" s="44">
        <f>E61-D61</f>
        <v>0.123157</v>
      </c>
      <c r="F13" s="44">
        <f>F61-E61</f>
        <v>0.7008530000000001</v>
      </c>
      <c r="G13" s="44">
        <f>SUM(C13:F13)</f>
        <v>0.82401</v>
      </c>
      <c r="H13" s="44">
        <f>H61</f>
        <v>0</v>
      </c>
      <c r="I13" s="27">
        <f>-'Income Statement'!I51</f>
        <v>0</v>
      </c>
      <c r="J13" s="3"/>
      <c r="K13" s="3"/>
      <c r="L13" s="3"/>
    </row>
    <row r="14">
      <c r="A14" s="3"/>
      <c r="B14" s="46" t="s">
        <v>154</v>
      </c>
      <c r="C14" s="44">
        <f>C62</f>
        <v>0.050004</v>
      </c>
      <c r="D14" s="44">
        <f>D62-C62</f>
        <v>-0.011314999999999999</v>
      </c>
      <c r="E14" s="44">
        <f>E62-D62</f>
        <v>-0.204678</v>
      </c>
      <c r="F14" s="44">
        <f>F62-E62</f>
        <v>-0.030320000000000014</v>
      </c>
      <c r="G14" s="44">
        <f>SUM(C14:F14)</f>
        <v>-0.196309</v>
      </c>
      <c r="H14" s="44">
        <f>H62</f>
        <v>-0.020709</v>
      </c>
      <c r="I14" s="27">
        <f>'Income Statement'!I27</f>
        <v>0</v>
      </c>
      <c r="J14" s="3"/>
      <c r="K14" s="3"/>
      <c r="L14" s="3"/>
    </row>
    <row r="15">
      <c r="A15" s="3"/>
      <c r="B15" s="46" t="s">
        <v>319</v>
      </c>
      <c r="C15" s="44">
        <f>C63</f>
        <v>-2.901339</v>
      </c>
      <c r="D15" s="44">
        <f>D63-C63</f>
        <v>-0.05269099999999982</v>
      </c>
      <c r="E15" s="44">
        <f>E63-D63</f>
        <v>-3.070547</v>
      </c>
      <c r="F15" s="44">
        <f>F63-E63</f>
        <v>0.2780870000000002</v>
      </c>
      <c r="G15" s="44">
        <f>SUM(C15:F15)</f>
        <v>-5.74649</v>
      </c>
      <c r="H15" s="44">
        <f>H63</f>
        <v>-0.150207</v>
      </c>
      <c r="I15" s="27">
        <f>-'Income Statement'!I44</f>
        <v>0</v>
      </c>
      <c r="J15" s="3"/>
      <c r="K15" s="3"/>
      <c r="L15" s="3"/>
    </row>
    <row r="16">
      <c r="A16" s="3"/>
      <c r="B16" s="46" t="s">
        <v>320</v>
      </c>
      <c r="C16" s="44">
        <f>C64</f>
        <v>-0.943977</v>
      </c>
      <c r="D16" s="44">
        <f>D64-C64</f>
        <v>-3.727713</v>
      </c>
      <c r="E16" s="44">
        <f>E64-D64</f>
        <v>0.5836579999999998</v>
      </c>
      <c r="F16" s="44">
        <f>F64-E64</f>
        <v>9.326512000000001</v>
      </c>
      <c r="G16" s="44">
        <f>SUM(C16:F16)</f>
        <v>5.238480000000001</v>
      </c>
      <c r="H16" s="44">
        <f>H64</f>
        <v>15.177131</v>
      </c>
      <c r="I16" s="27">
        <f>-'Income Statement'!I48</f>
        <v>5</v>
      </c>
      <c r="J16" s="3"/>
      <c r="K16" s="3"/>
      <c r="L16" s="3"/>
    </row>
    <row r="17">
      <c r="A17" s="3"/>
      <c r="B17" s="46" t="s">
        <v>169</v>
      </c>
      <c r="C17" s="44">
        <f>C65</f>
        <v>0.055085</v>
      </c>
      <c r="D17" s="44">
        <f>D65-C65</f>
        <v>-0.423998</v>
      </c>
      <c r="E17" s="44">
        <f>E65-D65</f>
        <v>0.150134</v>
      </c>
      <c r="F17" s="44">
        <f>F65-E65</f>
        <v>0.105281</v>
      </c>
      <c r="G17" s="44">
        <f>SUM(C17:F17)</f>
        <v>-0.113498</v>
      </c>
      <c r="H17" s="44">
        <f>H65</f>
        <v>-0.530824</v>
      </c>
      <c r="I17" s="27">
        <f>-'Income Statement'!I49</f>
        <v>0</v>
      </c>
      <c r="J17" s="3"/>
      <c r="K17" s="3"/>
      <c r="L17" s="3"/>
    </row>
    <row r="18">
      <c r="A18" s="3"/>
      <c r="B18" s="46" t="s">
        <v>321</v>
      </c>
      <c r="C18" s="44">
        <f>C66</f>
        <v>65.066218</v>
      </c>
      <c r="D18" s="44">
        <f>D66-C66</f>
        <v>29.876296999999994</v>
      </c>
      <c r="E18" s="44">
        <f>E66-D66</f>
        <v>55.95173799999999</v>
      </c>
      <c r="F18" s="44">
        <f>F66-E66</f>
        <v>33.74208200000001</v>
      </c>
      <c r="G18" s="44">
        <f>SUM(C18:F18)</f>
        <v>184.636335</v>
      </c>
      <c r="H18" s="44">
        <f>H66</f>
        <v>48.415037</v>
      </c>
      <c r="I18" s="27">
        <f>'Revenue summary'!I13</f>
        <v>45</v>
      </c>
      <c r="J18" s="3"/>
      <c r="K18" s="3"/>
      <c r="L18" s="3"/>
    </row>
    <row r="19">
      <c r="A19" s="3"/>
      <c r="B19" s="46" t="s">
        <v>322</v>
      </c>
      <c r="C19" s="44">
        <f>C67</f>
        <v>-50.085463</v>
      </c>
      <c r="D19" s="44">
        <f>D67-C67</f>
        <v>-52.222500000000004</v>
      </c>
      <c r="E19" s="44">
        <f>E67-D67</f>
        <v>-72.05434</v>
      </c>
      <c r="F19" s="44">
        <f>F67-E67</f>
        <v>-135.139387</v>
      </c>
      <c r="G19" s="44">
        <f>SUM(C19:F19)</f>
        <v>-309.50169</v>
      </c>
      <c r="H19" s="44">
        <f>H67</f>
        <v>-79.15055</v>
      </c>
      <c r="I19" s="27">
        <f>-'Revenue summary'!I10</f>
        <v>-70</v>
      </c>
      <c r="J19" s="3"/>
      <c r="K19" s="3"/>
      <c r="L19" s="3"/>
    </row>
    <row r="20">
      <c r="A20" s="3"/>
      <c r="B20" s="46" t="s">
        <v>323</v>
      </c>
      <c r="C20" s="44">
        <f>C68</f>
        <v>-0.523277</v>
      </c>
      <c r="D20" s="44">
        <f>D68-C68</f>
        <v>-0.6163179999999999</v>
      </c>
      <c r="E20" s="44">
        <f>E68-D68</f>
        <v>-0.28480700000000003</v>
      </c>
      <c r="F20" s="44">
        <f>F68-E68</f>
        <v>1.587817</v>
      </c>
      <c r="G20" s="44">
        <f>SUM(C20:F20)</f>
        <v>0.1634150000000001</v>
      </c>
      <c r="H20" s="44">
        <f>H68</f>
        <v>-1.734807</v>
      </c>
      <c r="I20" s="27">
        <f>-('Balance Sheet'!I15-'Balance Sheet'!H15)</f>
        <v>0</v>
      </c>
      <c r="J20" s="3"/>
      <c r="K20" s="3"/>
      <c r="L20" s="3"/>
    </row>
    <row r="21">
      <c r="A21" s="3"/>
      <c r="B21" s="46" t="s">
        <v>324</v>
      </c>
      <c r="C21" s="44">
        <f>C69</f>
        <v>0.019886</v>
      </c>
      <c r="D21" s="44">
        <f>D69-C69</f>
        <v>0.015537999999999996</v>
      </c>
      <c r="E21" s="44">
        <f>E69-D69</f>
        <v>0.007392000000000003</v>
      </c>
      <c r="F21" s="44">
        <f>F69-E69</f>
        <v>0.021657000000000003</v>
      </c>
      <c r="G21" s="44">
        <f>SUM(C21:F21)</f>
        <v>0.064473</v>
      </c>
      <c r="H21" s="44">
        <f>H69</f>
        <v>0.016883</v>
      </c>
      <c r="I21" s="27">
        <f>-('Balance Sheet'!I16-'Balance Sheet'!H16)</f>
        <v>0</v>
      </c>
      <c r="J21" s="3"/>
      <c r="K21" s="3"/>
      <c r="L21" s="3"/>
    </row>
    <row r="22">
      <c r="A22" s="3"/>
      <c r="B22" s="46" t="s">
        <v>325</v>
      </c>
      <c r="C22" s="44">
        <f>C70</f>
        <v>-0.419072</v>
      </c>
      <c r="D22" s="44">
        <f>D70-C70</f>
        <v>0.15370899999999998</v>
      </c>
      <c r="E22" s="44">
        <f>E70-D70</f>
        <v>-1.064265</v>
      </c>
      <c r="F22" s="44">
        <f>F70-E70</f>
        <v>1.498384</v>
      </c>
      <c r="G22" s="44">
        <f>SUM(C22:F22)</f>
        <v>0.1687559999999999</v>
      </c>
      <c r="H22" s="44">
        <f>H70</f>
        <v>-0.21796</v>
      </c>
      <c r="I22" s="27">
        <f>-('Balance Sheet'!I17-'Balance Sheet'!H17)</f>
        <v>0</v>
      </c>
      <c r="J22" s="3"/>
      <c r="K22" s="3"/>
      <c r="L22" s="3"/>
    </row>
    <row r="23">
      <c r="A23" s="3"/>
      <c r="B23" s="46" t="s">
        <v>326</v>
      </c>
      <c r="C23" s="44">
        <f>C71</f>
        <v>0.638901</v>
      </c>
      <c r="D23" s="44">
        <f>D71-C71</f>
        <v>-0.22434600000000005</v>
      </c>
      <c r="E23" s="44">
        <f>E71-D71</f>
        <v>0.236703</v>
      </c>
      <c r="F23" s="44">
        <f>F71-E71</f>
        <v>-0.279383</v>
      </c>
      <c r="G23" s="44">
        <f>SUM(C23:F23)</f>
        <v>0.371875</v>
      </c>
      <c r="H23" s="44">
        <f>H71</f>
        <v>0.259294</v>
      </c>
      <c r="I23" s="27">
        <f>'Balance Sheet'!I61-'Balance Sheet'!H61</f>
        <v>0</v>
      </c>
      <c r="J23" s="3"/>
      <c r="K23" s="3"/>
      <c r="L23" s="3"/>
    </row>
    <row r="24">
      <c r="A24" s="3"/>
      <c r="B24" s="46" t="s">
        <v>327</v>
      </c>
      <c r="C24" s="44">
        <f>C72</f>
        <v>6.75</v>
      </c>
      <c r="D24" s="44">
        <f>D72-C72</f>
        <v>-4.75</v>
      </c>
      <c r="E24" s="44">
        <f>E72-D72</f>
        <v>-2</v>
      </c>
      <c r="F24" s="44">
        <f>F72-E72</f>
        <v>0</v>
      </c>
      <c r="G24" s="44">
        <f>SUM(C24:F24)</f>
        <v>0</v>
      </c>
      <c r="H24" s="44">
        <f>H72</f>
        <v>0</v>
      </c>
      <c r="I24" s="27">
        <f>'Balance Sheet'!I63-'Balance Sheet'!H63</f>
        <v>0</v>
      </c>
      <c r="J24" s="3"/>
      <c r="K24" s="3"/>
      <c r="L24" s="3"/>
    </row>
    <row r="25">
      <c r="A25" s="3"/>
      <c r="B25" s="46" t="s">
        <v>328</v>
      </c>
      <c r="C25" s="44">
        <f>C73</f>
        <v>-0.120229</v>
      </c>
      <c r="D25" s="44">
        <f>D73-C73</f>
        <v>0.359664</v>
      </c>
      <c r="E25" s="44">
        <f>E73-D73</f>
        <v>0.230275</v>
      </c>
      <c r="F25" s="44">
        <f>F73-E73</f>
        <v>-0.37413</v>
      </c>
      <c r="G25" s="44">
        <f>SUM(C25:F25)</f>
        <v>0.09558</v>
      </c>
      <c r="H25" s="44">
        <f>H73</f>
        <v>-0.437806</v>
      </c>
      <c r="I25" s="27">
        <f>'Balance Sheet'!I64-'Balance Sheet'!H64</f>
        <v>0</v>
      </c>
      <c r="J25" s="3"/>
      <c r="K25" s="3"/>
      <c r="L25" s="3"/>
    </row>
    <row r="26">
      <c r="A26" s="3"/>
      <c r="B26" s="46" t="s">
        <v>329</v>
      </c>
      <c r="C26" s="44">
        <f>C74</f>
        <v>0.689021</v>
      </c>
      <c r="D26" s="44">
        <f>D74-C74</f>
        <v>-1.438264</v>
      </c>
      <c r="E26" s="44">
        <f>E74-D74</f>
        <v>1.433095</v>
      </c>
      <c r="F26" s="44">
        <f>F74-E74</f>
        <v>-0.689226</v>
      </c>
      <c r="G26" s="44">
        <f>SUM(C26:F26)</f>
        <v>-0.00537399999999999</v>
      </c>
      <c r="H26" s="44">
        <f>H74</f>
        <v>-0.498291</v>
      </c>
      <c r="I26" s="27">
        <f>'Balance Sheet'!I65-'Balance Sheet'!H65</f>
        <v>0</v>
      </c>
      <c r="J26" s="3"/>
      <c r="K26" s="3"/>
      <c r="L26" s="3"/>
    </row>
    <row r="27">
      <c r="A27" s="3"/>
      <c r="B27" s="46" t="s">
        <v>330</v>
      </c>
      <c r="C27" s="44">
        <f>C75</f>
        <v>0</v>
      </c>
      <c r="D27" s="44">
        <f>D75-C75</f>
        <v>0</v>
      </c>
      <c r="E27" s="44">
        <f>E75-D75</f>
        <v>0.0055</v>
      </c>
      <c r="F27" s="44">
        <f>F75-E75</f>
        <v>0</v>
      </c>
      <c r="G27" s="44">
        <f>SUM(C27:F27)</f>
        <v>0.0055</v>
      </c>
      <c r="H27" s="44">
        <f>H75</f>
        <v>-0.0055</v>
      </c>
      <c r="I27" s="27">
        <f>'Balance Sheet'!I66-'Balance Sheet'!H66</f>
        <v>0</v>
      </c>
      <c r="J27" s="3"/>
      <c r="K27" s="3"/>
      <c r="L27" s="3"/>
    </row>
    <row r="28">
      <c r="A28" s="3"/>
      <c r="B28" s="46" t="s">
        <v>331</v>
      </c>
      <c r="C28" s="44">
        <f>C76</f>
        <v>0.204517</v>
      </c>
      <c r="D28" s="44">
        <f>D76-C76</f>
        <v>0.07726</v>
      </c>
      <c r="E28" s="44">
        <f>E76-D76</f>
        <v>0.30839599999999995</v>
      </c>
      <c r="F28" s="44">
        <f>F76-E76</f>
        <v>-0.34873799999999994</v>
      </c>
      <c r="G28" s="44">
        <f>SUM(C28:F28)</f>
        <v>0.241435</v>
      </c>
      <c r="H28" s="44">
        <f>H76</f>
        <v>0.009958</v>
      </c>
      <c r="I28" s="27">
        <f>'Balance Sheet'!I67-'Balance Sheet'!H67</f>
        <v>0</v>
      </c>
      <c r="J28" s="3"/>
      <c r="K28" s="3"/>
      <c r="L28" s="3"/>
    </row>
    <row r="29">
      <c r="A29" s="3"/>
      <c r="B29" s="30" t="s">
        <v>332</v>
      </c>
      <c r="C29" s="68">
        <f>SUM(C9:C28)</f>
        <v>32.29121700000002</v>
      </c>
      <c r="D29" s="68">
        <f>SUM(D9:D28)</f>
        <v>-19.302136000000015</v>
      </c>
      <c r="E29" s="68">
        <f>SUM(E9:E28)</f>
        <v>-8.602469000000008</v>
      </c>
      <c r="F29" s="68">
        <f>SUM(F9:F28)</f>
        <v>-92.41634499999998</v>
      </c>
      <c r="G29" s="68">
        <f>SUM(G9:G28)</f>
        <v>-88.029733</v>
      </c>
      <c r="H29" s="68">
        <f>SUM(H9:H28)</f>
        <v>-25.965894999999996</v>
      </c>
      <c r="I29" s="78">
        <f>SUM(I9:I28)</f>
        <v>-17.565005652731386</v>
      </c>
      <c r="J29" s="3"/>
      <c r="K29" s="3"/>
      <c r="L29" s="3"/>
    </row>
    <row r="30">
      <c r="A30" s="3"/>
      <c r="B30" s="3" t="s">
        <v>333</v>
      </c>
      <c r="C30" s="44">
        <f>C77</f>
        <v>32.291217</v>
      </c>
      <c r="D30" s="44">
        <f>D77-C77</f>
        <v>-19.302136000000004</v>
      </c>
      <c r="E30" s="44">
        <f>E77-D77</f>
        <v>-8.602469</v>
      </c>
      <c r="F30" s="44">
        <f>F77-E77</f>
        <v>-92.41634499999999</v>
      </c>
      <c r="G30" s="44">
        <f>SUM(C30:F30)</f>
        <v>-88.029733</v>
      </c>
      <c r="H30" s="44">
        <f>H77</f>
        <v>-25.965895</v>
      </c>
      <c r="I30" s="40" t="s">
        <v>39</v>
      </c>
      <c r="J30" s="3"/>
      <c r="K30" s="3"/>
      <c r="L30" s="3"/>
    </row>
    <row r="31">
      <c r="A31" s="3"/>
      <c r="B31" s="6" t="s">
        <v>334</v>
      </c>
      <c r="C31" s="65">
        <f>ROUND(C29-C30,3)</f>
        <v>0</v>
      </c>
      <c r="D31" s="65">
        <f>ROUND(D29-D30,3)</f>
        <v>0</v>
      </c>
      <c r="E31" s="65">
        <f>ROUND(E29-E30,3)</f>
        <v>0</v>
      </c>
      <c r="F31" s="65">
        <f>ROUND(F29-F30,3)</f>
        <v>0</v>
      </c>
      <c r="G31" s="65">
        <f>ROUND(G29-G30,3)</f>
        <v>0</v>
      </c>
      <c r="H31" s="65">
        <f>ROUND(H29-H30,3)</f>
        <v>0</v>
      </c>
      <c r="I31" s="75" t="s">
        <v>39</v>
      </c>
      <c r="J31" s="3"/>
      <c r="K31" s="3"/>
      <c r="L31" s="3"/>
    </row>
    <row r="32">
      <c r="A32" s="3"/>
      <c r="B32" s="30" t="s">
        <v>335</v>
      </c>
      <c r="C32" s="39"/>
      <c r="D32" s="39"/>
      <c r="E32" s="39"/>
      <c r="F32" s="39"/>
      <c r="G32" s="39"/>
      <c r="H32" s="39"/>
      <c r="I32" s="66"/>
      <c r="J32" s="3"/>
      <c r="K32" s="3"/>
      <c r="L32" s="3"/>
    </row>
    <row r="33">
      <c r="A33" s="3"/>
      <c r="B33" s="46" t="s">
        <v>336</v>
      </c>
      <c r="C33" s="39"/>
      <c r="D33" s="39"/>
      <c r="E33" s="39"/>
      <c r="F33" s="39"/>
      <c r="G33" s="39"/>
      <c r="H33" s="39"/>
      <c r="I33" s="66"/>
      <c r="J33" s="3"/>
      <c r="K33" s="3"/>
      <c r="L33" s="3"/>
    </row>
    <row r="34">
      <c r="A34" s="3"/>
      <c r="B34" s="79" t="s">
        <v>337</v>
      </c>
      <c r="C34" s="65">
        <f>C19+C18</f>
        <v>14.98075500000001</v>
      </c>
      <c r="D34" s="65">
        <f>D19+D18</f>
        <v>-22.34620300000001</v>
      </c>
      <c r="E34" s="65">
        <f>E19+E18</f>
        <v>-16.102602000000005</v>
      </c>
      <c r="F34" s="65">
        <f>F19+F18</f>
        <v>-101.39730499999999</v>
      </c>
      <c r="G34" s="65">
        <f>G19+G18</f>
        <v>-124.865355</v>
      </c>
      <c r="H34" s="65">
        <f>H19+H18</f>
        <v>-30.735512999999997</v>
      </c>
      <c r="I34" s="75">
        <f>I19+I18</f>
        <v>-25</v>
      </c>
      <c r="J34" s="3"/>
      <c r="K34" s="3"/>
      <c r="L34" s="3"/>
    </row>
    <row r="35">
      <c r="A35" s="3"/>
      <c r="B35" s="30" t="s">
        <v>338</v>
      </c>
      <c r="C35" s="39"/>
      <c r="D35" s="39"/>
      <c r="E35" s="39"/>
      <c r="F35" s="39"/>
      <c r="G35" s="39"/>
      <c r="H35" s="39"/>
      <c r="I35" s="66"/>
      <c r="J35" s="3"/>
      <c r="K35" s="3"/>
      <c r="L35" s="3"/>
    </row>
    <row r="36">
      <c r="A36" s="3"/>
      <c r="B36" s="46" t="s">
        <v>339</v>
      </c>
      <c r="C36" s="44">
        <f>C78</f>
        <v>17.5</v>
      </c>
      <c r="D36" s="44">
        <f>D78-C78</f>
        <v>0</v>
      </c>
      <c r="E36" s="44">
        <f>E78-D78</f>
        <v>32.5</v>
      </c>
      <c r="F36" s="44">
        <f>F78-E78</f>
        <v>37</v>
      </c>
      <c r="G36" s="44">
        <f>SUM(C36:F36)</f>
        <v>87</v>
      </c>
      <c r="H36" s="44">
        <f>H78</f>
        <v>53</v>
      </c>
      <c r="I36" s="63">
        <v>0</v>
      </c>
      <c r="J36" s="3"/>
      <c r="K36" s="3"/>
      <c r="L36" s="3"/>
    </row>
    <row r="37">
      <c r="A37" s="3"/>
      <c r="B37" s="46" t="s">
        <v>340</v>
      </c>
      <c r="C37" s="44">
        <f>C79</f>
        <v>0</v>
      </c>
      <c r="D37" s="44">
        <f>D79-C79</f>
        <v>0</v>
      </c>
      <c r="E37" s="44">
        <f>E79-D79</f>
        <v>-32.5</v>
      </c>
      <c r="F37" s="44">
        <f>F79-E79</f>
        <v>-47</v>
      </c>
      <c r="G37" s="44">
        <f>SUM(C37:F37)</f>
        <v>-79.5</v>
      </c>
      <c r="H37" s="44">
        <f>H79</f>
        <v>0</v>
      </c>
      <c r="I37" s="63">
        <v>0</v>
      </c>
      <c r="J37" s="3"/>
      <c r="K37" s="3"/>
      <c r="L37" s="3"/>
    </row>
    <row r="38">
      <c r="A38" s="3"/>
      <c r="B38" s="46" t="s">
        <v>341</v>
      </c>
      <c r="C38" s="44">
        <f>C80</f>
        <v>0</v>
      </c>
      <c r="D38" s="44">
        <f>D80-C80</f>
        <v>0</v>
      </c>
      <c r="E38" s="44">
        <f>E80-D80</f>
        <v>0</v>
      </c>
      <c r="F38" s="44">
        <f>F80-E80</f>
        <v>149.5585</v>
      </c>
      <c r="G38" s="44">
        <f>SUM(C38:F38)</f>
        <v>149.5585</v>
      </c>
      <c r="H38" s="44">
        <f>H80</f>
        <v>24.5</v>
      </c>
      <c r="I38" s="27">
        <f>'Income Statement'!I113</f>
        <v>85</v>
      </c>
      <c r="J38" s="3"/>
      <c r="K38" s="3"/>
      <c r="L38" s="3"/>
    </row>
    <row r="39">
      <c r="A39" s="3"/>
      <c r="B39" s="46" t="s">
        <v>342</v>
      </c>
      <c r="C39" s="44">
        <f>C81</f>
        <v>-20</v>
      </c>
      <c r="D39" s="44">
        <f>D81-C81</f>
        <v>-5</v>
      </c>
      <c r="E39" s="44">
        <f>E81-D81</f>
        <v>-12</v>
      </c>
      <c r="F39" s="44">
        <f>F81-E81</f>
        <v>-175</v>
      </c>
      <c r="G39" s="44">
        <f>SUM(C39:F39)</f>
        <v>-212</v>
      </c>
      <c r="H39" s="44">
        <f>H81</f>
        <v>0</v>
      </c>
      <c r="I39" s="63">
        <v>0</v>
      </c>
      <c r="J39" s="3"/>
      <c r="K39" s="3"/>
      <c r="L39" s="3"/>
    </row>
    <row r="40">
      <c r="A40" s="3"/>
      <c r="B40" s="46" t="s">
        <v>343</v>
      </c>
      <c r="C40" s="44">
        <f>C82</f>
        <v>0</v>
      </c>
      <c r="D40" s="44">
        <f>D82-C82</f>
        <v>-0.025</v>
      </c>
      <c r="E40" s="44">
        <f>E82-D82</f>
        <v>-1.351388</v>
      </c>
      <c r="F40" s="44">
        <f>F82-E82</f>
        <v>-5.476538</v>
      </c>
      <c r="G40" s="44">
        <f>SUM(C40:F40)</f>
        <v>-6.852926</v>
      </c>
      <c r="H40" s="44">
        <f>H82</f>
        <v>-1.713358</v>
      </c>
      <c r="I40" s="63">
        <v>-2.9</v>
      </c>
      <c r="J40" s="3"/>
      <c r="K40" s="3"/>
      <c r="L40" s="3"/>
    </row>
    <row r="41">
      <c r="A41" s="3"/>
      <c r="B41" s="46" t="s">
        <v>344</v>
      </c>
      <c r="C41" s="44">
        <f>C83</f>
        <v>6.14382</v>
      </c>
      <c r="D41" s="44">
        <f>D83-C83</f>
        <v>11.101844000000002</v>
      </c>
      <c r="E41" s="44">
        <f>E83-D83</f>
        <v>1.5072650000000003</v>
      </c>
      <c r="F41" s="44">
        <f>F83-E83</f>
        <v>0</v>
      </c>
      <c r="G41" s="44">
        <f>SUM(C41:F41)</f>
        <v>18.752929</v>
      </c>
      <c r="H41" s="44">
        <f>H83</f>
        <v>0</v>
      </c>
      <c r="I41" s="63">
        <v>0</v>
      </c>
      <c r="J41" s="3"/>
      <c r="K41" s="3"/>
      <c r="L41" s="3"/>
    </row>
    <row r="42">
      <c r="A42" s="3"/>
      <c r="B42" s="46" t="s">
        <v>345</v>
      </c>
      <c r="C42" s="44">
        <f>C84</f>
        <v>0.29777</v>
      </c>
      <c r="D42" s="44">
        <f>D84-C84</f>
        <v>0.271552</v>
      </c>
      <c r="E42" s="44">
        <f>E84-D84</f>
        <v>0</v>
      </c>
      <c r="F42" s="44">
        <f>F84-E84</f>
        <v>0</v>
      </c>
      <c r="G42" s="44">
        <f>SUM(C42:F42)</f>
        <v>0.569322</v>
      </c>
      <c r="H42" s="44">
        <f>H84</f>
        <v>0</v>
      </c>
      <c r="I42" s="63">
        <v>0</v>
      </c>
      <c r="J42" s="3"/>
      <c r="K42" s="3"/>
      <c r="L42" s="3"/>
    </row>
    <row r="43">
      <c r="A43" s="3"/>
      <c r="B43" s="46" t="s">
        <v>346</v>
      </c>
      <c r="C43" s="44">
        <f>C85</f>
        <v>-16.667926</v>
      </c>
      <c r="D43" s="44">
        <f>D85-C85</f>
        <v>-10.507524999999998</v>
      </c>
      <c r="E43" s="44">
        <f>E85-D85</f>
        <v>-10.796881000000003</v>
      </c>
      <c r="F43" s="44">
        <f>F85-E85</f>
        <v>-14.383759999999995</v>
      </c>
      <c r="G43" s="44">
        <f>SUM(C43:F43)</f>
        <v>-52.356092</v>
      </c>
      <c r="H43" s="44">
        <f>H85</f>
        <v>-10.797683</v>
      </c>
      <c r="I43" s="27">
        <f>-'Share Count'!I46</f>
        <v>-10.951993045582334</v>
      </c>
      <c r="J43" s="3"/>
      <c r="K43" s="3"/>
      <c r="L43" s="3"/>
    </row>
    <row r="44">
      <c r="A44" s="3"/>
      <c r="B44" s="46" t="s">
        <v>347</v>
      </c>
      <c r="C44" s="44">
        <f>C86</f>
        <v>0</v>
      </c>
      <c r="D44" s="44">
        <f>D86-C86</f>
        <v>0</v>
      </c>
      <c r="E44" s="44">
        <f>E86-D86</f>
        <v>0</v>
      </c>
      <c r="F44" s="44">
        <f>F86-E86</f>
        <v>-0.054314</v>
      </c>
      <c r="G44" s="44">
        <f>SUM(C44:F44)</f>
        <v>-0.054314</v>
      </c>
      <c r="H44" s="44">
        <f>H86</f>
        <v>0</v>
      </c>
      <c r="I44" s="63">
        <v>0</v>
      </c>
      <c r="J44" s="3"/>
      <c r="K44" s="3"/>
      <c r="L44" s="3"/>
    </row>
    <row r="45">
      <c r="A45" s="3"/>
      <c r="B45" s="46" t="s">
        <v>348</v>
      </c>
      <c r="C45" s="44">
        <f>C87</f>
        <v>-0.00208</v>
      </c>
      <c r="D45" s="44">
        <f>D87-C87</f>
        <v>-0.020753</v>
      </c>
      <c r="E45" s="44">
        <f>E87-D87</f>
        <v>-0.0030240000000000024</v>
      </c>
      <c r="F45" s="44">
        <f>F87-E87</f>
        <v>0</v>
      </c>
      <c r="G45" s="44">
        <f>SUM(C45:F45)</f>
        <v>-0.025857</v>
      </c>
      <c r="H45" s="44">
        <f>H87</f>
        <v>0</v>
      </c>
      <c r="I45" s="63">
        <v>0</v>
      </c>
      <c r="J45" s="3"/>
      <c r="K45" s="3"/>
      <c r="L45" s="3"/>
    </row>
    <row r="46">
      <c r="A46" s="3"/>
      <c r="B46" s="30" t="s">
        <v>349</v>
      </c>
      <c r="C46" s="68">
        <f>SUM(C36:C45)</f>
        <v>-12.728416000000001</v>
      </c>
      <c r="D46" s="68">
        <f>SUM(D36:D45)</f>
        <v>-4.1798819999999965</v>
      </c>
      <c r="E46" s="68">
        <f>SUM(E36:E45)</f>
        <v>-22.644028000000002</v>
      </c>
      <c r="F46" s="68">
        <f>SUM(F36:F45)</f>
        <v>-55.35611199999999</v>
      </c>
      <c r="G46" s="68">
        <f>SUM(G36:G45)</f>
        <v>-94.90843799999999</v>
      </c>
      <c r="H46" s="68">
        <f>SUM(H36:H45)</f>
        <v>64.988959</v>
      </c>
      <c r="I46" s="78">
        <f>SUM(I36:I45)</f>
        <v>71.14800695441767</v>
      </c>
      <c r="J46" s="3"/>
      <c r="K46" s="3"/>
      <c r="L46" s="3"/>
    </row>
    <row r="47">
      <c r="A47" s="3"/>
      <c r="B47" s="3" t="s">
        <v>350</v>
      </c>
      <c r="C47" s="44">
        <f>C88</f>
        <v>-12.728416</v>
      </c>
      <c r="D47" s="44">
        <f>D88-C88</f>
        <v>-4.179881999999999</v>
      </c>
      <c r="E47" s="44">
        <f>E88-D88</f>
        <v>-22.644028000000002</v>
      </c>
      <c r="F47" s="44">
        <f>F88-E88</f>
        <v>-55.356112</v>
      </c>
      <c r="G47" s="44">
        <f>SUM(C47:F47)</f>
        <v>-94.908438</v>
      </c>
      <c r="H47" s="44">
        <f>H88</f>
        <v>64.988959</v>
      </c>
      <c r="I47" s="40" t="s">
        <v>39</v>
      </c>
      <c r="J47" s="3"/>
      <c r="K47" s="3"/>
      <c r="L47" s="3"/>
    </row>
    <row r="48">
      <c r="A48" s="3"/>
      <c r="B48" s="6" t="s">
        <v>351</v>
      </c>
      <c r="C48" s="65">
        <f>ROUND(C46-C47,3)</f>
        <v>0</v>
      </c>
      <c r="D48" s="65">
        <f>ROUND(D46-D47,3)</f>
        <v>0</v>
      </c>
      <c r="E48" s="65">
        <f>ROUND(E46-E47,3)</f>
        <v>0</v>
      </c>
      <c r="F48" s="65">
        <f>ROUND(F46-F47,3)</f>
        <v>0</v>
      </c>
      <c r="G48" s="65">
        <f>ROUND(G46-G47,3)</f>
        <v>0</v>
      </c>
      <c r="H48" s="65">
        <f>ROUND(H46-H47,3)</f>
        <v>0</v>
      </c>
      <c r="I48" s="75" t="s">
        <v>39</v>
      </c>
      <c r="J48" s="3"/>
      <c r="K48" s="3"/>
      <c r="L48" s="3"/>
    </row>
    <row r="49">
      <c r="A49" s="3"/>
      <c r="B49" s="30" t="s">
        <v>352</v>
      </c>
      <c r="C49" s="68">
        <f>C29+C46</f>
        <v>19.562801000000015</v>
      </c>
      <c r="D49" s="68">
        <f>D29+D46</f>
        <v>-23.48201800000001</v>
      </c>
      <c r="E49" s="68">
        <f>E29+E46</f>
        <v>-31.246497000000012</v>
      </c>
      <c r="F49" s="68">
        <f>F29+F46</f>
        <v>-147.77245699999997</v>
      </c>
      <c r="G49" s="68">
        <f>G29+G46</f>
        <v>-182.93817099999998</v>
      </c>
      <c r="H49" s="68">
        <f>H29+H46</f>
        <v>39.023064</v>
      </c>
      <c r="I49" s="78">
        <f>I29+I46</f>
        <v>53.58300130168628</v>
      </c>
      <c r="J49" s="3"/>
      <c r="K49" s="3"/>
      <c r="L49" s="3"/>
    </row>
    <row r="50">
      <c r="A50" s="3"/>
      <c r="B50" s="3" t="s">
        <v>353</v>
      </c>
      <c r="C50" s="28">
        <f>'Balance Sheet'!C89</f>
        <v>204.723924</v>
      </c>
      <c r="D50" s="44">
        <f>C51</f>
        <v>224.28672500000002</v>
      </c>
      <c r="E50" s="44">
        <f>D51</f>
        <v>200.804707</v>
      </c>
      <c r="F50" s="44">
        <f>E51</f>
        <v>169.55821</v>
      </c>
      <c r="G50" s="44">
        <f>C50</f>
        <v>204.723924</v>
      </c>
      <c r="H50" s="44">
        <f>F51</f>
        <v>21.785753000000028</v>
      </c>
      <c r="I50" s="40">
        <f>H51</f>
        <v>60.808817000000026</v>
      </c>
      <c r="J50" s="3"/>
      <c r="K50" s="3"/>
      <c r="L50" s="3"/>
    </row>
    <row r="51">
      <c r="A51" s="3"/>
      <c r="B51" s="30" t="s">
        <v>354</v>
      </c>
      <c r="C51" s="68">
        <f>C50+C49</f>
        <v>224.28672500000002</v>
      </c>
      <c r="D51" s="68">
        <f>D50+D49</f>
        <v>200.804707</v>
      </c>
      <c r="E51" s="68">
        <f>E50+E49</f>
        <v>169.55821</v>
      </c>
      <c r="F51" s="68">
        <f>F50+F49</f>
        <v>21.785753000000028</v>
      </c>
      <c r="G51" s="68">
        <f>G50+G49</f>
        <v>21.785753000000028</v>
      </c>
      <c r="H51" s="68">
        <f>H50+H49</f>
        <v>60.808817000000026</v>
      </c>
      <c r="I51" s="78">
        <f>I50+I49</f>
        <v>114.3918183016863</v>
      </c>
      <c r="J51" s="3"/>
      <c r="K51" s="3"/>
      <c r="L51" s="3"/>
    </row>
    <row r="52">
      <c r="A52" s="3"/>
      <c r="B52" s="3" t="s">
        <v>355</v>
      </c>
      <c r="C52" s="28">
        <f>'Balance Sheet'!C21</f>
        <v>224.286725</v>
      </c>
      <c r="D52" s="28">
        <f>'Balance Sheet'!D21</f>
        <v>200.804707</v>
      </c>
      <c r="E52" s="28">
        <f>'Balance Sheet'!E21</f>
        <v>169.55821</v>
      </c>
      <c r="F52" s="28">
        <f>'Balance Sheet'!F21</f>
        <v>21.785753</v>
      </c>
      <c r="G52" s="28">
        <f>'Balance Sheet'!G21</f>
        <v>21.785753</v>
      </c>
      <c r="H52" s="28">
        <f>'Balance Sheet'!H21</f>
        <v>60.808817</v>
      </c>
      <c r="I52" s="27">
        <f>'Balance Sheet'!I21</f>
        <v>114.3918183016863</v>
      </c>
      <c r="J52" s="3"/>
      <c r="K52" s="3"/>
      <c r="L52" s="3"/>
    </row>
    <row r="53">
      <c r="A53" s="3"/>
      <c r="B53" s="30" t="s">
        <v>356</v>
      </c>
      <c r="C53" s="52">
        <f>ROUND(C51-C52,3)</f>
        <v>0</v>
      </c>
      <c r="D53" s="52">
        <f>ROUND(D51-D52,3)</f>
        <v>0</v>
      </c>
      <c r="E53" s="52">
        <f>ROUND(E51-E52,3)</f>
        <v>0</v>
      </c>
      <c r="F53" s="52">
        <f>ROUND(F51-F52,3)</f>
        <v>0</v>
      </c>
      <c r="G53" s="52">
        <f>ROUND(G51-G52,3)</f>
        <v>0</v>
      </c>
      <c r="H53" s="52">
        <f>ROUND(H51-H52,3)</f>
        <v>0</v>
      </c>
      <c r="I53" s="73" t="s">
        <v>39</v>
      </c>
      <c r="J53" s="3"/>
      <c r="K53" s="3"/>
      <c r="L53" s="3"/>
    </row>
    <row r="54">
      <c r="A54" s="3"/>
      <c r="B54" s="6" t="s">
        <v>357</v>
      </c>
      <c r="C54" s="65"/>
      <c r="D54" s="65"/>
      <c r="E54" s="65"/>
      <c r="F54" s="65"/>
      <c r="G54" s="65">
        <f>ROUND(G51-F89,3)</f>
        <v>0</v>
      </c>
      <c r="H54" s="65"/>
      <c r="I54" s="75"/>
      <c r="J54" s="3"/>
      <c r="K54" s="3"/>
      <c r="L54" s="3"/>
    </row>
    <row r="55">
      <c r="A55" s="3"/>
      <c r="B55" s="3"/>
      <c r="C55" s="11"/>
      <c r="D55" s="11"/>
      <c r="E55" s="11"/>
      <c r="F55" s="11"/>
      <c r="G55" s="11"/>
      <c r="H55" s="11"/>
      <c r="I55" s="74"/>
      <c r="J55" s="3"/>
      <c r="K55" s="3"/>
      <c r="L55" s="3"/>
    </row>
    <row r="56">
      <c r="A56" s="3"/>
      <c r="B56" s="30" t="s">
        <v>358</v>
      </c>
      <c r="C56" s="39"/>
      <c r="D56" s="39"/>
      <c r="E56" s="39"/>
      <c r="F56" s="39"/>
      <c r="G56" s="39"/>
      <c r="H56" s="39"/>
      <c r="I56" s="66"/>
      <c r="J56" s="3"/>
      <c r="K56" s="3"/>
      <c r="L56" s="3"/>
    </row>
    <row r="57">
      <c r="A57" s="3"/>
      <c r="B57" s="46" t="s">
        <v>359</v>
      </c>
      <c r="C57" s="62">
        <v>13.932263</v>
      </c>
      <c r="D57" s="62">
        <v>27.217398</v>
      </c>
      <c r="E57" s="62">
        <v>39.217382</v>
      </c>
      <c r="F57" s="62">
        <v>36.604298</v>
      </c>
      <c r="G57" s="44"/>
      <c r="H57" s="62">
        <v>-6.903113</v>
      </c>
      <c r="I57" s="40"/>
      <c r="J57" s="3"/>
      <c r="K57" s="3"/>
      <c r="L57" s="3"/>
    </row>
    <row r="58">
      <c r="A58" s="3"/>
      <c r="B58" s="46" t="s">
        <v>360</v>
      </c>
      <c r="C58" s="62">
        <v>-0.517108</v>
      </c>
      <c r="D58" s="62">
        <v>-1.061847</v>
      </c>
      <c r="E58" s="62">
        <v>-1.863737</v>
      </c>
      <c r="F58" s="62">
        <v>-2.584775</v>
      </c>
      <c r="G58" s="44"/>
      <c r="H58" s="62">
        <v>-0.677848</v>
      </c>
      <c r="I58" s="40"/>
      <c r="J58" s="3"/>
      <c r="K58" s="3"/>
      <c r="L58" s="3"/>
    </row>
    <row r="59">
      <c r="A59" s="3"/>
      <c r="B59" s="46" t="s">
        <v>361</v>
      </c>
      <c r="C59" s="62">
        <v>-0.858544</v>
      </c>
      <c r="D59" s="62">
        <v>-1.164246</v>
      </c>
      <c r="E59" s="62">
        <v>-2.428199</v>
      </c>
      <c r="F59" s="62">
        <v>-3.097921</v>
      </c>
      <c r="G59" s="44"/>
      <c r="H59" s="62">
        <v>-0.813693</v>
      </c>
      <c r="I59" s="40"/>
      <c r="J59" s="3"/>
      <c r="K59" s="3"/>
      <c r="L59" s="3"/>
    </row>
    <row r="60">
      <c r="A60" s="3"/>
      <c r="B60" s="46" t="s">
        <v>362</v>
      </c>
      <c r="C60" s="62">
        <v>1.254331</v>
      </c>
      <c r="D60" s="62">
        <v>2.502178</v>
      </c>
      <c r="E60" s="62">
        <v>3.614157</v>
      </c>
      <c r="F60" s="62">
        <v>4.802167</v>
      </c>
      <c r="G60" s="44"/>
      <c r="H60" s="62">
        <v>1.29711</v>
      </c>
      <c r="I60" s="40"/>
      <c r="J60" s="3"/>
      <c r="K60" s="3"/>
      <c r="L60" s="3"/>
    </row>
    <row r="61">
      <c r="A61" s="3"/>
      <c r="B61" s="46" t="s">
        <v>363</v>
      </c>
      <c r="C61" s="62">
        <v>0</v>
      </c>
      <c r="D61" s="62">
        <v>0</v>
      </c>
      <c r="E61" s="62">
        <v>0.123157</v>
      </c>
      <c r="F61" s="62">
        <v>0.82401</v>
      </c>
      <c r="G61" s="44"/>
      <c r="H61" s="62">
        <v>0</v>
      </c>
      <c r="I61" s="40"/>
      <c r="J61" s="3"/>
      <c r="K61" s="3"/>
      <c r="L61" s="3"/>
    </row>
    <row r="62">
      <c r="A62" s="3"/>
      <c r="B62" s="46" t="s">
        <v>364</v>
      </c>
      <c r="C62" s="62">
        <v>0.050004</v>
      </c>
      <c r="D62" s="62">
        <v>0.038689</v>
      </c>
      <c r="E62" s="62">
        <v>-0.165989</v>
      </c>
      <c r="F62" s="62">
        <v>-0.196309</v>
      </c>
      <c r="G62" s="44"/>
      <c r="H62" s="62">
        <v>-0.020709</v>
      </c>
      <c r="I62" s="40"/>
      <c r="J62" s="3"/>
      <c r="K62" s="3"/>
      <c r="L62" s="3"/>
    </row>
    <row r="63">
      <c r="A63" s="3"/>
      <c r="B63" s="46" t="s">
        <v>365</v>
      </c>
      <c r="C63" s="62">
        <v>-2.901339</v>
      </c>
      <c r="D63" s="62">
        <v>-2.95403</v>
      </c>
      <c r="E63" s="62">
        <v>-6.024577</v>
      </c>
      <c r="F63" s="62">
        <v>-5.74649</v>
      </c>
      <c r="G63" s="44"/>
      <c r="H63" s="62">
        <v>-0.150207</v>
      </c>
      <c r="I63" s="40"/>
      <c r="J63" s="3"/>
      <c r="K63" s="3"/>
      <c r="L63" s="3"/>
    </row>
    <row r="64">
      <c r="A64" s="3"/>
      <c r="B64" s="46" t="s">
        <v>366</v>
      </c>
      <c r="C64" s="62">
        <v>-0.943977</v>
      </c>
      <c r="D64" s="62">
        <v>-4.67169</v>
      </c>
      <c r="E64" s="62">
        <v>-4.088032</v>
      </c>
      <c r="F64" s="62">
        <v>5.23848</v>
      </c>
      <c r="G64" s="44"/>
      <c r="H64" s="62">
        <v>15.177131</v>
      </c>
      <c r="I64" s="40"/>
      <c r="J64" s="3"/>
      <c r="K64" s="3"/>
      <c r="L64" s="3"/>
    </row>
    <row r="65">
      <c r="A65" s="3"/>
      <c r="B65" s="46" t="s">
        <v>367</v>
      </c>
      <c r="C65" s="62">
        <v>0.055085</v>
      </c>
      <c r="D65" s="62">
        <v>-0.368913</v>
      </c>
      <c r="E65" s="62">
        <v>-0.218779</v>
      </c>
      <c r="F65" s="62">
        <v>-0.113498</v>
      </c>
      <c r="G65" s="44"/>
      <c r="H65" s="62">
        <v>-0.530824</v>
      </c>
      <c r="I65" s="40"/>
      <c r="J65" s="3"/>
      <c r="K65" s="3"/>
      <c r="L65" s="3"/>
    </row>
    <row r="66">
      <c r="A66" s="3"/>
      <c r="B66" s="46" t="s">
        <v>368</v>
      </c>
      <c r="C66" s="62">
        <v>65.066218</v>
      </c>
      <c r="D66" s="62">
        <v>94.942515</v>
      </c>
      <c r="E66" s="62">
        <v>150.894253</v>
      </c>
      <c r="F66" s="62">
        <v>184.636335</v>
      </c>
      <c r="G66" s="44"/>
      <c r="H66" s="62">
        <v>48.415037</v>
      </c>
      <c r="I66" s="40"/>
      <c r="J66" s="3"/>
      <c r="K66" s="3"/>
      <c r="L66" s="3"/>
    </row>
    <row r="67">
      <c r="A67" s="3"/>
      <c r="B67" s="46" t="s">
        <v>369</v>
      </c>
      <c r="C67" s="62">
        <v>-50.085463</v>
      </c>
      <c r="D67" s="62">
        <v>-102.307963</v>
      </c>
      <c r="E67" s="62">
        <v>-174.362303</v>
      </c>
      <c r="F67" s="62">
        <v>-309.50169</v>
      </c>
      <c r="G67" s="44"/>
      <c r="H67" s="62">
        <v>-79.15055</v>
      </c>
      <c r="I67" s="40"/>
      <c r="J67" s="3"/>
      <c r="K67" s="3"/>
      <c r="L67" s="3"/>
    </row>
    <row r="68">
      <c r="A68" s="3"/>
      <c r="B68" s="46" t="s">
        <v>370</v>
      </c>
      <c r="C68" s="62">
        <v>-0.523277</v>
      </c>
      <c r="D68" s="62">
        <v>-1.139595</v>
      </c>
      <c r="E68" s="62">
        <v>-1.424402</v>
      </c>
      <c r="F68" s="62">
        <v>0.163415</v>
      </c>
      <c r="G68" s="44"/>
      <c r="H68" s="62">
        <v>-1.734807</v>
      </c>
      <c r="I68" s="40"/>
      <c r="J68" s="3"/>
      <c r="K68" s="3"/>
      <c r="L68" s="3"/>
    </row>
    <row r="69">
      <c r="A69" s="3"/>
      <c r="B69" s="46" t="s">
        <v>371</v>
      </c>
      <c r="C69" s="62">
        <v>0.019886</v>
      </c>
      <c r="D69" s="62">
        <v>0.035424</v>
      </c>
      <c r="E69" s="62">
        <v>0.042816</v>
      </c>
      <c r="F69" s="62">
        <v>0.064473</v>
      </c>
      <c r="G69" s="44"/>
      <c r="H69" s="62">
        <v>0.016883</v>
      </c>
      <c r="I69" s="40"/>
      <c r="J69" s="3"/>
      <c r="K69" s="3"/>
      <c r="L69" s="3"/>
    </row>
    <row r="70">
      <c r="A70" s="3"/>
      <c r="B70" s="46" t="s">
        <v>372</v>
      </c>
      <c r="C70" s="62">
        <v>-0.419072</v>
      </c>
      <c r="D70" s="62">
        <v>-0.265363</v>
      </c>
      <c r="E70" s="62">
        <v>-1.329628</v>
      </c>
      <c r="F70" s="62">
        <v>0.168756</v>
      </c>
      <c r="G70" s="44"/>
      <c r="H70" s="62">
        <v>-0.21796</v>
      </c>
      <c r="I70" s="40"/>
      <c r="J70" s="3"/>
      <c r="K70" s="3"/>
      <c r="L70" s="3"/>
    </row>
    <row r="71">
      <c r="A71" s="3"/>
      <c r="B71" s="46" t="s">
        <v>373</v>
      </c>
      <c r="C71" s="62">
        <v>0.638901</v>
      </c>
      <c r="D71" s="62">
        <v>0.414555</v>
      </c>
      <c r="E71" s="62">
        <v>0.651258</v>
      </c>
      <c r="F71" s="62">
        <v>0.371875</v>
      </c>
      <c r="G71" s="44"/>
      <c r="H71" s="62">
        <v>0.259294</v>
      </c>
      <c r="I71" s="40"/>
      <c r="J71" s="3"/>
      <c r="K71" s="3"/>
      <c r="L71" s="3"/>
    </row>
    <row r="72">
      <c r="A72" s="3"/>
      <c r="B72" s="46" t="s">
        <v>374</v>
      </c>
      <c r="C72" s="62">
        <v>6.75</v>
      </c>
      <c r="D72" s="62">
        <v>2</v>
      </c>
      <c r="E72" s="62">
        <v>0</v>
      </c>
      <c r="F72" s="62">
        <v>0</v>
      </c>
      <c r="G72" s="44"/>
      <c r="H72" s="62">
        <v>0</v>
      </c>
      <c r="I72" s="40"/>
      <c r="J72" s="3"/>
      <c r="K72" s="3"/>
      <c r="L72" s="3"/>
    </row>
    <row r="73">
      <c r="A73" s="3"/>
      <c r="B73" s="46" t="s">
        <v>375</v>
      </c>
      <c r="C73" s="62">
        <v>-0.120229</v>
      </c>
      <c r="D73" s="62">
        <v>0.239435</v>
      </c>
      <c r="E73" s="62">
        <v>0.46971</v>
      </c>
      <c r="F73" s="62">
        <v>0.09558</v>
      </c>
      <c r="G73" s="44"/>
      <c r="H73" s="62">
        <v>-0.437806</v>
      </c>
      <c r="I73" s="40"/>
      <c r="J73" s="3"/>
      <c r="K73" s="3"/>
      <c r="L73" s="3"/>
    </row>
    <row r="74">
      <c r="A74" s="3"/>
      <c r="B74" s="46" t="s">
        <v>376</v>
      </c>
      <c r="C74" s="62">
        <v>0.689021</v>
      </c>
      <c r="D74" s="62">
        <v>-0.749243</v>
      </c>
      <c r="E74" s="62">
        <v>0.683852</v>
      </c>
      <c r="F74" s="62">
        <v>-0.005374</v>
      </c>
      <c r="G74" s="44"/>
      <c r="H74" s="62">
        <v>-0.498291</v>
      </c>
      <c r="I74" s="40"/>
      <c r="J74" s="3"/>
      <c r="K74" s="3"/>
      <c r="L74" s="3"/>
    </row>
    <row r="75">
      <c r="A75" s="3"/>
      <c r="B75" s="46" t="s">
        <v>377</v>
      </c>
      <c r="C75" s="62">
        <v>0</v>
      </c>
      <c r="D75" s="62">
        <v>0</v>
      </c>
      <c r="E75" s="62">
        <v>0.0055</v>
      </c>
      <c r="F75" s="62">
        <v>0.0055</v>
      </c>
      <c r="G75" s="44"/>
      <c r="H75" s="62">
        <v>-0.0055</v>
      </c>
      <c r="I75" s="40"/>
      <c r="J75" s="3"/>
      <c r="K75" s="3"/>
      <c r="L75" s="3"/>
    </row>
    <row r="76">
      <c r="A76" s="3"/>
      <c r="B76" s="46" t="s">
        <v>378</v>
      </c>
      <c r="C76" s="62">
        <v>0.204517</v>
      </c>
      <c r="D76" s="62">
        <v>0.281777</v>
      </c>
      <c r="E76" s="62">
        <v>0.590173</v>
      </c>
      <c r="F76" s="62">
        <v>0.241435</v>
      </c>
      <c r="G76" s="44"/>
      <c r="H76" s="62">
        <v>0.009958</v>
      </c>
      <c r="I76" s="40"/>
      <c r="J76" s="3"/>
      <c r="K76" s="3"/>
      <c r="L76" s="3"/>
    </row>
    <row r="77">
      <c r="A77" s="3"/>
      <c r="B77" s="30" t="s">
        <v>379</v>
      </c>
      <c r="C77" s="64">
        <v>32.291217</v>
      </c>
      <c r="D77" s="64">
        <v>12.989081</v>
      </c>
      <c r="E77" s="64">
        <v>4.386612</v>
      </c>
      <c r="F77" s="64">
        <v>-88.029733</v>
      </c>
      <c r="G77" s="68"/>
      <c r="H77" s="64">
        <v>-25.965895</v>
      </c>
      <c r="I77" s="78"/>
      <c r="J77" s="3"/>
      <c r="K77" s="3"/>
      <c r="L77" s="3"/>
    </row>
    <row r="78">
      <c r="A78" s="3"/>
      <c r="B78" s="46" t="s">
        <v>380</v>
      </c>
      <c r="C78" s="62">
        <v>17.5</v>
      </c>
      <c r="D78" s="62">
        <v>17.5</v>
      </c>
      <c r="E78" s="62">
        <v>50</v>
      </c>
      <c r="F78" s="62">
        <v>87</v>
      </c>
      <c r="G78" s="44"/>
      <c r="H78" s="62">
        <v>53</v>
      </c>
      <c r="I78" s="40"/>
      <c r="J78" s="3"/>
      <c r="K78" s="3"/>
      <c r="L78" s="3"/>
    </row>
    <row r="79">
      <c r="A79" s="3"/>
      <c r="B79" s="46" t="s">
        <v>381</v>
      </c>
      <c r="C79" s="62">
        <v>0</v>
      </c>
      <c r="D79" s="62">
        <v>0</v>
      </c>
      <c r="E79" s="62">
        <v>-32.5</v>
      </c>
      <c r="F79" s="62">
        <v>-79.5</v>
      </c>
      <c r="G79" s="44"/>
      <c r="H79" s="62">
        <v>0</v>
      </c>
      <c r="I79" s="40"/>
      <c r="J79" s="3"/>
      <c r="K79" s="3"/>
      <c r="L79" s="3"/>
    </row>
    <row r="80">
      <c r="A80" s="3"/>
      <c r="B80" s="46" t="s">
        <v>382</v>
      </c>
      <c r="C80" s="62">
        <v>0</v>
      </c>
      <c r="D80" s="62">
        <v>0</v>
      </c>
      <c r="E80" s="62">
        <v>0</v>
      </c>
      <c r="F80" s="62">
        <v>149.5585</v>
      </c>
      <c r="G80" s="44"/>
      <c r="H80" s="62">
        <v>24.5</v>
      </c>
      <c r="I80" s="40"/>
      <c r="J80" s="3"/>
      <c r="K80" s="3"/>
      <c r="L80" s="3"/>
    </row>
    <row r="81">
      <c r="A81" s="3"/>
      <c r="B81" s="46" t="s">
        <v>383</v>
      </c>
      <c r="C81" s="62">
        <v>-20</v>
      </c>
      <c r="D81" s="62">
        <v>-25</v>
      </c>
      <c r="E81" s="62">
        <v>-37</v>
      </c>
      <c r="F81" s="62">
        <v>-212</v>
      </c>
      <c r="G81" s="44"/>
      <c r="H81" s="62">
        <v>0</v>
      </c>
      <c r="I81" s="40"/>
      <c r="J81" s="3"/>
      <c r="K81" s="3"/>
      <c r="L81" s="3"/>
    </row>
    <row r="82">
      <c r="A82" s="3"/>
      <c r="B82" s="46" t="s">
        <v>384</v>
      </c>
      <c r="C82" s="62">
        <v>0</v>
      </c>
      <c r="D82" s="62">
        <v>-0.025</v>
      </c>
      <c r="E82" s="62">
        <v>-1.376388</v>
      </c>
      <c r="F82" s="62">
        <v>-6.852926</v>
      </c>
      <c r="G82" s="44"/>
      <c r="H82" s="62">
        <v>-1.713358</v>
      </c>
      <c r="I82" s="40"/>
      <c r="J82" s="3"/>
      <c r="K82" s="3"/>
      <c r="L82" s="3"/>
    </row>
    <row r="83">
      <c r="A83" s="3"/>
      <c r="B83" s="46" t="s">
        <v>385</v>
      </c>
      <c r="C83" s="62">
        <v>6.14382</v>
      </c>
      <c r="D83" s="62">
        <v>17.245664</v>
      </c>
      <c r="E83" s="62">
        <v>18.752929</v>
      </c>
      <c r="F83" s="62">
        <v>18.752929</v>
      </c>
      <c r="G83" s="44"/>
      <c r="H83" s="62">
        <v>0</v>
      </c>
      <c r="I83" s="40"/>
      <c r="J83" s="3"/>
      <c r="K83" s="3"/>
      <c r="L83" s="3"/>
    </row>
    <row r="84">
      <c r="A84" s="3"/>
      <c r="B84" s="46" t="s">
        <v>386</v>
      </c>
      <c r="C84" s="62">
        <v>0.29777</v>
      </c>
      <c r="D84" s="62">
        <v>0.569322</v>
      </c>
      <c r="E84" s="62">
        <v>0.569322</v>
      </c>
      <c r="F84" s="62">
        <v>0.569322</v>
      </c>
      <c r="G84" s="44"/>
      <c r="H84" s="62">
        <v>0</v>
      </c>
      <c r="I84" s="40"/>
      <c r="J84" s="3"/>
      <c r="K84" s="3"/>
      <c r="L84" s="3"/>
    </row>
    <row r="85">
      <c r="A85" s="3"/>
      <c r="B85" s="46" t="s">
        <v>387</v>
      </c>
      <c r="C85" s="62">
        <v>-16.667926</v>
      </c>
      <c r="D85" s="62">
        <v>-27.175451</v>
      </c>
      <c r="E85" s="62">
        <v>-37.972332</v>
      </c>
      <c r="F85" s="62">
        <v>-52.356092</v>
      </c>
      <c r="G85" s="44"/>
      <c r="H85" s="62">
        <v>-10.797683</v>
      </c>
      <c r="I85" s="40"/>
      <c r="J85" s="3"/>
      <c r="K85" s="3"/>
      <c r="L85" s="3"/>
    </row>
    <row r="86">
      <c r="A86" s="3"/>
      <c r="B86" s="46" t="s">
        <v>388</v>
      </c>
      <c r="C86" s="62">
        <v>0</v>
      </c>
      <c r="D86" s="62">
        <v>0</v>
      </c>
      <c r="E86" s="62">
        <v>0</v>
      </c>
      <c r="F86" s="62">
        <v>-0.054314</v>
      </c>
      <c r="G86" s="44"/>
      <c r="H86" s="62">
        <v>0</v>
      </c>
      <c r="I86" s="40"/>
      <c r="J86" s="3"/>
      <c r="K86" s="3"/>
      <c r="L86" s="3"/>
    </row>
    <row r="87">
      <c r="A87" s="3"/>
      <c r="B87" s="46" t="s">
        <v>389</v>
      </c>
      <c r="C87" s="62">
        <v>-0.00208</v>
      </c>
      <c r="D87" s="62">
        <v>-0.022833</v>
      </c>
      <c r="E87" s="62">
        <v>-0.025857</v>
      </c>
      <c r="F87" s="62">
        <v>-0.025857</v>
      </c>
      <c r="G87" s="44"/>
      <c r="H87" s="62">
        <v>0</v>
      </c>
      <c r="I87" s="40"/>
      <c r="J87" s="3"/>
      <c r="K87" s="3"/>
      <c r="L87" s="3"/>
    </row>
    <row r="88">
      <c r="A88" s="3"/>
      <c r="B88" s="30" t="s">
        <v>390</v>
      </c>
      <c r="C88" s="64">
        <v>-12.728416</v>
      </c>
      <c r="D88" s="64">
        <v>-16.908298</v>
      </c>
      <c r="E88" s="64">
        <v>-39.552326</v>
      </c>
      <c r="F88" s="64">
        <v>-94.908438</v>
      </c>
      <c r="G88" s="68"/>
      <c r="H88" s="64">
        <v>64.988959</v>
      </c>
      <c r="I88" s="78"/>
      <c r="J88" s="3"/>
      <c r="K88" s="3"/>
      <c r="L88" s="3"/>
    </row>
    <row r="89">
      <c r="A89" s="3"/>
      <c r="B89" s="30" t="s">
        <v>391</v>
      </c>
      <c r="C89" s="76">
        <v>224.286725</v>
      </c>
      <c r="D89" s="76">
        <v>200.804707</v>
      </c>
      <c r="E89" s="76">
        <v>169.55821</v>
      </c>
      <c r="F89" s="76">
        <v>21.785753</v>
      </c>
      <c r="G89" s="52"/>
      <c r="H89" s="76">
        <v>60.808817</v>
      </c>
      <c r="I89" s="73"/>
      <c r="J89" s="3"/>
      <c r="K89" s="3"/>
      <c r="L89" s="3"/>
    </row>
    <row r="90">
      <c r="A90" s="3"/>
      <c r="B90" s="46" t="s">
        <v>392</v>
      </c>
      <c r="C90" s="62">
        <v>2.312153</v>
      </c>
      <c r="D90" s="62">
        <v>3.601941</v>
      </c>
      <c r="E90" s="62">
        <v>4.883827</v>
      </c>
      <c r="F90" s="62">
        <v>6.669817</v>
      </c>
      <c r="G90" s="44"/>
      <c r="H90" s="62">
        <v>1.386544</v>
      </c>
      <c r="I90" s="40"/>
      <c r="J90" s="3"/>
      <c r="K90" s="3"/>
      <c r="L90" s="3"/>
    </row>
    <row r="91">
      <c r="A91" s="3"/>
      <c r="B91" s="46" t="s">
        <v>393</v>
      </c>
      <c r="C91" s="44">
        <f>C90</f>
        <v>2.312153</v>
      </c>
      <c r="D91" s="44">
        <f>D90-C90</f>
        <v>1.2897880000000002</v>
      </c>
      <c r="E91" s="44">
        <f>E90-D90</f>
        <v>1.281886</v>
      </c>
      <c r="F91" s="44">
        <f>F90-E90</f>
        <v>1.78599</v>
      </c>
      <c r="G91" s="44">
        <f>SUM(C91:F91)</f>
        <v>6.669817</v>
      </c>
      <c r="H91" s="44">
        <f>H90</f>
        <v>1.386544</v>
      </c>
      <c r="I91" s="40"/>
      <c r="J91" s="3"/>
      <c r="K91" s="3"/>
      <c r="L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9" width="12" customWidth="1"/>
  </cols>
  <sheetData>
    <row r="1">
      <c r="A1" s="3"/>
      <c r="B1" s="17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23" t="s">
        <v>394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22" t="s">
        <v>63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72" t="s">
        <v>4</v>
      </c>
      <c r="J4" s="3"/>
      <c r="K4" s="3"/>
      <c r="L4" s="3"/>
    </row>
    <row r="5">
      <c r="A5" s="3"/>
      <c r="B5" s="14" t="s">
        <v>5</v>
      </c>
      <c r="C5" s="9">
        <v>45808</v>
      </c>
      <c r="D5" s="9">
        <v>45900</v>
      </c>
      <c r="E5" s="9">
        <v>45991</v>
      </c>
      <c r="F5" s="9">
        <v>46081</v>
      </c>
      <c r="G5" s="9">
        <v>46081</v>
      </c>
      <c r="H5" s="9">
        <v>46173</v>
      </c>
      <c r="I5" s="58">
        <v>46265</v>
      </c>
      <c r="J5" s="3"/>
      <c r="K5" s="3"/>
      <c r="L5" s="3"/>
    </row>
    <row r="6">
      <c r="A6" s="3"/>
      <c r="B6" s="21" t="s">
        <v>6</v>
      </c>
      <c r="C6" s="1">
        <f>C5-EOMONTH(C5,-3)</f>
        <v>92</v>
      </c>
      <c r="D6" s="1">
        <f>D5-EOMONTH(D5,-3)</f>
        <v>92</v>
      </c>
      <c r="E6" s="1">
        <f>E5-EOMONTH(E5,-3)</f>
        <v>91</v>
      </c>
      <c r="F6" s="1">
        <f>F5-EOMONTH(F5,-3)</f>
        <v>90</v>
      </c>
      <c r="G6" s="1">
        <f>G5-EOMONTH(G5,-12)</f>
        <v>365</v>
      </c>
      <c r="H6" s="1">
        <f>H5-EOMONTH(H5,-3)</f>
        <v>92</v>
      </c>
      <c r="I6" s="37">
        <f>I5-EOMONTH(I5,-3)</f>
        <v>92</v>
      </c>
      <c r="J6" s="3"/>
      <c r="K6" s="3"/>
      <c r="L6" s="3"/>
    </row>
    <row r="7">
      <c r="A7" s="3"/>
      <c r="B7" s="3"/>
      <c r="C7" s="3"/>
      <c r="D7" s="3"/>
      <c r="E7" s="3"/>
      <c r="F7" s="3"/>
      <c r="G7" s="3"/>
      <c r="H7" s="3"/>
      <c r="I7" s="67"/>
      <c r="J7" s="3"/>
      <c r="K7" s="3"/>
      <c r="L7" s="3"/>
    </row>
    <row r="8">
      <c r="A8" s="3"/>
      <c r="B8" s="30" t="s">
        <v>395</v>
      </c>
      <c r="C8" s="39"/>
      <c r="D8" s="39"/>
      <c r="E8" s="39"/>
      <c r="F8" s="39"/>
      <c r="G8" s="39"/>
      <c r="H8" s="39"/>
      <c r="I8" s="66"/>
      <c r="J8" s="3"/>
      <c r="K8" s="3"/>
      <c r="L8" s="3"/>
    </row>
    <row r="9">
      <c r="A9" s="3"/>
      <c r="B9" s="3" t="s">
        <v>396</v>
      </c>
      <c r="C9" s="55">
        <f>'Balance Sheet'!C94</f>
        <v>15.183078</v>
      </c>
      <c r="D9" s="43">
        <f>C10</f>
        <v>15.529391</v>
      </c>
      <c r="E9" s="43">
        <f>D10</f>
        <v>16.027312</v>
      </c>
      <c r="F9" s="43">
        <f>E10</f>
        <v>16.145398</v>
      </c>
      <c r="G9" s="43">
        <f>C9</f>
        <v>15.183078</v>
      </c>
      <c r="H9" s="43">
        <f>F10</f>
        <v>16.224198</v>
      </c>
      <c r="I9" s="51">
        <f>H10</f>
        <v>16.289025</v>
      </c>
      <c r="J9" s="3"/>
      <c r="K9" s="3"/>
      <c r="L9" s="3"/>
    </row>
    <row r="10">
      <c r="A10" s="3"/>
      <c r="B10" s="30" t="s">
        <v>397</v>
      </c>
      <c r="C10" s="38">
        <v>15.529391</v>
      </c>
      <c r="D10" s="38">
        <v>16.027312</v>
      </c>
      <c r="E10" s="38">
        <v>16.145398</v>
      </c>
      <c r="F10" s="38">
        <v>16.224198</v>
      </c>
      <c r="G10" s="48">
        <f>F10</f>
        <v>16.224198</v>
      </c>
      <c r="H10" s="38">
        <v>16.289025</v>
      </c>
      <c r="I10" s="69">
        <f>I25+I29+I30-I31</f>
        <v>16.366285497991967</v>
      </c>
      <c r="J10" s="3"/>
      <c r="K10" s="3"/>
      <c r="L10" s="3"/>
    </row>
    <row r="11">
      <c r="A11" s="3"/>
      <c r="B11" s="46" t="s">
        <v>398</v>
      </c>
      <c r="C11" s="43">
        <f>C10-C9</f>
        <v>0.3463130000000003</v>
      </c>
      <c r="D11" s="43">
        <f>D10-D9</f>
        <v>0.49792099999999806</v>
      </c>
      <c r="E11" s="43">
        <f>E10-E9</f>
        <v>0.11808600000000169</v>
      </c>
      <c r="F11" s="43">
        <f>F10-F9</f>
        <v>0.07880000000000109</v>
      </c>
      <c r="G11" s="43">
        <f>G10-G9</f>
        <v>1.0411200000000012</v>
      </c>
      <c r="H11" s="43">
        <f>H10-H9</f>
        <v>0.06482699999999753</v>
      </c>
      <c r="I11" s="51">
        <f>I10-I9</f>
        <v>0.07726049799196844</v>
      </c>
      <c r="J11" s="3"/>
      <c r="K11" s="3"/>
      <c r="L11" s="3"/>
    </row>
    <row r="12">
      <c r="A12" s="3"/>
      <c r="B12" s="49" t="s">
        <v>73</v>
      </c>
      <c r="C12" s="29" t="s">
        <v>39</v>
      </c>
      <c r="D12" s="29" t="s">
        <v>39</v>
      </c>
      <c r="E12" s="29" t="s">
        <v>39</v>
      </c>
      <c r="F12" s="29" t="s">
        <v>39</v>
      </c>
      <c r="G12" s="29" t="s">
        <v>39</v>
      </c>
      <c r="H12" s="29">
        <f>IFERROR(H10/C10-1,"n/a")</f>
        <v>0.04891589116405126</v>
      </c>
      <c r="I12" s="42">
        <f>IFERROR(I10/D10-1,"n/a")</f>
        <v>0.021149741016582846</v>
      </c>
      <c r="J12" s="3"/>
      <c r="K12" s="3"/>
      <c r="L12" s="3"/>
    </row>
    <row r="13">
      <c r="A13" s="3"/>
      <c r="B13" s="50" t="s">
        <v>399</v>
      </c>
      <c r="C13" s="43" t="s">
        <v>39</v>
      </c>
      <c r="D13" s="43">
        <f>IFERROR(D10-C10,"n/a")</f>
        <v>0.49792099999999806</v>
      </c>
      <c r="E13" s="43">
        <f>IFERROR(E10-D10,"n/a")</f>
        <v>0.11808600000000169</v>
      </c>
      <c r="F13" s="43">
        <f>IFERROR(F10-E10,"n/a")</f>
        <v>0.07880000000000109</v>
      </c>
      <c r="G13" s="43"/>
      <c r="H13" s="43">
        <f>IFERROR(H10-F10,"n/a")</f>
        <v>0.06482699999999753</v>
      </c>
      <c r="I13" s="51">
        <f>IFERROR(I10-H10,"n/a")</f>
        <v>0.07726049799196844</v>
      </c>
      <c r="J13" s="3"/>
      <c r="K13" s="3"/>
      <c r="L13" s="3"/>
    </row>
    <row r="14">
      <c r="A14" s="3"/>
      <c r="B14" s="30" t="s">
        <v>400</v>
      </c>
      <c r="C14" s="39"/>
      <c r="D14" s="39"/>
      <c r="E14" s="39"/>
      <c r="F14" s="39"/>
      <c r="G14" s="39"/>
      <c r="H14" s="39"/>
      <c r="I14" s="66"/>
      <c r="J14" s="3"/>
      <c r="K14" s="3"/>
      <c r="L14" s="3"/>
    </row>
    <row r="15">
      <c r="A15" s="3"/>
      <c r="B15" s="3" t="s">
        <v>401</v>
      </c>
      <c r="C15" s="28">
        <f>'Cash Flow Statement'!C41</f>
        <v>6.14382</v>
      </c>
      <c r="D15" s="28">
        <f>'Cash Flow Statement'!D41</f>
        <v>11.101844000000002</v>
      </c>
      <c r="E15" s="28">
        <f>'Cash Flow Statement'!E41</f>
        <v>1.5072650000000003</v>
      </c>
      <c r="F15" s="28">
        <f>'Cash Flow Statement'!F41</f>
        <v>0</v>
      </c>
      <c r="G15" s="44">
        <f>SUM(C15:F15)</f>
        <v>18.752929</v>
      </c>
      <c r="H15" s="28">
        <f>'Cash Flow Statement'!H41</f>
        <v>0</v>
      </c>
      <c r="I15" s="27">
        <f>'Cash Flow Statement'!I41</f>
        <v>0</v>
      </c>
      <c r="J15" s="3"/>
      <c r="K15" s="3"/>
      <c r="L15" s="3"/>
    </row>
    <row r="16">
      <c r="A16" s="3"/>
      <c r="B16" s="49" t="s">
        <v>73</v>
      </c>
      <c r="C16" s="29" t="s">
        <v>39</v>
      </c>
      <c r="D16" s="29" t="s">
        <v>39</v>
      </c>
      <c r="E16" s="29" t="s">
        <v>39</v>
      </c>
      <c r="F16" s="29" t="s">
        <v>39</v>
      </c>
      <c r="G16" s="29" t="s">
        <v>39</v>
      </c>
      <c r="H16" s="29">
        <f>IFERROR(H15/C15-1,"n/a")</f>
        <v>-1</v>
      </c>
      <c r="I16" s="42">
        <f>IFERROR(I15/D15-1,"n/a")</f>
        <v>-1</v>
      </c>
      <c r="J16" s="3"/>
      <c r="K16" s="3"/>
      <c r="L16" s="3"/>
    </row>
    <row r="17">
      <c r="A17" s="3"/>
      <c r="B17" s="50" t="s">
        <v>74</v>
      </c>
      <c r="C17" s="44" t="s">
        <v>39</v>
      </c>
      <c r="D17" s="44">
        <f>IFERROR(D15-C15,"n/a")</f>
        <v>4.958024000000002</v>
      </c>
      <c r="E17" s="44">
        <f>IFERROR(E15-D15,"n/a")</f>
        <v>-9.594579000000001</v>
      </c>
      <c r="F17" s="44">
        <f>IFERROR(F15-E15,"n/a")</f>
        <v>-1.5072650000000003</v>
      </c>
      <c r="G17" s="44"/>
      <c r="H17" s="44">
        <f>IFERROR(H15-F15,"n/a")</f>
        <v>0</v>
      </c>
      <c r="I17" s="40">
        <f>IFERROR(I15-H15,"n/a")</f>
        <v>0</v>
      </c>
      <c r="J17" s="3"/>
      <c r="K17" s="3"/>
      <c r="L17" s="3"/>
    </row>
    <row r="18">
      <c r="A18" s="3"/>
      <c r="B18" s="3" t="s">
        <v>402</v>
      </c>
      <c r="C18" s="28">
        <f>'Cash Flow Statement'!C91</f>
        <v>2.312153</v>
      </c>
      <c r="D18" s="28">
        <f>'Cash Flow Statement'!D91</f>
        <v>1.2897880000000002</v>
      </c>
      <c r="E18" s="28">
        <f>'Cash Flow Statement'!E91</f>
        <v>1.281886</v>
      </c>
      <c r="F18" s="28">
        <f>'Cash Flow Statement'!F91</f>
        <v>1.78599</v>
      </c>
      <c r="G18" s="44">
        <f>SUM(C18:F18)</f>
        <v>6.669817</v>
      </c>
      <c r="H18" s="28">
        <f>'Cash Flow Statement'!H91</f>
        <v>1.386544</v>
      </c>
      <c r="I18" s="40">
        <f>I36</f>
        <v>1.28252426666666</v>
      </c>
      <c r="J18" s="3"/>
      <c r="K18" s="3"/>
      <c r="L18" s="3"/>
    </row>
    <row r="19">
      <c r="A19" s="3"/>
      <c r="B19" s="49" t="s">
        <v>73</v>
      </c>
      <c r="C19" s="29" t="s">
        <v>39</v>
      </c>
      <c r="D19" s="29" t="s">
        <v>39</v>
      </c>
      <c r="E19" s="29" t="s">
        <v>39</v>
      </c>
      <c r="F19" s="29" t="s">
        <v>39</v>
      </c>
      <c r="G19" s="29" t="s">
        <v>39</v>
      </c>
      <c r="H19" s="29">
        <f>IFERROR(H18/C18-1,"n/a")</f>
        <v>-0.4003234215036807</v>
      </c>
      <c r="I19" s="42">
        <f>IFERROR(I18/D18-1,"n/a")</f>
        <v>-0.005631726557651429</v>
      </c>
      <c r="J19" s="3"/>
      <c r="K19" s="3"/>
      <c r="L19" s="3"/>
    </row>
    <row r="20">
      <c r="A20" s="3"/>
      <c r="B20" s="50" t="s">
        <v>74</v>
      </c>
      <c r="C20" s="44" t="s">
        <v>39</v>
      </c>
      <c r="D20" s="44">
        <f>IFERROR(D18-C18,"n/a")</f>
        <v>-1.0223649999999997</v>
      </c>
      <c r="E20" s="44">
        <f>IFERROR(E18-D18,"n/a")</f>
        <v>-0.007902000000000076</v>
      </c>
      <c r="F20" s="44">
        <f>IFERROR(F18-E18,"n/a")</f>
        <v>0.5041039999999999</v>
      </c>
      <c r="G20" s="44"/>
      <c r="H20" s="44">
        <f>IFERROR(H18-F18,"n/a")</f>
        <v>-0.39944599999999997</v>
      </c>
      <c r="I20" s="40">
        <f>IFERROR(I18-H18,"n/a")</f>
        <v>-0.10401973333333991</v>
      </c>
      <c r="J20" s="3"/>
      <c r="K20" s="3"/>
      <c r="L20" s="3"/>
    </row>
    <row r="21">
      <c r="A21" s="3"/>
      <c r="B21" s="3" t="s">
        <v>403</v>
      </c>
      <c r="C21" s="28">
        <f>-'Cash Flow Statement'!C44</f>
        <v>0</v>
      </c>
      <c r="D21" s="28">
        <f>-'Cash Flow Statement'!D44</f>
        <v>0</v>
      </c>
      <c r="E21" s="28">
        <f>-'Cash Flow Statement'!E44</f>
        <v>0</v>
      </c>
      <c r="F21" s="28">
        <f>-'Cash Flow Statement'!F44</f>
        <v>0.054314</v>
      </c>
      <c r="G21" s="44">
        <f>SUM(C21:F21)</f>
        <v>0.054314</v>
      </c>
      <c r="H21" s="28">
        <f>-'Cash Flow Statement'!H44</f>
        <v>0</v>
      </c>
      <c r="I21" s="27">
        <f>-'Cash Flow Statement'!I44</f>
        <v>0</v>
      </c>
      <c r="J21" s="3"/>
      <c r="K21" s="3"/>
      <c r="L21" s="3"/>
    </row>
    <row r="22">
      <c r="A22" s="3"/>
      <c r="B22" s="49" t="s">
        <v>73</v>
      </c>
      <c r="C22" s="29" t="s">
        <v>39</v>
      </c>
      <c r="D22" s="29" t="s">
        <v>39</v>
      </c>
      <c r="E22" s="29" t="s">
        <v>39</v>
      </c>
      <c r="F22" s="29" t="s">
        <v>39</v>
      </c>
      <c r="G22" s="29" t="s">
        <v>39</v>
      </c>
      <c r="H22" s="29" t="str">
        <f>IFERROR(H21/C21-1,"n/a")</f>
        <v>n/a</v>
      </c>
      <c r="I22" s="42" t="str">
        <f>IFERROR(I21/D21-1,"n/a")</f>
        <v>n/a</v>
      </c>
      <c r="J22" s="3"/>
      <c r="K22" s="3"/>
      <c r="L22" s="3"/>
    </row>
    <row r="23">
      <c r="A23" s="3"/>
      <c r="B23" s="50" t="s">
        <v>74</v>
      </c>
      <c r="C23" s="44" t="s">
        <v>39</v>
      </c>
      <c r="D23" s="44">
        <f>IFERROR(D21-C21,"n/a")</f>
        <v>0</v>
      </c>
      <c r="E23" s="44">
        <f>IFERROR(E21-D21,"n/a")</f>
        <v>0</v>
      </c>
      <c r="F23" s="44">
        <f>IFERROR(F21-E21,"n/a")</f>
        <v>0.054314</v>
      </c>
      <c r="G23" s="44"/>
      <c r="H23" s="44">
        <f>IFERROR(H21-F21,"n/a")</f>
        <v>-0.054314</v>
      </c>
      <c r="I23" s="40">
        <f>IFERROR(I21-H21,"n/a")</f>
        <v>0</v>
      </c>
      <c r="J23" s="3"/>
      <c r="K23" s="3"/>
      <c r="L23" s="3"/>
    </row>
    <row r="24">
      <c r="A24" s="3"/>
      <c r="B24" s="30" t="s">
        <v>404</v>
      </c>
      <c r="C24" s="39"/>
      <c r="D24" s="39"/>
      <c r="E24" s="39"/>
      <c r="F24" s="39"/>
      <c r="G24" s="39"/>
      <c r="H24" s="39"/>
      <c r="I24" s="66"/>
      <c r="J24" s="3"/>
      <c r="K24" s="3"/>
      <c r="L24" s="3"/>
    </row>
    <row r="25">
      <c r="A25" s="3"/>
      <c r="B25" s="3" t="s">
        <v>405</v>
      </c>
      <c r="C25" s="43"/>
      <c r="D25" s="43"/>
      <c r="E25" s="43"/>
      <c r="F25" s="43"/>
      <c r="G25" s="43"/>
      <c r="H25" s="43"/>
      <c r="I25" s="70">
        <v>16.310601</v>
      </c>
      <c r="J25" s="3"/>
      <c r="K25" s="3"/>
      <c r="L25" s="3"/>
    </row>
    <row r="26">
      <c r="A26" s="3"/>
      <c r="B26" s="3" t="s">
        <v>406</v>
      </c>
      <c r="C26" s="43"/>
      <c r="D26" s="43"/>
      <c r="E26" s="43"/>
      <c r="F26" s="43"/>
      <c r="G26" s="43"/>
      <c r="H26" s="43"/>
      <c r="I26" s="51">
        <f>I25-H10</f>
        <v>0.021575999999999596</v>
      </c>
      <c r="J26" s="3"/>
      <c r="K26" s="3"/>
      <c r="L26" s="3"/>
    </row>
    <row r="27">
      <c r="A27" s="3"/>
      <c r="B27" s="3" t="s">
        <v>407</v>
      </c>
      <c r="C27" s="44"/>
      <c r="D27" s="44"/>
      <c r="E27" s="44"/>
      <c r="F27" s="44"/>
      <c r="G27" s="44"/>
      <c r="H27" s="44"/>
      <c r="I27" s="40">
        <f>H18/3</f>
        <v>0.46218133333333333</v>
      </c>
      <c r="J27" s="3"/>
      <c r="K27" s="3"/>
      <c r="L27" s="3"/>
    </row>
    <row r="28">
      <c r="A28" s="3"/>
      <c r="B28" s="3" t="s">
        <v>408</v>
      </c>
      <c r="C28" s="4"/>
      <c r="D28" s="4"/>
      <c r="E28" s="4"/>
      <c r="F28" s="4"/>
      <c r="G28" s="4"/>
      <c r="H28" s="4"/>
      <c r="I28" s="77">
        <v>16.6</v>
      </c>
      <c r="J28" s="3"/>
      <c r="K28" s="3"/>
      <c r="L28" s="3"/>
    </row>
    <row r="29">
      <c r="A29" s="3"/>
      <c r="B29" s="3" t="s">
        <v>409</v>
      </c>
      <c r="C29" s="43"/>
      <c r="D29" s="43"/>
      <c r="E29" s="43"/>
      <c r="F29" s="43"/>
      <c r="G29" s="43"/>
      <c r="H29" s="43"/>
      <c r="I29" s="51">
        <f>I27/I28</f>
        <v>0.027842248995983934</v>
      </c>
      <c r="J29" s="3"/>
      <c r="K29" s="3"/>
      <c r="L29" s="3"/>
    </row>
    <row r="30">
      <c r="A30" s="3"/>
      <c r="B30" s="3" t="s">
        <v>410</v>
      </c>
      <c r="C30" s="43"/>
      <c r="D30" s="43"/>
      <c r="E30" s="43"/>
      <c r="F30" s="43"/>
      <c r="G30" s="43"/>
      <c r="H30" s="43"/>
      <c r="I30" s="51">
        <f>I27/I28</f>
        <v>0.027842248995983934</v>
      </c>
      <c r="J30" s="3"/>
      <c r="K30" s="3"/>
      <c r="L30" s="3"/>
    </row>
    <row r="31">
      <c r="A31" s="3"/>
      <c r="B31" s="3" t="s">
        <v>411</v>
      </c>
      <c r="C31" s="43"/>
      <c r="D31" s="43"/>
      <c r="E31" s="43"/>
      <c r="F31" s="43"/>
      <c r="G31" s="43"/>
      <c r="H31" s="43"/>
      <c r="I31" s="51">
        <f>I21/I48</f>
        <v>0</v>
      </c>
      <c r="J31" s="3"/>
      <c r="K31" s="3"/>
      <c r="L31" s="3"/>
    </row>
    <row r="32">
      <c r="A32" s="3"/>
      <c r="B32" s="3" t="s">
        <v>412</v>
      </c>
      <c r="C32" s="41"/>
      <c r="D32" s="41"/>
      <c r="E32" s="41"/>
      <c r="F32" s="41"/>
      <c r="G32" s="41"/>
      <c r="H32" s="41"/>
      <c r="I32" s="56">
        <v>70</v>
      </c>
      <c r="J32" s="3"/>
      <c r="K32" s="3"/>
      <c r="L32" s="3"/>
    </row>
    <row r="33">
      <c r="A33" s="3"/>
      <c r="B33" s="3" t="s">
        <v>413</v>
      </c>
      <c r="C33" s="41"/>
      <c r="D33" s="41"/>
      <c r="E33" s="41"/>
      <c r="F33" s="41"/>
      <c r="G33" s="41"/>
      <c r="H33" s="41"/>
      <c r="I33" s="56">
        <v>40</v>
      </c>
      <c r="J33" s="3"/>
      <c r="K33" s="3"/>
      <c r="L33" s="3"/>
    </row>
    <row r="34">
      <c r="A34" s="3"/>
      <c r="B34" s="3" t="s">
        <v>414</v>
      </c>
      <c r="C34" s="41"/>
      <c r="D34" s="41"/>
      <c r="E34" s="41"/>
      <c r="F34" s="41"/>
      <c r="G34" s="41"/>
      <c r="H34" s="41"/>
      <c r="I34" s="56">
        <v>7</v>
      </c>
      <c r="J34" s="3"/>
      <c r="K34" s="3"/>
      <c r="L34" s="3"/>
    </row>
    <row r="35">
      <c r="A35" s="3"/>
      <c r="B35" s="3" t="s">
        <v>6</v>
      </c>
      <c r="C35" s="41">
        <f>C6</f>
        <v>92</v>
      </c>
      <c r="D35" s="41">
        <f>D6</f>
        <v>92</v>
      </c>
      <c r="E35" s="41">
        <f>E6</f>
        <v>91</v>
      </c>
      <c r="F35" s="41">
        <f>F6</f>
        <v>90</v>
      </c>
      <c r="G35" s="41">
        <f>G6</f>
        <v>365</v>
      </c>
      <c r="H35" s="41">
        <f>H6</f>
        <v>92</v>
      </c>
      <c r="I35" s="71">
        <f>I6</f>
        <v>92</v>
      </c>
      <c r="J35" s="3"/>
      <c r="K35" s="3"/>
      <c r="L35" s="3"/>
    </row>
    <row r="36">
      <c r="A36" s="3"/>
      <c r="B36" s="3" t="s">
        <v>415</v>
      </c>
      <c r="C36" s="44"/>
      <c r="D36" s="44"/>
      <c r="E36" s="44"/>
      <c r="F36" s="44"/>
      <c r="G36" s="44"/>
      <c r="H36" s="44"/>
      <c r="I36" s="40">
        <f>(I26+I29+I30)*I28</f>
        <v>1.28252426666666</v>
      </c>
      <c r="J36" s="3"/>
      <c r="K36" s="3"/>
      <c r="L36" s="3"/>
    </row>
    <row r="37">
      <c r="A37" s="3"/>
      <c r="B37" s="30" t="s">
        <v>416</v>
      </c>
      <c r="C37" s="39"/>
      <c r="D37" s="39"/>
      <c r="E37" s="39"/>
      <c r="F37" s="39"/>
      <c r="G37" s="39"/>
      <c r="H37" s="39"/>
      <c r="I37" s="66"/>
      <c r="J37" s="3"/>
      <c r="K37" s="3"/>
      <c r="L37" s="3"/>
    </row>
    <row r="38">
      <c r="A38" s="3"/>
      <c r="B38" s="30" t="s">
        <v>417</v>
      </c>
      <c r="C38" s="38">
        <v>15.34451</v>
      </c>
      <c r="D38" s="38">
        <v>15.775387</v>
      </c>
      <c r="E38" s="38">
        <v>16.108862</v>
      </c>
      <c r="F38" s="38">
        <v>16.183902</v>
      </c>
      <c r="G38" s="38">
        <v>15.85027</v>
      </c>
      <c r="H38" s="38">
        <v>16.252548</v>
      </c>
      <c r="I38" s="69">
        <f>H10+I26*I32/I35+I29*I33/I35+I30*I34/I35</f>
        <v>16.319665279378384</v>
      </c>
      <c r="J38" s="3"/>
      <c r="K38" s="3"/>
      <c r="L38" s="3"/>
    </row>
    <row r="39">
      <c r="A39" s="3"/>
      <c r="B39" s="49" t="s">
        <v>73</v>
      </c>
      <c r="C39" s="29" t="s">
        <v>39</v>
      </c>
      <c r="D39" s="29" t="s">
        <v>39</v>
      </c>
      <c r="E39" s="29" t="s">
        <v>39</v>
      </c>
      <c r="F39" s="29" t="s">
        <v>39</v>
      </c>
      <c r="G39" s="29" t="s">
        <v>39</v>
      </c>
      <c r="H39" s="29">
        <f>IFERROR(H38/C38-1,"n/a")</f>
        <v>0.059176734871299264</v>
      </c>
      <c r="I39" s="42">
        <f>IFERROR(I38/D38-1,"n/a")</f>
        <v>0.03450173865011252</v>
      </c>
      <c r="J39" s="3"/>
      <c r="K39" s="3"/>
      <c r="L39" s="3"/>
    </row>
    <row r="40">
      <c r="A40" s="3"/>
      <c r="B40" s="50" t="s">
        <v>399</v>
      </c>
      <c r="C40" s="43" t="s">
        <v>39</v>
      </c>
      <c r="D40" s="43">
        <f>IFERROR(D38-C38,"n/a")</f>
        <v>0.4308770000000006</v>
      </c>
      <c r="E40" s="43">
        <f>IFERROR(E38-D38,"n/a")</f>
        <v>0.3334749999999982</v>
      </c>
      <c r="F40" s="43">
        <f>IFERROR(F38-E38,"n/a")</f>
        <v>0.07504000000000133</v>
      </c>
      <c r="G40" s="43"/>
      <c r="H40" s="43">
        <f>IFERROR(H38-F38,"n/a")</f>
        <v>0.0686460000000011</v>
      </c>
      <c r="I40" s="51">
        <f>IFERROR(I38-H38,"n/a")</f>
        <v>0.06711727937838319</v>
      </c>
      <c r="J40" s="3"/>
      <c r="K40" s="3"/>
      <c r="L40" s="3"/>
    </row>
    <row r="41">
      <c r="A41" s="3"/>
      <c r="B41" s="30" t="s">
        <v>418</v>
      </c>
      <c r="C41" s="48">
        <f>C38</f>
        <v>15.34451</v>
      </c>
      <c r="D41" s="48">
        <f>D38</f>
        <v>15.775387</v>
      </c>
      <c r="E41" s="48">
        <f>E38</f>
        <v>16.108862</v>
      </c>
      <c r="F41" s="48">
        <f>F38</f>
        <v>16.183902</v>
      </c>
      <c r="G41" s="48">
        <f>G38</f>
        <v>15.85027</v>
      </c>
      <c r="H41" s="48">
        <f>H38</f>
        <v>16.252548</v>
      </c>
      <c r="I41" s="69">
        <f>I38</f>
        <v>16.319665279378384</v>
      </c>
      <c r="J41" s="3"/>
      <c r="K41" s="3"/>
      <c r="L41" s="3"/>
    </row>
    <row r="42">
      <c r="A42" s="3"/>
      <c r="B42" s="30" t="s">
        <v>419</v>
      </c>
      <c r="C42" s="48"/>
      <c r="D42" s="48"/>
      <c r="E42" s="48"/>
      <c r="F42" s="48"/>
      <c r="G42" s="48"/>
      <c r="H42" s="48"/>
      <c r="I42" s="69">
        <f>I41</f>
        <v>16.319665279378384</v>
      </c>
      <c r="J42" s="3"/>
      <c r="K42" s="3"/>
      <c r="L42" s="3"/>
    </row>
    <row r="43">
      <c r="A43" s="3"/>
      <c r="B43" s="30" t="s">
        <v>420</v>
      </c>
      <c r="C43" s="39"/>
      <c r="D43" s="39"/>
      <c r="E43" s="39"/>
      <c r="F43" s="39"/>
      <c r="G43" s="39"/>
      <c r="H43" s="39"/>
      <c r="I43" s="66"/>
      <c r="J43" s="3"/>
      <c r="K43" s="3"/>
      <c r="L43" s="3"/>
    </row>
    <row r="44">
      <c r="A44" s="3"/>
      <c r="B44" s="3" t="s">
        <v>421</v>
      </c>
      <c r="C44" s="5">
        <f>'Income Statement'!C89</f>
        <v>0.75</v>
      </c>
      <c r="D44" s="5">
        <f>'Income Statement'!D89</f>
        <v>0.75</v>
      </c>
      <c r="E44" s="5">
        <f>'Income Statement'!E89</f>
        <v>1</v>
      </c>
      <c r="F44" s="5">
        <f>'Income Statement'!F89</f>
        <v>0.75</v>
      </c>
      <c r="G44" s="5">
        <f>'Income Statement'!G89</f>
        <v>3.25</v>
      </c>
      <c r="H44" s="5">
        <f>'Income Statement'!H89</f>
        <v>0.75</v>
      </c>
      <c r="I44" s="33">
        <f>'Income Statement'!I89</f>
        <v>0.75</v>
      </c>
      <c r="J44" s="3"/>
      <c r="K44" s="3"/>
      <c r="L44" s="3"/>
    </row>
    <row r="45">
      <c r="A45" s="3"/>
      <c r="B45" s="3" t="s">
        <v>422</v>
      </c>
      <c r="C45" s="28">
        <f>'Income Statement'!C52-('Balance Sheet'!C76-'Balance Sheet'!C92)+(('Balance Sheet'!C73+'Balance Sheet'!C74)-'Balance Sheet'!C93)</f>
        <v>18.98007899999996</v>
      </c>
      <c r="D45" s="28">
        <f>'Income Statement'!D52-('Balance Sheet'!D76-'Balance Sheet'!C76)+(('Balance Sheet'!D73+'Balance Sheet'!D74)-('Balance Sheet'!C73+'Balance Sheet'!C74))</f>
        <v>11.797313000000004</v>
      </c>
      <c r="E45" s="28">
        <f>'Income Statement'!E52-('Balance Sheet'!E76-'Balance Sheet'!D76)+(('Balance Sheet'!E73+'Balance Sheet'!E74)-('Balance Sheet'!D73+'Balance Sheet'!D74))</f>
        <v>12.078766999999983</v>
      </c>
      <c r="F45" s="28">
        <f>'Income Statement'!F52-('Balance Sheet'!F76-'Balance Sheet'!E76)+(('Balance Sheet'!F73+'Balance Sheet'!F74)-('Balance Sheet'!E73+'Balance Sheet'!E74))</f>
        <v>16.547774000000015</v>
      </c>
      <c r="G45" s="44">
        <f>SUM(C45:F45)</f>
        <v>59.40393299999997</v>
      </c>
      <c r="H45" s="28">
        <f>'Income Statement'!H52-('Balance Sheet'!H76-'Balance Sheet'!F76)+(('Balance Sheet'!H73+'Balance Sheet'!H74)-('Balance Sheet'!F73+'Balance Sheet'!F74))</f>
        <v>12.184226999999986</v>
      </c>
      <c r="I45" s="40">
        <f>I44/3*(H10+I25+I25+I29)</f>
        <v>12.234517312248995</v>
      </c>
      <c r="J45" s="3"/>
      <c r="K45" s="3"/>
      <c r="L45" s="3"/>
    </row>
    <row r="46">
      <c r="A46" s="3"/>
      <c r="B46" s="3" t="s">
        <v>423</v>
      </c>
      <c r="C46" s="28">
        <f>-'Cash Flow Statement'!C43</f>
        <v>16.667926</v>
      </c>
      <c r="D46" s="28">
        <f>-'Cash Flow Statement'!D43</f>
        <v>10.507524999999998</v>
      </c>
      <c r="E46" s="28">
        <f>-'Cash Flow Statement'!E43</f>
        <v>10.796881000000003</v>
      </c>
      <c r="F46" s="28">
        <f>-'Cash Flow Statement'!F43</f>
        <v>14.383759999999995</v>
      </c>
      <c r="G46" s="44">
        <f>SUM(C46:F46)</f>
        <v>52.356092</v>
      </c>
      <c r="H46" s="28">
        <f>-'Cash Flow Statement'!H43</f>
        <v>10.797683</v>
      </c>
      <c r="I46" s="40">
        <f>I45-I36</f>
        <v>10.951993045582334</v>
      </c>
      <c r="J46" s="3"/>
      <c r="K46" s="3"/>
      <c r="L46" s="3"/>
    </row>
    <row r="47">
      <c r="A47" s="3"/>
      <c r="B47" s="30" t="s">
        <v>424</v>
      </c>
      <c r="C47" s="39"/>
      <c r="D47" s="39"/>
      <c r="E47" s="39"/>
      <c r="F47" s="39"/>
      <c r="G47" s="39"/>
      <c r="H47" s="39"/>
      <c r="I47" s="66"/>
      <c r="J47" s="3"/>
      <c r="K47" s="3"/>
      <c r="L47" s="3"/>
    </row>
    <row r="48">
      <c r="A48" s="3"/>
      <c r="B48" s="3" t="s">
        <v>425</v>
      </c>
      <c r="C48" s="4"/>
      <c r="D48" s="4"/>
      <c r="E48" s="4"/>
      <c r="F48" s="4"/>
      <c r="G48" s="4"/>
      <c r="H48" s="4"/>
      <c r="I48" s="33">
        <f>Inputs!C90</f>
        <v>16.48</v>
      </c>
      <c r="J48" s="3"/>
      <c r="K48" s="3"/>
      <c r="L48" s="3"/>
    </row>
    <row r="49">
      <c r="A49" s="3"/>
      <c r="B49" s="3" t="s">
        <v>426</v>
      </c>
      <c r="C49" s="43"/>
      <c r="D49" s="43"/>
      <c r="E49" s="43"/>
      <c r="F49" s="43"/>
      <c r="G49" s="43"/>
      <c r="H49" s="43"/>
      <c r="I49" s="51">
        <f>I25</f>
        <v>16.310601</v>
      </c>
      <c r="J49" s="3"/>
      <c r="K49" s="3"/>
      <c r="L49" s="3"/>
    </row>
    <row r="50">
      <c r="A50" s="3"/>
      <c r="B50" s="30" t="s">
        <v>427</v>
      </c>
      <c r="C50" s="52"/>
      <c r="D50" s="52"/>
      <c r="E50" s="52"/>
      <c r="F50" s="52"/>
      <c r="G50" s="52"/>
      <c r="H50" s="52"/>
      <c r="I50" s="73">
        <f>I48*I49</f>
        <v>268.79870447999997</v>
      </c>
      <c r="J50" s="3"/>
      <c r="K50" s="3"/>
      <c r="L50" s="3"/>
    </row>
    <row r="51">
      <c r="A51" s="3"/>
      <c r="B51" s="6" t="s">
        <v>428</v>
      </c>
      <c r="C51" s="54"/>
      <c r="D51" s="54"/>
      <c r="E51" s="54"/>
      <c r="F51" s="54"/>
      <c r="G51" s="54"/>
      <c r="H51" s="54"/>
      <c r="I51" s="57">
        <f>I48/'Balance Sheet'!H79</f>
        <v>0.7093132916493593</v>
      </c>
      <c r="J51" s="3"/>
      <c r="K51" s="3"/>
      <c r="L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3"/>
  <sheetViews>
    <sheetView showGridLines="0" workbookViewId="0"/>
  </sheetViews>
  <sheetFormatPr defaultColWidth="8.42578125" defaultRowHeight="15"/>
  <cols>
    <col min="1" max="1" width="2" customWidth="1"/>
    <col min="2" max="2" width="12" customWidth="1"/>
    <col min="3" max="3" width="11" customWidth="1"/>
    <col min="4" max="4" width="45" customWidth="1"/>
    <col min="5" max="8" width="10" customWidth="1"/>
    <col min="9" max="9" width="16" customWidth="1"/>
    <col min="10" max="10" width="11" customWidth="1"/>
    <col min="11" max="11" width="13" customWidth="1"/>
    <col min="12" max="12" width="8" customWidth="1"/>
  </cols>
  <sheetData>
    <row r="1">
      <c r="A1" s="3"/>
      <c r="B1" s="17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23" t="s">
        <v>429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22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>
      <c r="A5" s="3"/>
      <c r="B5" s="14" t="s">
        <v>5</v>
      </c>
      <c r="C5" s="9">
        <v>46265</v>
      </c>
      <c r="D5" s="9"/>
      <c r="E5" s="9"/>
      <c r="F5" s="9"/>
      <c r="G5" s="9"/>
      <c r="H5" s="9"/>
      <c r="I5" s="9"/>
      <c r="J5" s="9"/>
      <c r="K5" s="9"/>
      <c r="L5" s="9"/>
    </row>
    <row r="6">
      <c r="A6" s="3"/>
      <c r="B6" s="21" t="s">
        <v>6</v>
      </c>
      <c r="C6" s="1">
        <f>C5-EOMONTH(C5,-3)</f>
        <v>92</v>
      </c>
      <c r="D6" s="1"/>
      <c r="E6" s="1"/>
      <c r="F6" s="1"/>
      <c r="G6" s="1"/>
      <c r="H6" s="1"/>
      <c r="I6" s="1"/>
      <c r="J6" s="1"/>
      <c r="K6" s="1"/>
      <c r="L6" s="1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>
      <c r="A8" s="3"/>
      <c r="B8" s="114" t="s">
        <v>430</v>
      </c>
      <c r="C8" s="114" t="s">
        <v>63</v>
      </c>
      <c r="D8" s="124" t="s">
        <v>431</v>
      </c>
      <c r="E8" s="15" t="s">
        <v>432</v>
      </c>
      <c r="F8" s="15" t="s">
        <v>433</v>
      </c>
      <c r="G8" s="15" t="s">
        <v>434</v>
      </c>
      <c r="H8" s="15" t="s">
        <v>435</v>
      </c>
      <c r="I8" s="15" t="s">
        <v>436</v>
      </c>
      <c r="J8" s="15" t="s">
        <v>437</v>
      </c>
      <c r="K8" s="15" t="s">
        <v>438</v>
      </c>
      <c r="L8" s="124" t="s">
        <v>439</v>
      </c>
    </row>
    <row r="9">
      <c r="A9" s="3"/>
      <c r="B9" s="115" t="s">
        <v>440</v>
      </c>
      <c r="C9" s="115" t="s">
        <v>441</v>
      </c>
      <c r="D9" s="122" t="s">
        <v>442</v>
      </c>
      <c r="E9" s="8">
        <v>0.75</v>
      </c>
      <c r="F9" s="8">
        <v>0.75</v>
      </c>
      <c r="G9" s="4">
        <f>AVERAGE(E9:F9)</f>
        <v>0.75</v>
      </c>
      <c r="H9" s="8">
        <v>0.75</v>
      </c>
      <c r="I9" s="126" t="str">
        <f>IF(ISNUMBER(H9),IF(H9&gt;G9,"Above",IF(H9&lt;G9,"Below","Equal")),"n/a")</f>
        <v>Equal</v>
      </c>
      <c r="J9" s="5">
        <f>'Income Statement'!C83</f>
        <v>0.6609550907783959</v>
      </c>
      <c r="K9" s="16">
        <f>J9/G9</f>
        <v>0.8812734543711945</v>
      </c>
      <c r="L9" s="122" t="s">
        <v>443</v>
      </c>
    </row>
    <row r="10">
      <c r="A10" s="3"/>
      <c r="B10" s="113">
        <v>45820</v>
      </c>
      <c r="C10" s="115" t="s">
        <v>444</v>
      </c>
      <c r="D10" s="122" t="s">
        <v>442</v>
      </c>
      <c r="E10" s="8">
        <v>0.75</v>
      </c>
      <c r="F10" s="8">
        <v>0.75</v>
      </c>
      <c r="G10" s="4">
        <f>AVERAGE(E10:F10)</f>
        <v>0.75</v>
      </c>
      <c r="H10" s="8">
        <v>0.75</v>
      </c>
      <c r="I10" s="126" t="str">
        <f>IF(ISNUMBER(H10),IF(H10&gt;G10,"Above",IF(H10&lt;G10,"Below","Equal")),"n/a")</f>
        <v>Equal</v>
      </c>
      <c r="J10" s="5">
        <f>'Income Statement'!D83</f>
        <v>0.5756266391436228</v>
      </c>
      <c r="K10" s="16">
        <f>J10/G10</f>
        <v>0.7675021855248304</v>
      </c>
      <c r="L10" s="122" t="s">
        <v>445</v>
      </c>
    </row>
    <row r="11">
      <c r="A11" s="3"/>
      <c r="B11" s="113">
        <v>45911</v>
      </c>
      <c r="C11" s="115" t="s">
        <v>446</v>
      </c>
      <c r="D11" s="122" t="s">
        <v>442</v>
      </c>
      <c r="E11" s="8">
        <v>0.75</v>
      </c>
      <c r="F11" s="8">
        <v>0.75</v>
      </c>
      <c r="G11" s="4">
        <f>AVERAGE(E11:F11)</f>
        <v>0.75</v>
      </c>
      <c r="H11" s="8">
        <v>0.75</v>
      </c>
      <c r="I11" s="126" t="str">
        <f>IF(ISNUMBER(H11),IF(H11&gt;G11,"Above",IF(H11&lt;G11,"Below","Equal")),"n/a")</f>
        <v>Equal</v>
      </c>
      <c r="J11" s="5">
        <f>'Income Statement'!E83</f>
        <v>0.6075156643591583</v>
      </c>
      <c r="K11" s="16">
        <f>J11/G11</f>
        <v>0.810020885812211</v>
      </c>
      <c r="L11" s="122" t="s">
        <v>447</v>
      </c>
    </row>
    <row r="12">
      <c r="A12" s="3"/>
      <c r="B12" s="113">
        <v>45973</v>
      </c>
      <c r="C12" s="115" t="s">
        <v>446</v>
      </c>
      <c r="D12" s="122" t="s">
        <v>448</v>
      </c>
      <c r="E12" s="8">
        <v>0.25</v>
      </c>
      <c r="F12" s="8">
        <v>0.25</v>
      </c>
      <c r="G12" s="4">
        <f>AVERAGE(E12:F12)</f>
        <v>0.25</v>
      </c>
      <c r="H12" s="8">
        <v>0.25</v>
      </c>
      <c r="I12" s="126" t="str">
        <f>IF(ISNUMBER(H12),IF(H12&gt;G12,"Above",IF(H12&lt;G12,"Below","Equal")),"n/a")</f>
        <v>Equal</v>
      </c>
      <c r="J12" s="4" t="s">
        <v>39</v>
      </c>
      <c r="K12" s="16" t="s">
        <v>39</v>
      </c>
      <c r="L12" s="122" t="s">
        <v>447</v>
      </c>
    </row>
    <row r="13">
      <c r="A13" s="3"/>
      <c r="B13" s="113">
        <v>46002</v>
      </c>
      <c r="C13" s="115" t="s">
        <v>449</v>
      </c>
      <c r="D13" s="122" t="s">
        <v>442</v>
      </c>
      <c r="E13" s="8">
        <v>0.75</v>
      </c>
      <c r="F13" s="8">
        <v>0.75</v>
      </c>
      <c r="G13" s="4">
        <f>AVERAGE(E13:F13)</f>
        <v>0.75</v>
      </c>
      <c r="H13" s="8">
        <v>0.75</v>
      </c>
      <c r="I13" s="126" t="str">
        <f>IF(ISNUMBER(H13),IF(H13&gt;G13,"Above",IF(H13&lt;G13,"Below","Equal")),"n/a")</f>
        <v>Equal</v>
      </c>
      <c r="J13" s="5">
        <f>'Income Statement'!F83</f>
        <v>0.5274257098195476</v>
      </c>
      <c r="K13" s="16">
        <f>J13/G13</f>
        <v>0.7032342797593968</v>
      </c>
      <c r="L13" s="122" t="s">
        <v>450</v>
      </c>
    </row>
    <row r="14">
      <c r="A14" s="3"/>
      <c r="B14" s="113">
        <v>46098</v>
      </c>
      <c r="C14" s="115" t="s">
        <v>451</v>
      </c>
      <c r="D14" s="122" t="s">
        <v>442</v>
      </c>
      <c r="E14" s="8">
        <v>0.75</v>
      </c>
      <c r="F14" s="8">
        <v>0.75</v>
      </c>
      <c r="G14" s="4">
        <f>AVERAGE(E14:F14)</f>
        <v>0.75</v>
      </c>
      <c r="H14" s="8">
        <v>0.75</v>
      </c>
      <c r="I14" s="126" t="str">
        <f>IF(ISNUMBER(H14),IF(H14&gt;G14,"Above",IF(H14&lt;G14,"Below","Equal")),"n/a")</f>
        <v>Equal</v>
      </c>
      <c r="J14" s="5">
        <f>'Income Statement'!H83</f>
        <v>0.46718748346413125</v>
      </c>
      <c r="K14" s="16">
        <f>J14/G14</f>
        <v>0.6229166446188417</v>
      </c>
      <c r="L14" s="122" t="s">
        <v>450</v>
      </c>
    </row>
    <row r="15">
      <c r="A15" s="3"/>
      <c r="B15" s="113">
        <v>46184</v>
      </c>
      <c r="C15" s="115" t="s">
        <v>452</v>
      </c>
      <c r="D15" s="122" t="s">
        <v>442</v>
      </c>
      <c r="E15" s="8">
        <v>0.75</v>
      </c>
      <c r="F15" s="8">
        <v>0.75</v>
      </c>
      <c r="G15" s="4">
        <f>AVERAGE(E15:F15)</f>
        <v>0.75</v>
      </c>
      <c r="H15" s="8">
        <v>0.75</v>
      </c>
      <c r="I15" s="126" t="str">
        <f>IF(ISNUMBER(H15),IF(H15&gt;G15,"Above",IF(H15&lt;G15,"Below","Equal")),"n/a")</f>
        <v>Equal</v>
      </c>
      <c r="J15" s="5">
        <f>'Income Statement'!I83</f>
        <v>0.4728513138647137</v>
      </c>
      <c r="K15" s="16">
        <f>J15/G15</f>
        <v>0.6304684184862849</v>
      </c>
      <c r="L15" s="122" t="s">
        <v>453</v>
      </c>
    </row>
    <row r="16">
      <c r="A16" s="3"/>
      <c r="B16" s="113">
        <v>46274</v>
      </c>
      <c r="C16" s="115" t="s">
        <v>454</v>
      </c>
      <c r="D16" s="122" t="s">
        <v>442</v>
      </c>
      <c r="E16" s="8">
        <v>0.75</v>
      </c>
      <c r="F16" s="8">
        <v>0.75</v>
      </c>
      <c r="G16" s="4">
        <f>AVERAGE(E16:F16)</f>
        <v>0.75</v>
      </c>
      <c r="H16" s="4" t="s">
        <v>39</v>
      </c>
      <c r="I16" s="126" t="str">
        <f>IF(ISNUMBER(H16),IF(H16&gt;G16,"Above",IF(H16&lt;G16,"Below","Equal")),"n/a")</f>
        <v>n/a</v>
      </c>
      <c r="J16" s="4" t="s">
        <v>39</v>
      </c>
      <c r="K16" s="16" t="s">
        <v>39</v>
      </c>
      <c r="L16" s="122" t="s">
        <v>455</v>
      </c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>
      <c r="A18" s="3"/>
      <c r="B18" s="6" t="s">
        <v>456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>
      <c r="A19" s="3"/>
      <c r="B19" s="6" t="s">
        <v>457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>
      <c r="A20" s="3"/>
      <c r="B20" s="6" t="s">
        <v>458</v>
      </c>
      <c r="C20" s="3"/>
      <c r="D20" s="3"/>
      <c r="E20" s="3"/>
      <c r="F20" s="3"/>
      <c r="G20" s="3"/>
      <c r="H20" s="3"/>
      <c r="I20" s="3"/>
      <c r="J20" s="3"/>
      <c r="K20" s="3"/>
      <c r="L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L41"/>
  <sheetViews>
    <sheetView showGridLines="0" workbookViewId="0"/>
  </sheetViews>
  <sheetFormatPr defaultColWidth="8.42578125" defaultRowHeight="15"/>
  <cols>
    <col min="1" max="1" width="2" customWidth="1"/>
    <col min="2" max="3" width="14" customWidth="1"/>
    <col min="4" max="4" width="19" customWidth="1"/>
    <col min="5" max="5" width="24" customWidth="1"/>
    <col min="6" max="6" width="44" customWidth="1"/>
    <col min="7" max="7" width="48" customWidth="1"/>
    <col min="8" max="8" width="30" customWidth="1"/>
  </cols>
  <sheetData>
    <row r="1">
      <c r="A1" s="3"/>
      <c r="B1" s="17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23" t="s">
        <v>459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22" t="s">
        <v>3</v>
      </c>
      <c r="C4" s="12" t="s">
        <v>4</v>
      </c>
      <c r="D4" s="12"/>
      <c r="E4" s="12"/>
      <c r="F4" s="12"/>
      <c r="G4" s="12"/>
      <c r="H4" s="12"/>
      <c r="I4" s="3"/>
      <c r="J4" s="3"/>
      <c r="K4" s="3"/>
      <c r="L4" s="3"/>
    </row>
    <row r="5">
      <c r="A5" s="3"/>
      <c r="B5" s="14" t="s">
        <v>5</v>
      </c>
      <c r="C5" s="9">
        <v>46265</v>
      </c>
      <c r="D5" s="9"/>
      <c r="E5" s="9"/>
      <c r="F5" s="9"/>
      <c r="G5" s="9"/>
      <c r="H5" s="9"/>
      <c r="I5" s="3"/>
      <c r="J5" s="3"/>
      <c r="K5" s="3"/>
      <c r="L5" s="3"/>
    </row>
    <row r="6">
      <c r="A6" s="3"/>
      <c r="B6" s="21" t="s">
        <v>6</v>
      </c>
      <c r="C6" s="1">
        <f>C5-EOMONTH(C5,-3)</f>
        <v>92</v>
      </c>
      <c r="D6" s="1"/>
      <c r="E6" s="1"/>
      <c r="F6" s="1"/>
      <c r="G6" s="1"/>
      <c r="H6" s="1"/>
      <c r="I6" s="3"/>
      <c r="J6" s="3"/>
      <c r="K6" s="3"/>
      <c r="L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>
      <c r="A8" s="3"/>
      <c r="B8" s="13" t="s">
        <v>460</v>
      </c>
      <c r="C8" s="114" t="s">
        <v>461</v>
      </c>
      <c r="D8" s="124" t="s">
        <v>462</v>
      </c>
      <c r="E8" s="13" t="s">
        <v>463</v>
      </c>
      <c r="F8" s="13" t="s">
        <v>464</v>
      </c>
      <c r="G8" s="13" t="s">
        <v>465</v>
      </c>
      <c r="H8" s="13" t="s">
        <v>466</v>
      </c>
      <c r="I8" s="3"/>
      <c r="J8" s="3"/>
      <c r="K8" s="3"/>
      <c r="L8" s="3"/>
    </row>
    <row r="9" ht="38.25">
      <c r="A9" s="3"/>
      <c r="B9" s="18" t="s">
        <v>453</v>
      </c>
      <c r="C9" s="19">
        <v>46210</v>
      </c>
      <c r="D9" s="123" t="s">
        <v>467</v>
      </c>
      <c r="E9" s="18" t="s">
        <v>468</v>
      </c>
      <c r="F9" s="18" t="s">
        <v>469</v>
      </c>
      <c r="G9" s="18" t="s">
        <v>470</v>
      </c>
      <c r="H9" s="18" t="s">
        <v>471</v>
      </c>
      <c r="I9" s="3"/>
      <c r="J9" s="3"/>
      <c r="K9" s="3"/>
      <c r="L9" s="3"/>
    </row>
    <row r="10" ht="38.25">
      <c r="A10" s="3"/>
      <c r="B10" s="18" t="s">
        <v>472</v>
      </c>
      <c r="C10" s="19">
        <v>46210</v>
      </c>
      <c r="D10" s="123" t="s">
        <v>473</v>
      </c>
      <c r="E10" s="18" t="s">
        <v>474</v>
      </c>
      <c r="F10" s="18" t="s">
        <v>475</v>
      </c>
      <c r="G10" s="18" t="s">
        <v>476</v>
      </c>
      <c r="H10" s="18" t="s">
        <v>477</v>
      </c>
      <c r="I10" s="3"/>
      <c r="J10" s="3"/>
      <c r="K10" s="3"/>
      <c r="L10" s="3"/>
    </row>
    <row r="11" ht="38.25">
      <c r="A11" s="3"/>
      <c r="B11" s="18" t="s">
        <v>450</v>
      </c>
      <c r="C11" s="19">
        <v>46147</v>
      </c>
      <c r="D11" s="123" t="s">
        <v>467</v>
      </c>
      <c r="E11" s="18" t="s">
        <v>468</v>
      </c>
      <c r="F11" s="18" t="s">
        <v>478</v>
      </c>
      <c r="G11" s="18" t="s">
        <v>479</v>
      </c>
      <c r="H11" s="18" t="s">
        <v>480</v>
      </c>
      <c r="I11" s="3"/>
      <c r="J11" s="3"/>
      <c r="K11" s="3"/>
      <c r="L11" s="3"/>
    </row>
    <row r="12" ht="38.25">
      <c r="A12" s="3"/>
      <c r="B12" s="18" t="s">
        <v>481</v>
      </c>
      <c r="C12" s="19">
        <v>46147</v>
      </c>
      <c r="D12" s="123" t="s">
        <v>473</v>
      </c>
      <c r="E12" s="18" t="s">
        <v>482</v>
      </c>
      <c r="F12" s="18" t="s">
        <v>483</v>
      </c>
      <c r="G12" s="18" t="s">
        <v>484</v>
      </c>
      <c r="H12" s="18" t="s">
        <v>485</v>
      </c>
      <c r="I12" s="3"/>
      <c r="J12" s="3"/>
      <c r="K12" s="3"/>
      <c r="L12" s="3"/>
    </row>
    <row r="13" ht="38.25">
      <c r="A13" s="3"/>
      <c r="B13" s="18" t="s">
        <v>447</v>
      </c>
      <c r="C13" s="19">
        <v>46029</v>
      </c>
      <c r="D13" s="123" t="s">
        <v>467</v>
      </c>
      <c r="E13" s="18" t="s">
        <v>468</v>
      </c>
      <c r="F13" s="18" t="s">
        <v>486</v>
      </c>
      <c r="G13" s="18" t="s">
        <v>487</v>
      </c>
      <c r="H13" s="18" t="s">
        <v>488</v>
      </c>
      <c r="I13" s="3"/>
      <c r="J13" s="3"/>
      <c r="K13" s="3"/>
      <c r="L13" s="3"/>
    </row>
    <row r="14" ht="27">
      <c r="A14" s="3"/>
      <c r="B14" s="18" t="s">
        <v>489</v>
      </c>
      <c r="C14" s="19">
        <v>46029</v>
      </c>
      <c r="D14" s="123" t="s">
        <v>473</v>
      </c>
      <c r="E14" s="18" t="s">
        <v>474</v>
      </c>
      <c r="F14" s="18" t="s">
        <v>490</v>
      </c>
      <c r="G14" s="18" t="s">
        <v>491</v>
      </c>
      <c r="H14" s="18" t="s">
        <v>492</v>
      </c>
      <c r="I14" s="3"/>
      <c r="J14" s="3"/>
      <c r="K14" s="3"/>
      <c r="L14" s="3"/>
    </row>
    <row r="15" ht="38.25">
      <c r="A15" s="3"/>
      <c r="B15" s="18" t="s">
        <v>493</v>
      </c>
      <c r="C15" s="19">
        <v>45937</v>
      </c>
      <c r="D15" s="123" t="s">
        <v>467</v>
      </c>
      <c r="E15" s="18" t="s">
        <v>474</v>
      </c>
      <c r="F15" s="18" t="s">
        <v>494</v>
      </c>
      <c r="G15" s="18" t="s">
        <v>495</v>
      </c>
      <c r="H15" s="18" t="s">
        <v>496</v>
      </c>
      <c r="I15" s="3"/>
      <c r="J15" s="3"/>
      <c r="K15" s="3"/>
      <c r="L15" s="3"/>
    </row>
    <row r="16" ht="38.25">
      <c r="A16" s="3"/>
      <c r="B16" s="18" t="s">
        <v>445</v>
      </c>
      <c r="C16" s="19">
        <v>45937</v>
      </c>
      <c r="D16" s="123" t="s">
        <v>497</v>
      </c>
      <c r="E16" s="18" t="s">
        <v>498</v>
      </c>
      <c r="F16" s="18" t="s">
        <v>499</v>
      </c>
      <c r="G16" s="18" t="s">
        <v>500</v>
      </c>
      <c r="H16" s="18" t="s">
        <v>501</v>
      </c>
      <c r="I16" s="3"/>
      <c r="J16" s="3"/>
      <c r="K16" s="3"/>
      <c r="L16" s="3"/>
    </row>
    <row r="17" ht="38.25">
      <c r="A17" s="3"/>
      <c r="B17" s="18" t="s">
        <v>443</v>
      </c>
      <c r="C17" s="19">
        <v>45846</v>
      </c>
      <c r="D17" s="123" t="s">
        <v>502</v>
      </c>
      <c r="E17" s="18" t="s">
        <v>468</v>
      </c>
      <c r="F17" s="18" t="s">
        <v>503</v>
      </c>
      <c r="G17" s="18" t="s">
        <v>504</v>
      </c>
      <c r="H17" s="18" t="s">
        <v>505</v>
      </c>
      <c r="I17" s="3"/>
      <c r="J17" s="3"/>
      <c r="K17" s="3"/>
      <c r="L17" s="3"/>
    </row>
    <row r="18" ht="27">
      <c r="A18" s="3"/>
      <c r="B18" s="18" t="s">
        <v>506</v>
      </c>
      <c r="C18" s="19">
        <v>45846</v>
      </c>
      <c r="D18" s="123" t="s">
        <v>502</v>
      </c>
      <c r="E18" s="18" t="s">
        <v>474</v>
      </c>
      <c r="F18" s="18" t="s">
        <v>507</v>
      </c>
      <c r="G18" s="18" t="s">
        <v>508</v>
      </c>
      <c r="H18" s="18" t="s">
        <v>509</v>
      </c>
      <c r="I18" s="3"/>
      <c r="J18" s="3"/>
      <c r="K18" s="3"/>
      <c r="L18" s="3"/>
    </row>
    <row r="19" ht="38.25">
      <c r="A19" s="3"/>
      <c r="B19" s="18" t="s">
        <v>510</v>
      </c>
      <c r="C19" s="19">
        <v>46211</v>
      </c>
      <c r="D19" s="123" t="s">
        <v>473</v>
      </c>
      <c r="E19" s="18" t="s">
        <v>511</v>
      </c>
      <c r="F19" s="18" t="s">
        <v>512</v>
      </c>
      <c r="G19" s="18" t="s">
        <v>513</v>
      </c>
      <c r="H19" s="18" t="s">
        <v>514</v>
      </c>
      <c r="I19" s="3"/>
      <c r="J19" s="3"/>
      <c r="K19" s="3"/>
      <c r="L19" s="3"/>
    </row>
    <row r="20" ht="38.25">
      <c r="A20" s="3"/>
      <c r="B20" s="18" t="s">
        <v>515</v>
      </c>
      <c r="C20" s="19">
        <v>46253</v>
      </c>
      <c r="D20" s="123" t="s">
        <v>473</v>
      </c>
      <c r="E20" s="18" t="s">
        <v>516</v>
      </c>
      <c r="F20" s="18" t="s">
        <v>517</v>
      </c>
      <c r="G20" s="18" t="s">
        <v>518</v>
      </c>
      <c r="H20" s="18" t="s">
        <v>519</v>
      </c>
      <c r="I20" s="3"/>
      <c r="J20" s="3"/>
      <c r="K20" s="3"/>
      <c r="L20" s="3"/>
    </row>
    <row r="21" ht="38.25">
      <c r="A21" s="3"/>
      <c r="B21" s="18" t="s">
        <v>520</v>
      </c>
      <c r="C21" s="19">
        <v>46252</v>
      </c>
      <c r="D21" s="123" t="s">
        <v>473</v>
      </c>
      <c r="E21" s="18" t="s">
        <v>521</v>
      </c>
      <c r="F21" s="18" t="s">
        <v>522</v>
      </c>
      <c r="G21" s="18" t="s">
        <v>523</v>
      </c>
      <c r="H21" s="18" t="s">
        <v>524</v>
      </c>
      <c r="I21" s="3"/>
      <c r="J21" s="3"/>
      <c r="K21" s="3"/>
      <c r="L21" s="3"/>
    </row>
    <row r="22" ht="38.25">
      <c r="A22" s="3"/>
      <c r="B22" s="18" t="s">
        <v>525</v>
      </c>
      <c r="C22" s="19">
        <v>46260</v>
      </c>
      <c r="D22" s="123" t="s">
        <v>473</v>
      </c>
      <c r="E22" s="18" t="s">
        <v>516</v>
      </c>
      <c r="F22" s="18" t="s">
        <v>526</v>
      </c>
      <c r="G22" s="18" t="s">
        <v>527</v>
      </c>
      <c r="H22" s="18" t="s">
        <v>528</v>
      </c>
      <c r="I22" s="3"/>
      <c r="J22" s="3"/>
      <c r="K22" s="3"/>
      <c r="L22" s="3"/>
    </row>
    <row r="23" ht="60.75">
      <c r="A23" s="3"/>
      <c r="B23" s="18" t="s">
        <v>455</v>
      </c>
      <c r="C23" s="19">
        <v>46274</v>
      </c>
      <c r="D23" s="123" t="s">
        <v>473</v>
      </c>
      <c r="E23" s="18" t="s">
        <v>529</v>
      </c>
      <c r="F23" s="18" t="s">
        <v>530</v>
      </c>
      <c r="G23" s="120" t="s">
        <v>531</v>
      </c>
      <c r="H23" s="18" t="s">
        <v>532</v>
      </c>
      <c r="I23" s="3"/>
      <c r="J23" s="3"/>
      <c r="K23" s="3"/>
      <c r="L23" s="3"/>
    </row>
    <row r="24" ht="60.75">
      <c r="A24" s="3"/>
      <c r="B24" s="18" t="s">
        <v>533</v>
      </c>
      <c r="C24" s="19">
        <v>46282</v>
      </c>
      <c r="D24" s="123" t="s">
        <v>467</v>
      </c>
      <c r="E24" s="18" t="s">
        <v>529</v>
      </c>
      <c r="F24" s="18" t="s">
        <v>534</v>
      </c>
      <c r="G24" s="120" t="s">
        <v>535</v>
      </c>
      <c r="H24" s="18" t="s">
        <v>536</v>
      </c>
      <c r="I24" s="3"/>
      <c r="J24" s="3"/>
      <c r="K24" s="3"/>
      <c r="L24" s="3"/>
    </row>
    <row r="25" ht="49.5">
      <c r="A25" s="3"/>
      <c r="B25" s="18" t="s">
        <v>537</v>
      </c>
      <c r="C25" s="19">
        <v>46283</v>
      </c>
      <c r="D25" s="123" t="s">
        <v>473</v>
      </c>
      <c r="E25" s="18" t="s">
        <v>529</v>
      </c>
      <c r="F25" s="18" t="s">
        <v>538</v>
      </c>
      <c r="G25" s="120" t="s">
        <v>539</v>
      </c>
      <c r="H25" s="18" t="s">
        <v>540</v>
      </c>
      <c r="I25" s="3"/>
      <c r="J25" s="3"/>
      <c r="K25" s="3"/>
      <c r="L25" s="3"/>
    </row>
    <row r="26" ht="38.25">
      <c r="A26" s="3"/>
      <c r="B26" s="18" t="s">
        <v>541</v>
      </c>
      <c r="C26" s="19">
        <v>46289</v>
      </c>
      <c r="D26" s="123" t="s">
        <v>473</v>
      </c>
      <c r="E26" s="18" t="s">
        <v>542</v>
      </c>
      <c r="F26" s="18" t="s">
        <v>543</v>
      </c>
      <c r="G26" s="120" t="s">
        <v>544</v>
      </c>
      <c r="H26" s="18" t="s">
        <v>545</v>
      </c>
      <c r="I26" s="3"/>
      <c r="J26" s="3"/>
      <c r="K26" s="3"/>
      <c r="L26" s="3"/>
    </row>
    <row r="27" ht="27">
      <c r="A27" s="3"/>
      <c r="B27" s="18" t="s">
        <v>546</v>
      </c>
      <c r="C27" s="19">
        <v>46293</v>
      </c>
      <c r="D27" s="123" t="s">
        <v>473</v>
      </c>
      <c r="E27" s="18" t="s">
        <v>547</v>
      </c>
      <c r="F27" s="18" t="s">
        <v>548</v>
      </c>
      <c r="G27" s="18" t="s">
        <v>549</v>
      </c>
      <c r="H27" s="18" t="s">
        <v>550</v>
      </c>
      <c r="I27" s="3"/>
      <c r="J27" s="3"/>
      <c r="K27" s="3"/>
      <c r="L27" s="3"/>
    </row>
    <row r="28" ht="27">
      <c r="A28" s="3"/>
      <c r="B28" s="18" t="s">
        <v>551</v>
      </c>
      <c r="C28" s="19">
        <v>46232</v>
      </c>
      <c r="D28" s="123" t="s">
        <v>473</v>
      </c>
      <c r="E28" s="18" t="s">
        <v>552</v>
      </c>
      <c r="F28" s="18" t="s">
        <v>553</v>
      </c>
      <c r="G28" s="18" t="s">
        <v>554</v>
      </c>
      <c r="H28" s="18" t="s">
        <v>555</v>
      </c>
      <c r="I28" s="3"/>
      <c r="J28" s="3"/>
      <c r="K28" s="3"/>
      <c r="L28" s="3"/>
    </row>
    <row r="29" ht="27">
      <c r="A29" s="3"/>
      <c r="B29" s="18" t="s">
        <v>556</v>
      </c>
      <c r="C29" s="121" t="s">
        <v>440</v>
      </c>
      <c r="D29" s="123" t="s">
        <v>473</v>
      </c>
      <c r="E29" s="18" t="s">
        <v>557</v>
      </c>
      <c r="F29" s="18" t="s">
        <v>558</v>
      </c>
      <c r="G29" s="18" t="s">
        <v>559</v>
      </c>
      <c r="H29" s="18" t="s">
        <v>560</v>
      </c>
      <c r="I29" s="3"/>
      <c r="J29" s="3"/>
      <c r="K29" s="3"/>
      <c r="L29" s="3"/>
    </row>
    <row r="30" ht="38.25">
      <c r="A30" s="3"/>
      <c r="B30" s="18" t="s">
        <v>561</v>
      </c>
      <c r="C30" s="19">
        <v>46288</v>
      </c>
      <c r="D30" s="123" t="s">
        <v>473</v>
      </c>
      <c r="E30" s="18" t="s">
        <v>562</v>
      </c>
      <c r="F30" s="18" t="s">
        <v>563</v>
      </c>
      <c r="G30" s="18" t="s">
        <v>564</v>
      </c>
      <c r="H30" s="18" t="s">
        <v>565</v>
      </c>
      <c r="I30" s="3"/>
      <c r="J30" s="3"/>
      <c r="K30" s="3"/>
      <c r="L30" s="3"/>
    </row>
    <row r="31" ht="27">
      <c r="A31" s="3"/>
      <c r="B31" s="18" t="s">
        <v>566</v>
      </c>
      <c r="C31" s="19">
        <v>46299</v>
      </c>
      <c r="D31" s="123" t="s">
        <v>567</v>
      </c>
      <c r="E31" s="18" t="s">
        <v>568</v>
      </c>
      <c r="F31" s="18" t="s">
        <v>569</v>
      </c>
      <c r="G31" s="18" t="s">
        <v>570</v>
      </c>
      <c r="H31" s="18" t="s">
        <v>571</v>
      </c>
      <c r="I31" s="3"/>
      <c r="J31" s="3"/>
      <c r="K31" s="3"/>
      <c r="L31" s="3"/>
    </row>
    <row r="32" ht="27">
      <c r="A32" s="3"/>
      <c r="B32" s="18" t="s">
        <v>572</v>
      </c>
      <c r="C32" s="19">
        <v>46299</v>
      </c>
      <c r="D32" s="123" t="s">
        <v>567</v>
      </c>
      <c r="E32" s="18" t="s">
        <v>568</v>
      </c>
      <c r="F32" s="18" t="s">
        <v>573</v>
      </c>
      <c r="G32" s="18" t="s">
        <v>574</v>
      </c>
      <c r="H32" s="18" t="s">
        <v>575</v>
      </c>
      <c r="I32" s="3"/>
      <c r="J32" s="3"/>
      <c r="K32" s="3"/>
      <c r="L32" s="3"/>
    </row>
    <row r="33" ht="38.25">
      <c r="A33" s="3"/>
      <c r="B33" s="18" t="s">
        <v>576</v>
      </c>
      <c r="C33" s="19">
        <v>46246</v>
      </c>
      <c r="D33" s="123" t="s">
        <v>473</v>
      </c>
      <c r="E33" s="18" t="s">
        <v>577</v>
      </c>
      <c r="F33" s="18" t="s">
        <v>578</v>
      </c>
      <c r="G33" s="18" t="s">
        <v>579</v>
      </c>
      <c r="H33" s="18" t="s">
        <v>580</v>
      </c>
      <c r="I33" s="3"/>
      <c r="J33" s="3"/>
      <c r="K33" s="3"/>
      <c r="L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>
      <c r="A35" s="3"/>
      <c r="B35" s="6" t="s">
        <v>581</v>
      </c>
      <c r="C35" s="3"/>
      <c r="D35" s="3"/>
      <c r="E35" s="3"/>
      <c r="F35" s="3"/>
      <c r="G35" s="3"/>
      <c r="H35" s="3"/>
      <c r="I35" s="3"/>
      <c r="J35" s="3"/>
      <c r="K35" s="3"/>
      <c r="L35" s="3"/>
    </row>
    <row r="36">
      <c r="A36" s="3"/>
      <c r="B36" s="6" t="s">
        <v>582</v>
      </c>
      <c r="C36" s="3"/>
      <c r="D36" s="3"/>
      <c r="E36" s="3"/>
      <c r="F36" s="3"/>
      <c r="G36" s="3"/>
      <c r="H36" s="3"/>
      <c r="I36" s="3"/>
      <c r="J36" s="3"/>
      <c r="K36" s="3"/>
      <c r="L36" s="3"/>
    </row>
    <row r="37">
      <c r="A37" s="3"/>
      <c r="B37" s="6" t="s">
        <v>583</v>
      </c>
      <c r="C37" s="3"/>
      <c r="D37" s="3"/>
      <c r="E37" s="3"/>
      <c r="F37" s="3"/>
      <c r="G37" s="3"/>
      <c r="H37" s="3"/>
      <c r="I37" s="3"/>
      <c r="J37" s="3"/>
      <c r="K37" s="3"/>
      <c r="L37" s="3"/>
    </row>
    <row r="38">
      <c r="A38" s="3"/>
      <c r="B38" s="6" t="s">
        <v>584</v>
      </c>
      <c r="C38" s="3"/>
      <c r="D38" s="3"/>
      <c r="E38" s="3"/>
      <c r="F38" s="3"/>
      <c r="G38" s="3"/>
      <c r="H38" s="3"/>
      <c r="I38" s="3"/>
      <c r="J38" s="3"/>
      <c r="K38" s="3"/>
      <c r="L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L134"/>
  <sheetViews>
    <sheetView showGridLines="0" workbookViewId="0"/>
  </sheetViews>
  <sheetFormatPr defaultColWidth="8.42578125" defaultRowHeight="15"/>
  <cols>
    <col min="1" max="1" width="2" customWidth="1"/>
    <col min="2" max="2" width="51" customWidth="1"/>
    <col min="3" max="9" width="12" customWidth="1"/>
  </cols>
  <sheetData>
    <row r="1">
      <c r="A1" s="3"/>
      <c r="B1" s="17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23" t="s">
        <v>585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22" t="s">
        <v>3</v>
      </c>
      <c r="C4" s="12" t="s">
        <v>4</v>
      </c>
      <c r="D4" s="12"/>
      <c r="E4" s="12"/>
      <c r="F4" s="12"/>
      <c r="G4" s="12"/>
      <c r="H4" s="12"/>
      <c r="I4" s="12"/>
      <c r="J4" s="3"/>
      <c r="K4" s="3"/>
      <c r="L4" s="3"/>
    </row>
    <row r="5">
      <c r="A5" s="3"/>
      <c r="B5" s="14" t="s">
        <v>5</v>
      </c>
      <c r="C5" s="9">
        <v>46265</v>
      </c>
      <c r="D5" s="9"/>
      <c r="E5" s="9"/>
      <c r="F5" s="9"/>
      <c r="G5" s="9"/>
      <c r="H5" s="9"/>
      <c r="I5" s="9"/>
      <c r="J5" s="3"/>
      <c r="K5" s="3"/>
      <c r="L5" s="3"/>
    </row>
    <row r="6">
      <c r="A6" s="3"/>
      <c r="B6" s="21" t="s">
        <v>6</v>
      </c>
      <c r="C6" s="1">
        <f>C5-EOMONTH(C5,-3)</f>
        <v>92</v>
      </c>
      <c r="D6" s="1"/>
      <c r="E6" s="1"/>
      <c r="F6" s="1"/>
      <c r="G6" s="1"/>
      <c r="H6" s="1"/>
      <c r="I6" s="1"/>
      <c r="J6" s="3"/>
      <c r="K6" s="3"/>
      <c r="L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>
      <c r="A8" s="3"/>
      <c r="B8" s="30" t="s">
        <v>586</v>
      </c>
      <c r="C8" s="11"/>
      <c r="D8" s="11"/>
      <c r="E8" s="11"/>
      <c r="F8" s="11"/>
      <c r="G8" s="11"/>
      <c r="H8" s="11"/>
      <c r="I8" s="11"/>
      <c r="J8" s="3"/>
      <c r="K8" s="3"/>
      <c r="L8" s="3"/>
    </row>
    <row r="9">
      <c r="A9" s="3"/>
      <c r="B9" s="3" t="s">
        <v>587</v>
      </c>
      <c r="C9" s="116" t="s">
        <v>588</v>
      </c>
      <c r="D9" s="11"/>
      <c r="E9" s="11"/>
      <c r="F9" s="11"/>
      <c r="G9" s="11"/>
      <c r="H9" s="11"/>
      <c r="I9" s="11"/>
      <c r="J9" s="3"/>
      <c r="K9" s="3"/>
      <c r="L9" s="3"/>
    </row>
    <row r="10">
      <c r="A10" s="3"/>
      <c r="B10" s="3" t="s">
        <v>589</v>
      </c>
      <c r="C10" s="125" t="s">
        <v>11</v>
      </c>
      <c r="D10" s="11"/>
      <c r="E10" s="11"/>
      <c r="F10" s="11"/>
      <c r="G10" s="11"/>
      <c r="H10" s="11"/>
      <c r="I10" s="11"/>
      <c r="J10" s="3"/>
      <c r="K10" s="3"/>
      <c r="L10" s="3"/>
    </row>
    <row r="11">
      <c r="A11" s="3"/>
      <c r="B11" s="3" t="s">
        <v>590</v>
      </c>
      <c r="C11" s="116" t="s">
        <v>9</v>
      </c>
      <c r="D11" s="11"/>
      <c r="E11" s="11"/>
      <c r="F11" s="11"/>
      <c r="G11" s="11"/>
      <c r="H11" s="11"/>
      <c r="I11" s="11"/>
      <c r="J11" s="3"/>
      <c r="K11" s="3"/>
      <c r="L11" s="3"/>
    </row>
    <row r="12">
      <c r="A12" s="3"/>
      <c r="B12" s="3" t="s">
        <v>591</v>
      </c>
      <c r="C12" s="125" t="s">
        <v>592</v>
      </c>
      <c r="D12" s="11"/>
      <c r="E12" s="11"/>
      <c r="F12" s="11"/>
      <c r="G12" s="11"/>
      <c r="H12" s="11"/>
      <c r="I12" s="11"/>
      <c r="J12" s="3"/>
      <c r="K12" s="3"/>
      <c r="L12" s="3"/>
    </row>
    <row r="13">
      <c r="A13" s="3"/>
      <c r="B13" s="3" t="s">
        <v>593</v>
      </c>
      <c r="C13" s="82">
        <v>46265</v>
      </c>
      <c r="D13" s="11"/>
      <c r="E13" s="11"/>
      <c r="F13" s="11"/>
      <c r="G13" s="11"/>
      <c r="H13" s="11"/>
      <c r="I13" s="11"/>
      <c r="J13" s="3"/>
      <c r="K13" s="3"/>
      <c r="L13" s="3"/>
    </row>
    <row r="14">
      <c r="A14" s="3"/>
      <c r="B14" s="3" t="s">
        <v>594</v>
      </c>
      <c r="C14" s="82">
        <v>46299</v>
      </c>
      <c r="D14" s="11"/>
      <c r="E14" s="11"/>
      <c r="F14" s="11"/>
      <c r="G14" s="11"/>
      <c r="H14" s="11"/>
      <c r="I14" s="11"/>
      <c r="J14" s="3"/>
      <c r="K14" s="3"/>
      <c r="L14" s="3"/>
    </row>
    <row r="15">
      <c r="A15" s="3"/>
      <c r="B15" s="3" t="s">
        <v>595</v>
      </c>
      <c r="C15" s="83">
        <v>7</v>
      </c>
      <c r="D15" s="11"/>
      <c r="E15" s="11"/>
      <c r="F15" s="11"/>
      <c r="G15" s="11"/>
      <c r="H15" s="11"/>
      <c r="I15" s="11"/>
      <c r="J15" s="3"/>
      <c r="K15" s="3"/>
      <c r="L15" s="3"/>
    </row>
    <row r="16">
      <c r="A16" s="3"/>
      <c r="B16" s="3" t="s">
        <v>596</v>
      </c>
      <c r="C16" s="83">
        <v>0.49</v>
      </c>
      <c r="D16" s="11"/>
      <c r="E16" s="11"/>
      <c r="F16" s="11"/>
      <c r="G16" s="11"/>
      <c r="H16" s="11"/>
      <c r="I16" s="11"/>
      <c r="J16" s="3"/>
      <c r="K16" s="3"/>
      <c r="L16" s="3"/>
    </row>
    <row r="17">
      <c r="A17" s="3"/>
      <c r="B17" s="3" t="s">
        <v>597</v>
      </c>
      <c r="C17" s="116" t="s">
        <v>598</v>
      </c>
      <c r="D17" s="11"/>
      <c r="E17" s="11"/>
      <c r="F17" s="11"/>
      <c r="G17" s="11"/>
      <c r="H17" s="11"/>
      <c r="I17" s="11"/>
      <c r="J17" s="3"/>
      <c r="K17" s="3"/>
      <c r="L17" s="3"/>
    </row>
    <row r="18">
      <c r="A18" s="3"/>
      <c r="B18" s="3" t="s">
        <v>599</v>
      </c>
      <c r="C18" s="83">
        <v>31.47</v>
      </c>
      <c r="D18" s="11"/>
      <c r="E18" s="11"/>
      <c r="F18" s="11"/>
      <c r="G18" s="11"/>
      <c r="H18" s="11"/>
      <c r="I18" s="11"/>
      <c r="J18" s="3"/>
      <c r="K18" s="3"/>
      <c r="L18" s="3"/>
    </row>
    <row r="19">
      <c r="A19" s="3"/>
      <c r="B19" s="3" t="s">
        <v>600</v>
      </c>
      <c r="C19" s="125" t="s">
        <v>17</v>
      </c>
      <c r="D19" s="11"/>
      <c r="E19" s="11"/>
      <c r="F19" s="11"/>
      <c r="G19" s="11"/>
      <c r="H19" s="11"/>
      <c r="I19" s="11"/>
      <c r="J19" s="3"/>
      <c r="K19" s="3"/>
      <c r="L19" s="3"/>
    </row>
    <row r="20">
      <c r="A20" s="3"/>
      <c r="B20" s="3" t="s">
        <v>601</v>
      </c>
      <c r="C20" s="116" t="s">
        <v>602</v>
      </c>
      <c r="D20" s="11"/>
      <c r="E20" s="11"/>
      <c r="F20" s="11"/>
      <c r="G20" s="11"/>
      <c r="H20" s="11"/>
      <c r="I20" s="11"/>
      <c r="J20" s="3"/>
      <c r="K20" s="3"/>
      <c r="L20" s="3"/>
    </row>
    <row r="21">
      <c r="A21" s="3"/>
      <c r="B21" s="3" t="s">
        <v>603</v>
      </c>
      <c r="C21" s="116" t="s">
        <v>604</v>
      </c>
      <c r="D21" s="11"/>
      <c r="E21" s="11"/>
      <c r="F21" s="11"/>
      <c r="G21" s="11"/>
      <c r="H21" s="11"/>
      <c r="I21" s="11"/>
      <c r="J21" s="3"/>
      <c r="K21" s="3"/>
      <c r="L21" s="3"/>
    </row>
    <row r="22">
      <c r="A22" s="3"/>
      <c r="B22" s="3" t="s">
        <v>605</v>
      </c>
      <c r="C22" s="116" t="s">
        <v>606</v>
      </c>
      <c r="D22" s="11"/>
      <c r="E22" s="11"/>
      <c r="F22" s="11"/>
      <c r="G22" s="11"/>
      <c r="H22" s="11"/>
      <c r="I22" s="11"/>
      <c r="J22" s="3"/>
      <c r="K22" s="3"/>
      <c r="L22" s="3"/>
    </row>
    <row r="23">
      <c r="A23" s="3"/>
      <c r="B23" s="3"/>
      <c r="C23" s="83"/>
      <c r="D23" s="11"/>
      <c r="E23" s="11"/>
      <c r="F23" s="11"/>
      <c r="G23" s="11"/>
      <c r="H23" s="11"/>
      <c r="I23" s="11"/>
      <c r="J23" s="3"/>
      <c r="K23" s="3"/>
      <c r="L23" s="3"/>
    </row>
    <row r="24">
      <c r="A24" s="3"/>
      <c r="B24" s="30" t="s">
        <v>607</v>
      </c>
      <c r="C24" s="83"/>
      <c r="D24" s="11"/>
      <c r="E24" s="11"/>
      <c r="F24" s="11"/>
      <c r="G24" s="11"/>
      <c r="H24" s="11"/>
      <c r="I24" s="11"/>
      <c r="J24" s="3"/>
      <c r="K24" s="3"/>
      <c r="L24" s="3"/>
    </row>
    <row r="25">
      <c r="A25" s="3"/>
      <c r="B25" s="3" t="s">
        <v>589</v>
      </c>
      <c r="C25" s="125" t="s">
        <v>11</v>
      </c>
      <c r="D25" s="11"/>
      <c r="E25" s="11"/>
      <c r="F25" s="11"/>
      <c r="G25" s="11"/>
      <c r="H25" s="11"/>
      <c r="I25" s="11"/>
      <c r="J25" s="3"/>
      <c r="K25" s="3"/>
      <c r="L25" s="3"/>
    </row>
    <row r="26">
      <c r="A26" s="3"/>
      <c r="B26" s="3" t="s">
        <v>608</v>
      </c>
      <c r="C26" s="116" t="s">
        <v>9</v>
      </c>
      <c r="D26" s="11"/>
      <c r="E26" s="11"/>
      <c r="F26" s="11"/>
      <c r="G26" s="11"/>
      <c r="H26" s="11"/>
      <c r="I26" s="11"/>
      <c r="J26" s="3"/>
      <c r="K26" s="3"/>
      <c r="L26" s="3"/>
    </row>
    <row r="27">
      <c r="A27" s="3"/>
      <c r="B27" s="3" t="s">
        <v>609</v>
      </c>
      <c r="C27" s="125" t="s">
        <v>610</v>
      </c>
      <c r="D27" s="11"/>
      <c r="E27" s="11"/>
      <c r="F27" s="11"/>
      <c r="G27" s="11"/>
      <c r="H27" s="11"/>
      <c r="I27" s="11"/>
      <c r="J27" s="3"/>
      <c r="K27" s="3"/>
      <c r="L27" s="3"/>
    </row>
    <row r="28">
      <c r="A28" s="3"/>
      <c r="B28" s="3" t="s">
        <v>611</v>
      </c>
      <c r="C28" s="83">
        <v>29730115</v>
      </c>
      <c r="D28" s="11"/>
      <c r="E28" s="11"/>
      <c r="F28" s="11"/>
      <c r="G28" s="11"/>
      <c r="H28" s="11"/>
      <c r="I28" s="11"/>
      <c r="J28" s="3"/>
      <c r="K28" s="3"/>
      <c r="L28" s="3"/>
    </row>
    <row r="29">
      <c r="A29" s="3"/>
      <c r="B29" s="3" t="s">
        <v>612</v>
      </c>
      <c r="C29" s="125" t="s">
        <v>613</v>
      </c>
      <c r="D29" s="11"/>
      <c r="E29" s="11"/>
      <c r="F29" s="11"/>
      <c r="G29" s="11"/>
      <c r="H29" s="11"/>
      <c r="I29" s="11"/>
      <c r="J29" s="3"/>
      <c r="K29" s="3"/>
      <c r="L29" s="3"/>
    </row>
    <row r="30">
      <c r="A30" s="3"/>
      <c r="B30" s="3" t="s">
        <v>614</v>
      </c>
      <c r="C30" s="83"/>
      <c r="D30" s="11"/>
      <c r="E30" s="11"/>
      <c r="F30" s="11"/>
      <c r="G30" s="11"/>
      <c r="H30" s="11"/>
      <c r="I30" s="11"/>
      <c r="J30" s="3"/>
      <c r="K30" s="3"/>
      <c r="L30" s="3"/>
    </row>
    <row r="31">
      <c r="A31" s="3"/>
      <c r="B31" s="3" t="s">
        <v>615</v>
      </c>
      <c r="C31" s="116" t="s">
        <v>616</v>
      </c>
      <c r="D31" s="11"/>
      <c r="E31" s="11"/>
      <c r="F31" s="11"/>
      <c r="G31" s="11"/>
      <c r="H31" s="11"/>
      <c r="I31" s="11"/>
      <c r="J31" s="3"/>
      <c r="K31" s="3"/>
      <c r="L31" s="3"/>
    </row>
    <row r="32">
      <c r="A32" s="3"/>
      <c r="B32" s="3" t="s">
        <v>617</v>
      </c>
      <c r="C32" s="82">
        <v>46265</v>
      </c>
      <c r="D32" s="11"/>
      <c r="E32" s="11"/>
      <c r="F32" s="11"/>
      <c r="G32" s="11"/>
      <c r="H32" s="11"/>
      <c r="I32" s="11"/>
      <c r="J32" s="3"/>
      <c r="K32" s="3"/>
      <c r="L32" s="3"/>
    </row>
    <row r="33">
      <c r="A33" s="3"/>
      <c r="B33" s="3" t="s">
        <v>618</v>
      </c>
      <c r="C33" s="82">
        <v>46302</v>
      </c>
      <c r="D33" s="11"/>
      <c r="E33" s="11"/>
      <c r="F33" s="11"/>
      <c r="G33" s="11"/>
      <c r="H33" s="11"/>
      <c r="I33" s="11"/>
      <c r="J33" s="3"/>
      <c r="K33" s="3"/>
      <c r="L33" s="3"/>
    </row>
    <row r="34">
      <c r="A34" s="3"/>
      <c r="B34" s="3" t="s">
        <v>619</v>
      </c>
      <c r="C34" s="125" t="s">
        <v>620</v>
      </c>
      <c r="D34" s="11"/>
      <c r="E34" s="11"/>
      <c r="F34" s="11"/>
      <c r="G34" s="11"/>
      <c r="H34" s="11"/>
      <c r="I34" s="11"/>
      <c r="J34" s="3"/>
      <c r="K34" s="3"/>
      <c r="L34" s="3"/>
    </row>
    <row r="35">
      <c r="A35" s="3"/>
      <c r="B35" s="3" t="s">
        <v>621</v>
      </c>
      <c r="C35" s="83">
        <v>7</v>
      </c>
      <c r="D35" s="11"/>
      <c r="E35" s="11"/>
      <c r="F35" s="11"/>
      <c r="G35" s="11"/>
      <c r="H35" s="11"/>
      <c r="I35" s="11"/>
      <c r="J35" s="3"/>
      <c r="K35" s="3"/>
      <c r="L35" s="3"/>
    </row>
    <row r="36">
      <c r="A36" s="3"/>
      <c r="B36" s="3" t="s">
        <v>622</v>
      </c>
      <c r="C36" s="83">
        <v>0.49</v>
      </c>
      <c r="D36" s="11"/>
      <c r="E36" s="11"/>
      <c r="F36" s="11"/>
      <c r="G36" s="11"/>
      <c r="H36" s="11"/>
      <c r="I36" s="11"/>
      <c r="J36" s="3"/>
      <c r="K36" s="3"/>
      <c r="L36" s="3"/>
    </row>
    <row r="37">
      <c r="A37" s="3"/>
      <c r="B37" s="3" t="s">
        <v>623</v>
      </c>
      <c r="C37" s="83">
        <v>0.49</v>
      </c>
      <c r="D37" s="11"/>
      <c r="E37" s="11"/>
      <c r="F37" s="11"/>
      <c r="G37" s="11"/>
      <c r="H37" s="11"/>
      <c r="I37" s="11"/>
      <c r="J37" s="3"/>
      <c r="K37" s="3"/>
      <c r="L37" s="3"/>
    </row>
    <row r="38">
      <c r="A38" s="3"/>
      <c r="B38" s="3" t="s">
        <v>624</v>
      </c>
      <c r="C38" s="83">
        <v>0.53</v>
      </c>
      <c r="D38" s="11"/>
      <c r="E38" s="11"/>
      <c r="F38" s="11"/>
      <c r="G38" s="11"/>
      <c r="H38" s="11"/>
      <c r="I38" s="11"/>
      <c r="J38" s="3"/>
      <c r="K38" s="3"/>
      <c r="L38" s="3"/>
    </row>
    <row r="39">
      <c r="A39" s="3"/>
      <c r="B39" s="3" t="s">
        <v>625</v>
      </c>
      <c r="C39" s="83">
        <v>0.44</v>
      </c>
      <c r="D39" s="11"/>
      <c r="E39" s="11"/>
      <c r="F39" s="11"/>
      <c r="G39" s="11"/>
      <c r="H39" s="11"/>
      <c r="I39" s="11"/>
      <c r="J39" s="3"/>
      <c r="K39" s="3"/>
      <c r="L39" s="3"/>
    </row>
    <row r="40">
      <c r="A40" s="3"/>
      <c r="B40" s="3" t="s">
        <v>626</v>
      </c>
      <c r="C40" s="83">
        <v>0.03</v>
      </c>
      <c r="D40" s="11"/>
      <c r="E40" s="11"/>
      <c r="F40" s="11"/>
      <c r="G40" s="11"/>
      <c r="H40" s="11"/>
      <c r="I40" s="11"/>
      <c r="J40" s="3"/>
      <c r="K40" s="3"/>
      <c r="L40" s="3"/>
    </row>
    <row r="41">
      <c r="A41" s="3"/>
      <c r="B41" s="3" t="s">
        <v>627</v>
      </c>
      <c r="C41" s="83">
        <v>7</v>
      </c>
      <c r="D41" s="11"/>
      <c r="E41" s="11"/>
      <c r="F41" s="11"/>
      <c r="G41" s="11"/>
      <c r="H41" s="11"/>
      <c r="I41" s="11"/>
      <c r="J41" s="3"/>
      <c r="K41" s="3"/>
      <c r="L41" s="3"/>
    </row>
    <row r="42">
      <c r="A42" s="3"/>
      <c r="B42" s="3" t="s">
        <v>628</v>
      </c>
      <c r="C42" s="83"/>
      <c r="D42" s="11"/>
      <c r="E42" s="11"/>
      <c r="F42" s="11"/>
      <c r="G42" s="11"/>
      <c r="H42" s="11"/>
      <c r="I42" s="11"/>
      <c r="J42" s="3"/>
      <c r="K42" s="3"/>
      <c r="L42" s="3"/>
    </row>
    <row r="43">
      <c r="A43" s="3"/>
      <c r="B43" s="3" t="s">
        <v>629</v>
      </c>
      <c r="C43" s="83"/>
      <c r="D43" s="11"/>
      <c r="E43" s="11"/>
      <c r="F43" s="11"/>
      <c r="G43" s="11"/>
      <c r="H43" s="11"/>
      <c r="I43" s="11"/>
      <c r="J43" s="3"/>
      <c r="K43" s="3"/>
      <c r="L43" s="3"/>
    </row>
    <row r="44">
      <c r="A44" s="3"/>
      <c r="B44" s="3" t="s">
        <v>630</v>
      </c>
      <c r="C44" s="83"/>
      <c r="D44" s="11"/>
      <c r="E44" s="11"/>
      <c r="F44" s="11"/>
      <c r="G44" s="11"/>
      <c r="H44" s="11"/>
      <c r="I44" s="11"/>
      <c r="J44" s="3"/>
      <c r="K44" s="3"/>
      <c r="L44" s="3"/>
    </row>
    <row r="45">
      <c r="A45" s="3"/>
      <c r="B45" s="3" t="s">
        <v>631</v>
      </c>
      <c r="C45" s="83">
        <v>0.49</v>
      </c>
      <c r="D45" s="11"/>
      <c r="E45" s="11"/>
      <c r="F45" s="11"/>
      <c r="G45" s="11"/>
      <c r="H45" s="11"/>
      <c r="I45" s="11"/>
      <c r="J45" s="3"/>
      <c r="K45" s="3"/>
      <c r="L45" s="3"/>
    </row>
    <row r="46">
      <c r="A46" s="3"/>
      <c r="B46" s="3" t="s">
        <v>632</v>
      </c>
      <c r="C46" s="83">
        <v>0.5</v>
      </c>
      <c r="D46" s="11"/>
      <c r="E46" s="11"/>
      <c r="F46" s="11"/>
      <c r="G46" s="11"/>
      <c r="H46" s="11"/>
      <c r="I46" s="11"/>
      <c r="J46" s="3"/>
      <c r="K46" s="3"/>
      <c r="L46" s="3"/>
    </row>
    <row r="47">
      <c r="A47" s="3"/>
      <c r="B47" s="3" t="s">
        <v>633</v>
      </c>
      <c r="C47" s="83">
        <v>0.53</v>
      </c>
      <c r="D47" s="11"/>
      <c r="E47" s="11"/>
      <c r="F47" s="11"/>
      <c r="G47" s="11"/>
      <c r="H47" s="11"/>
      <c r="I47" s="11"/>
      <c r="J47" s="3"/>
      <c r="K47" s="3"/>
      <c r="L47" s="3"/>
    </row>
    <row r="48">
      <c r="A48" s="3"/>
      <c r="B48" s="3" t="s">
        <v>634</v>
      </c>
      <c r="C48" s="83">
        <v>0.44</v>
      </c>
      <c r="D48" s="11"/>
      <c r="E48" s="11"/>
      <c r="F48" s="11"/>
      <c r="G48" s="11"/>
      <c r="H48" s="11"/>
      <c r="I48" s="11"/>
      <c r="J48" s="3"/>
      <c r="K48" s="3"/>
      <c r="L48" s="3"/>
    </row>
    <row r="49">
      <c r="A49" s="3"/>
      <c r="B49" s="3" t="s">
        <v>635</v>
      </c>
      <c r="C49" s="83">
        <v>0.03</v>
      </c>
      <c r="D49" s="11"/>
      <c r="E49" s="11"/>
      <c r="F49" s="11"/>
      <c r="G49" s="11"/>
      <c r="H49" s="11"/>
      <c r="I49" s="11"/>
      <c r="J49" s="3"/>
      <c r="K49" s="3"/>
      <c r="L49" s="3"/>
    </row>
    <row r="50">
      <c r="A50" s="3"/>
      <c r="B50" s="3" t="s">
        <v>636</v>
      </c>
      <c r="C50" s="83">
        <v>6</v>
      </c>
      <c r="D50" s="11"/>
      <c r="E50" s="11"/>
      <c r="F50" s="11"/>
      <c r="G50" s="11"/>
      <c r="H50" s="11"/>
      <c r="I50" s="11"/>
      <c r="J50" s="3"/>
      <c r="K50" s="3"/>
      <c r="L50" s="3"/>
    </row>
    <row r="51">
      <c r="A51" s="3"/>
      <c r="B51" s="3" t="s">
        <v>637</v>
      </c>
      <c r="C51" s="83"/>
      <c r="D51" s="11"/>
      <c r="E51" s="11"/>
      <c r="F51" s="11"/>
      <c r="G51" s="11"/>
      <c r="H51" s="11"/>
      <c r="I51" s="11"/>
      <c r="J51" s="3"/>
      <c r="K51" s="3"/>
      <c r="L51" s="3"/>
    </row>
    <row r="52">
      <c r="A52" s="3"/>
      <c r="B52" s="3" t="s">
        <v>638</v>
      </c>
      <c r="C52" s="83">
        <v>31.47</v>
      </c>
      <c r="D52" s="11"/>
      <c r="E52" s="11"/>
      <c r="F52" s="11"/>
      <c r="G52" s="11"/>
      <c r="H52" s="11"/>
      <c r="I52" s="11"/>
      <c r="J52" s="3"/>
      <c r="K52" s="3"/>
      <c r="L52" s="3"/>
    </row>
    <row r="53">
      <c r="A53" s="3"/>
      <c r="B53" s="3" t="s">
        <v>639</v>
      </c>
      <c r="C53" s="83">
        <v>31.48</v>
      </c>
      <c r="D53" s="11"/>
      <c r="E53" s="11"/>
      <c r="F53" s="11"/>
      <c r="G53" s="11"/>
      <c r="H53" s="11"/>
      <c r="I53" s="11"/>
      <c r="J53" s="3"/>
      <c r="K53" s="3"/>
      <c r="L53" s="3"/>
    </row>
    <row r="54">
      <c r="A54" s="3"/>
      <c r="B54" s="3" t="s">
        <v>640</v>
      </c>
      <c r="C54" s="83">
        <v>32.21</v>
      </c>
      <c r="D54" s="11"/>
      <c r="E54" s="11"/>
      <c r="F54" s="11"/>
      <c r="G54" s="11"/>
      <c r="H54" s="11"/>
      <c r="I54" s="11"/>
      <c r="J54" s="3"/>
      <c r="K54" s="3"/>
      <c r="L54" s="3"/>
    </row>
    <row r="55">
      <c r="A55" s="3"/>
      <c r="B55" s="3" t="s">
        <v>641</v>
      </c>
      <c r="C55" s="83">
        <v>30.68</v>
      </c>
      <c r="D55" s="11"/>
      <c r="E55" s="11"/>
      <c r="F55" s="11"/>
      <c r="G55" s="11"/>
      <c r="H55" s="11"/>
      <c r="I55" s="11"/>
      <c r="J55" s="3"/>
      <c r="K55" s="3"/>
      <c r="L55" s="3"/>
    </row>
    <row r="56">
      <c r="A56" s="3"/>
      <c r="B56" s="3" t="s">
        <v>642</v>
      </c>
      <c r="C56" s="83">
        <v>0.48</v>
      </c>
      <c r="D56" s="11"/>
      <c r="E56" s="11"/>
      <c r="F56" s="11"/>
      <c r="G56" s="11"/>
      <c r="H56" s="11"/>
      <c r="I56" s="11"/>
      <c r="J56" s="3"/>
      <c r="K56" s="3"/>
      <c r="L56" s="3"/>
    </row>
    <row r="57">
      <c r="A57" s="3"/>
      <c r="B57" s="3" t="s">
        <v>643</v>
      </c>
      <c r="C57" s="83">
        <v>6</v>
      </c>
      <c r="D57" s="11"/>
      <c r="E57" s="11"/>
      <c r="F57" s="11"/>
      <c r="G57" s="11"/>
      <c r="H57" s="11"/>
      <c r="I57" s="11"/>
      <c r="J57" s="3"/>
      <c r="K57" s="3"/>
      <c r="L57" s="3"/>
    </row>
    <row r="58">
      <c r="A58" s="3"/>
      <c r="B58" s="3" t="s">
        <v>644</v>
      </c>
      <c r="C58" s="83"/>
      <c r="D58" s="11"/>
      <c r="E58" s="11"/>
      <c r="F58" s="11"/>
      <c r="G58" s="11"/>
      <c r="H58" s="11"/>
      <c r="I58" s="11"/>
      <c r="J58" s="3"/>
      <c r="K58" s="3"/>
      <c r="L58" s="3"/>
    </row>
    <row r="59">
      <c r="A59" s="3"/>
      <c r="B59" s="3" t="s">
        <v>645</v>
      </c>
      <c r="C59" s="83"/>
      <c r="D59" s="11"/>
      <c r="E59" s="11"/>
      <c r="F59" s="11"/>
      <c r="G59" s="11"/>
      <c r="H59" s="11"/>
      <c r="I59" s="11"/>
      <c r="J59" s="3"/>
      <c r="K59" s="3"/>
      <c r="L59" s="3"/>
    </row>
    <row r="60">
      <c r="A60" s="3"/>
      <c r="B60" s="3" t="s">
        <v>646</v>
      </c>
      <c r="C60" s="83"/>
      <c r="D60" s="11"/>
      <c r="E60" s="11"/>
      <c r="F60" s="11"/>
      <c r="G60" s="11"/>
      <c r="H60" s="11"/>
      <c r="I60" s="11"/>
      <c r="J60" s="3"/>
      <c r="K60" s="3"/>
      <c r="L60" s="3"/>
    </row>
    <row r="61">
      <c r="A61" s="3"/>
      <c r="B61" s="3" t="s">
        <v>647</v>
      </c>
      <c r="C61" s="83"/>
      <c r="D61" s="11"/>
      <c r="E61" s="11"/>
      <c r="F61" s="11"/>
      <c r="G61" s="11"/>
      <c r="H61" s="11"/>
      <c r="I61" s="11"/>
      <c r="J61" s="3"/>
      <c r="K61" s="3"/>
      <c r="L61" s="3"/>
    </row>
    <row r="62">
      <c r="A62" s="3"/>
      <c r="B62" s="3" t="s">
        <v>648</v>
      </c>
      <c r="C62" s="83"/>
      <c r="D62" s="11"/>
      <c r="E62" s="11"/>
      <c r="F62" s="11"/>
      <c r="G62" s="11"/>
      <c r="H62" s="11"/>
      <c r="I62" s="11"/>
      <c r="J62" s="3"/>
      <c r="K62" s="3"/>
      <c r="L62" s="3"/>
    </row>
    <row r="63">
      <c r="A63" s="3"/>
      <c r="B63" s="3" t="s">
        <v>649</v>
      </c>
      <c r="C63" s="83"/>
      <c r="D63" s="11"/>
      <c r="E63" s="11"/>
      <c r="F63" s="11"/>
      <c r="G63" s="11"/>
      <c r="H63" s="11"/>
      <c r="I63" s="11"/>
      <c r="J63" s="3"/>
      <c r="K63" s="3"/>
      <c r="L63" s="3"/>
    </row>
    <row r="64">
      <c r="A64" s="3"/>
      <c r="B64" s="3" t="s">
        <v>650</v>
      </c>
      <c r="C64" s="83"/>
      <c r="D64" s="11"/>
      <c r="E64" s="11"/>
      <c r="F64" s="11"/>
      <c r="G64" s="11"/>
      <c r="H64" s="11"/>
      <c r="I64" s="11"/>
      <c r="J64" s="3"/>
      <c r="K64" s="3"/>
      <c r="L64" s="3"/>
    </row>
    <row r="65">
      <c r="A65" s="3"/>
      <c r="B65" s="3" t="s">
        <v>651</v>
      </c>
      <c r="C65" s="83">
        <v>8</v>
      </c>
      <c r="D65" s="11"/>
      <c r="E65" s="11"/>
      <c r="F65" s="11"/>
      <c r="G65" s="11"/>
      <c r="H65" s="11"/>
      <c r="I65" s="11"/>
      <c r="J65" s="3"/>
      <c r="K65" s="3"/>
      <c r="L65" s="3"/>
    </row>
    <row r="66">
      <c r="A66" s="3"/>
      <c r="B66" s="3" t="s">
        <v>652</v>
      </c>
      <c r="C66" s="83">
        <v>8.02</v>
      </c>
      <c r="D66" s="11"/>
      <c r="E66" s="11"/>
      <c r="F66" s="11"/>
      <c r="G66" s="11"/>
      <c r="H66" s="11"/>
      <c r="I66" s="11"/>
      <c r="J66" s="3"/>
      <c r="K66" s="3"/>
      <c r="L66" s="3"/>
    </row>
    <row r="67">
      <c r="A67" s="3"/>
      <c r="B67" s="3" t="s">
        <v>653</v>
      </c>
      <c r="C67" s="83">
        <v>5.65</v>
      </c>
      <c r="D67" s="11"/>
      <c r="E67" s="11"/>
      <c r="F67" s="11"/>
      <c r="G67" s="11"/>
      <c r="H67" s="11"/>
      <c r="I67" s="11"/>
      <c r="J67" s="3"/>
      <c r="K67" s="3"/>
      <c r="L67" s="3"/>
    </row>
    <row r="68">
      <c r="A68" s="3"/>
      <c r="B68" s="3" t="s">
        <v>654</v>
      </c>
      <c r="C68" s="83"/>
      <c r="D68" s="11"/>
      <c r="E68" s="11"/>
      <c r="F68" s="11"/>
      <c r="G68" s="11"/>
      <c r="H68" s="11"/>
      <c r="I68" s="11"/>
      <c r="J68" s="3"/>
      <c r="K68" s="3"/>
      <c r="L68" s="3"/>
    </row>
    <row r="69">
      <c r="A69" s="3"/>
      <c r="B69" s="3" t="s">
        <v>655</v>
      </c>
      <c r="C69" s="83"/>
      <c r="D69" s="11"/>
      <c r="E69" s="11"/>
      <c r="F69" s="11"/>
      <c r="G69" s="11"/>
      <c r="H69" s="11"/>
      <c r="I69" s="11"/>
      <c r="J69" s="3"/>
      <c r="K69" s="3"/>
      <c r="L69" s="3"/>
    </row>
    <row r="70">
      <c r="A70" s="3"/>
      <c r="B70" s="3" t="s">
        <v>656</v>
      </c>
      <c r="C70" s="83"/>
      <c r="D70" s="11"/>
      <c r="E70" s="11"/>
      <c r="F70" s="11"/>
      <c r="G70" s="11"/>
      <c r="H70" s="11"/>
      <c r="I70" s="11"/>
      <c r="J70" s="3"/>
      <c r="K70" s="3"/>
      <c r="L70" s="3"/>
    </row>
    <row r="71">
      <c r="A71" s="3"/>
      <c r="B71" s="3" t="s">
        <v>657</v>
      </c>
      <c r="C71" s="83">
        <v>-2.17</v>
      </c>
      <c r="D71" s="11"/>
      <c r="E71" s="11"/>
      <c r="F71" s="11"/>
      <c r="G71" s="11"/>
      <c r="H71" s="11"/>
      <c r="I71" s="11"/>
      <c r="J71" s="3"/>
      <c r="K71" s="3"/>
      <c r="L71" s="3"/>
    </row>
    <row r="72">
      <c r="A72" s="3"/>
      <c r="B72" s="3" t="s">
        <v>658</v>
      </c>
      <c r="C72" s="83"/>
      <c r="D72" s="11"/>
      <c r="E72" s="11"/>
      <c r="F72" s="11"/>
      <c r="G72" s="11"/>
      <c r="H72" s="11"/>
      <c r="I72" s="11"/>
      <c r="J72" s="3"/>
      <c r="K72" s="3"/>
      <c r="L72" s="3"/>
    </row>
    <row r="73">
      <c r="A73" s="3"/>
      <c r="B73" s="3" t="s">
        <v>659</v>
      </c>
      <c r="C73" s="83">
        <v>-14.02</v>
      </c>
      <c r="D73" s="11"/>
      <c r="E73" s="11"/>
      <c r="F73" s="11"/>
      <c r="G73" s="11"/>
      <c r="H73" s="11"/>
      <c r="I73" s="11"/>
      <c r="J73" s="3"/>
      <c r="K73" s="3"/>
      <c r="L73" s="3"/>
    </row>
    <row r="74">
      <c r="A74" s="3"/>
      <c r="B74" s="3" t="s">
        <v>660</v>
      </c>
      <c r="C74" s="83"/>
      <c r="D74" s="11"/>
      <c r="E74" s="11"/>
      <c r="F74" s="11"/>
      <c r="G74" s="11"/>
      <c r="H74" s="11"/>
      <c r="I74" s="11"/>
      <c r="J74" s="3"/>
      <c r="K74" s="3"/>
      <c r="L74" s="3"/>
    </row>
    <row r="75">
      <c r="A75" s="3"/>
      <c r="B75" s="3" t="s">
        <v>661</v>
      </c>
      <c r="C75" s="83"/>
      <c r="D75" s="11"/>
      <c r="E75" s="11"/>
      <c r="F75" s="11"/>
      <c r="G75" s="11"/>
      <c r="H75" s="11"/>
      <c r="I75" s="11"/>
      <c r="J75" s="3"/>
      <c r="K75" s="3"/>
      <c r="L75" s="3"/>
    </row>
    <row r="76">
      <c r="A76" s="3"/>
      <c r="B76" s="3" t="s">
        <v>662</v>
      </c>
      <c r="C76" s="83"/>
      <c r="D76" s="11"/>
      <c r="E76" s="11"/>
      <c r="F76" s="11"/>
      <c r="G76" s="11"/>
      <c r="H76" s="11"/>
      <c r="I76" s="11"/>
      <c r="J76" s="3"/>
      <c r="K76" s="3"/>
      <c r="L76" s="3"/>
    </row>
    <row r="77">
      <c r="A77" s="3"/>
      <c r="B77" s="3" t="s">
        <v>663</v>
      </c>
      <c r="C77" s="83">
        <v>0.75</v>
      </c>
      <c r="D77" s="11"/>
      <c r="E77" s="11"/>
      <c r="F77" s="11"/>
      <c r="G77" s="11"/>
      <c r="H77" s="11"/>
      <c r="I77" s="11"/>
      <c r="J77" s="3"/>
      <c r="K77" s="3"/>
      <c r="L77" s="3"/>
    </row>
    <row r="78">
      <c r="A78" s="3"/>
      <c r="B78" s="3" t="s">
        <v>664</v>
      </c>
      <c r="C78" s="83">
        <v>374.12</v>
      </c>
      <c r="D78" s="11"/>
      <c r="E78" s="11"/>
      <c r="F78" s="11"/>
      <c r="G78" s="11"/>
      <c r="H78" s="11"/>
      <c r="I78" s="11"/>
      <c r="J78" s="3"/>
      <c r="K78" s="3"/>
      <c r="L78" s="3"/>
    </row>
    <row r="79">
      <c r="A79" s="3"/>
      <c r="B79" s="3" t="s">
        <v>665</v>
      </c>
      <c r="C79" s="83">
        <v>22.92</v>
      </c>
      <c r="D79" s="11"/>
      <c r="E79" s="11"/>
      <c r="F79" s="11"/>
      <c r="G79" s="11"/>
      <c r="H79" s="11"/>
      <c r="I79" s="11"/>
      <c r="J79" s="3"/>
      <c r="K79" s="3"/>
      <c r="L79" s="3"/>
    </row>
    <row r="80">
      <c r="A80" s="3"/>
      <c r="B80" s="3" t="s">
        <v>666</v>
      </c>
      <c r="C80" s="83">
        <v>8.53</v>
      </c>
      <c r="D80" s="11"/>
      <c r="E80" s="11"/>
      <c r="F80" s="11"/>
      <c r="G80" s="11"/>
      <c r="H80" s="11"/>
      <c r="I80" s="11"/>
      <c r="J80" s="3"/>
      <c r="K80" s="3"/>
      <c r="L80" s="3"/>
    </row>
    <row r="81">
      <c r="A81" s="3"/>
      <c r="B81" s="3" t="s">
        <v>667</v>
      </c>
      <c r="C81" s="83">
        <v>0.49</v>
      </c>
      <c r="D81" s="11"/>
      <c r="E81" s="11"/>
      <c r="F81" s="11"/>
      <c r="G81" s="11"/>
      <c r="H81" s="11"/>
      <c r="I81" s="11"/>
      <c r="J81" s="3"/>
      <c r="K81" s="3"/>
      <c r="L81" s="3"/>
    </row>
    <row r="82">
      <c r="A82" s="3"/>
      <c r="B82" s="3" t="s">
        <v>668</v>
      </c>
      <c r="C82" s="83">
        <v>21.2</v>
      </c>
      <c r="D82" s="11"/>
      <c r="E82" s="11"/>
      <c r="F82" s="11"/>
      <c r="G82" s="11"/>
      <c r="H82" s="11"/>
      <c r="I82" s="11"/>
      <c r="J82" s="3"/>
      <c r="K82" s="3"/>
      <c r="L82" s="3"/>
    </row>
    <row r="83">
      <c r="A83" s="3"/>
      <c r="B83" s="3" t="s">
        <v>669</v>
      </c>
      <c r="C83" s="83">
        <v>21</v>
      </c>
      <c r="D83" s="11"/>
      <c r="E83" s="11"/>
      <c r="F83" s="11"/>
      <c r="G83" s="11"/>
      <c r="H83" s="11"/>
      <c r="I83" s="11"/>
      <c r="J83" s="3"/>
      <c r="K83" s="3"/>
      <c r="L83" s="3"/>
    </row>
    <row r="84">
      <c r="A84" s="3"/>
      <c r="B84" s="3" t="s">
        <v>670</v>
      </c>
      <c r="C84" s="83">
        <v>23</v>
      </c>
      <c r="D84" s="11"/>
      <c r="E84" s="11"/>
      <c r="F84" s="11"/>
      <c r="G84" s="11"/>
      <c r="H84" s="11"/>
      <c r="I84" s="11"/>
      <c r="J84" s="3"/>
      <c r="K84" s="3"/>
      <c r="L84" s="3"/>
    </row>
    <row r="85">
      <c r="A85" s="3"/>
      <c r="B85" s="3" t="s">
        <v>671</v>
      </c>
      <c r="C85" s="83">
        <v>20</v>
      </c>
      <c r="D85" s="11"/>
      <c r="E85" s="11"/>
      <c r="F85" s="11"/>
      <c r="G85" s="11"/>
      <c r="H85" s="11"/>
      <c r="I85" s="11"/>
      <c r="J85" s="3"/>
      <c r="K85" s="3"/>
      <c r="L85" s="3"/>
    </row>
    <row r="86">
      <c r="A86" s="3"/>
      <c r="B86" s="3" t="s">
        <v>672</v>
      </c>
      <c r="C86" s="83">
        <v>1.17</v>
      </c>
      <c r="D86" s="11"/>
      <c r="E86" s="11"/>
      <c r="F86" s="11"/>
      <c r="G86" s="11"/>
      <c r="H86" s="11"/>
      <c r="I86" s="11"/>
      <c r="J86" s="3"/>
      <c r="K86" s="3"/>
      <c r="L86" s="3"/>
    </row>
    <row r="87">
      <c r="A87" s="3"/>
      <c r="B87" s="3" t="s">
        <v>673</v>
      </c>
      <c r="C87" s="83">
        <v>5</v>
      </c>
      <c r="D87" s="11"/>
      <c r="E87" s="11"/>
      <c r="F87" s="11"/>
      <c r="G87" s="11"/>
      <c r="H87" s="11"/>
      <c r="I87" s="11"/>
      <c r="J87" s="3"/>
      <c r="K87" s="3"/>
      <c r="L87" s="3"/>
    </row>
    <row r="88">
      <c r="A88" s="3"/>
      <c r="B88" s="3" t="s">
        <v>674</v>
      </c>
      <c r="C88" s="125" t="s">
        <v>675</v>
      </c>
      <c r="D88" s="11"/>
      <c r="E88" s="11"/>
      <c r="F88" s="11"/>
      <c r="G88" s="11"/>
      <c r="H88" s="11"/>
      <c r="I88" s="11"/>
      <c r="J88" s="3"/>
      <c r="K88" s="3"/>
      <c r="L88" s="3"/>
    </row>
    <row r="89">
      <c r="A89" s="3"/>
      <c r="B89" s="3" t="s">
        <v>676</v>
      </c>
      <c r="C89" s="83">
        <v>2.86</v>
      </c>
      <c r="D89" s="11"/>
      <c r="E89" s="11"/>
      <c r="F89" s="11"/>
      <c r="G89" s="11"/>
      <c r="H89" s="11"/>
      <c r="I89" s="11"/>
      <c r="J89" s="3"/>
      <c r="K89" s="3"/>
      <c r="L89" s="3"/>
    </row>
    <row r="90">
      <c r="A90" s="3"/>
      <c r="B90" s="3" t="s">
        <v>677</v>
      </c>
      <c r="C90" s="83">
        <v>16.48</v>
      </c>
      <c r="D90" s="11"/>
      <c r="E90" s="11"/>
      <c r="F90" s="11"/>
      <c r="G90" s="11"/>
      <c r="H90" s="11"/>
      <c r="I90" s="11"/>
      <c r="J90" s="3"/>
      <c r="K90" s="3"/>
      <c r="L90" s="3"/>
    </row>
    <row r="91">
      <c r="A91" s="3"/>
      <c r="B91" s="3" t="s">
        <v>678</v>
      </c>
      <c r="C91" s="83"/>
      <c r="D91" s="11"/>
      <c r="E91" s="11"/>
      <c r="F91" s="11"/>
      <c r="G91" s="11"/>
      <c r="H91" s="11"/>
      <c r="I91" s="11"/>
      <c r="J91" s="3"/>
      <c r="K91" s="3"/>
      <c r="L91" s="3"/>
    </row>
    <row r="92">
      <c r="A92" s="3"/>
      <c r="B92" s="3" t="s">
        <v>600</v>
      </c>
      <c r="C92" s="125" t="s">
        <v>17</v>
      </c>
      <c r="D92" s="11"/>
      <c r="E92" s="11"/>
      <c r="F92" s="11"/>
      <c r="G92" s="11"/>
      <c r="H92" s="11"/>
      <c r="I92" s="11"/>
      <c r="J92" s="3"/>
      <c r="K92" s="3"/>
      <c r="L92" s="3"/>
    </row>
    <row r="93">
      <c r="A93" s="3"/>
      <c r="B93" s="3" t="s">
        <v>679</v>
      </c>
      <c r="C93" s="116" t="s">
        <v>680</v>
      </c>
      <c r="D93" s="11"/>
      <c r="E93" s="11"/>
      <c r="F93" s="11"/>
      <c r="G93" s="11"/>
      <c r="H93" s="11"/>
      <c r="I93" s="11"/>
      <c r="J93" s="3"/>
      <c r="K93" s="3"/>
      <c r="L93" s="3"/>
    </row>
    <row r="94">
      <c r="A94" s="3"/>
      <c r="B94" s="3" t="s">
        <v>681</v>
      </c>
      <c r="C94" s="82">
        <v>46299</v>
      </c>
      <c r="D94" s="11"/>
      <c r="E94" s="11"/>
      <c r="F94" s="11"/>
      <c r="G94" s="11"/>
      <c r="H94" s="11"/>
      <c r="I94" s="11"/>
      <c r="J94" s="3"/>
      <c r="K94" s="3"/>
      <c r="L94" s="3"/>
    </row>
    <row r="95">
      <c r="A95" s="3"/>
      <c r="B95" s="3" t="s">
        <v>682</v>
      </c>
      <c r="C95" s="116" t="s">
        <v>683</v>
      </c>
      <c r="D95" s="11"/>
      <c r="E95" s="11"/>
      <c r="F95" s="11"/>
      <c r="G95" s="11"/>
      <c r="H95" s="11"/>
      <c r="I95" s="11"/>
      <c r="J95" s="3"/>
      <c r="K95" s="3"/>
      <c r="L95" s="3"/>
    </row>
    <row r="96">
      <c r="A96" s="3"/>
      <c r="B96" s="3"/>
      <c r="C96" s="11"/>
      <c r="D96" s="11"/>
      <c r="E96" s="11"/>
      <c r="F96" s="11"/>
      <c r="G96" s="11"/>
      <c r="H96" s="11"/>
      <c r="I96" s="11"/>
      <c r="J96" s="3"/>
      <c r="K96" s="3"/>
      <c r="L96" s="3"/>
    </row>
    <row r="97">
      <c r="A97" s="3"/>
      <c r="B97" s="30" t="s">
        <v>684</v>
      </c>
      <c r="C97" s="11"/>
      <c r="D97" s="11"/>
      <c r="E97" s="11"/>
      <c r="F97" s="11"/>
      <c r="G97" s="11"/>
      <c r="H97" s="11"/>
      <c r="I97" s="11"/>
      <c r="J97" s="3"/>
      <c r="K97" s="3"/>
      <c r="L97" s="3"/>
    </row>
    <row r="98" ht="36">
      <c r="A98" s="3"/>
      <c r="B98" s="119" t="s">
        <v>593</v>
      </c>
      <c r="C98" s="117" t="s">
        <v>685</v>
      </c>
      <c r="D98" s="117" t="s">
        <v>686</v>
      </c>
      <c r="E98" s="117" t="s">
        <v>687</v>
      </c>
      <c r="F98" s="117" t="s">
        <v>688</v>
      </c>
      <c r="G98" s="117" t="s">
        <v>689</v>
      </c>
      <c r="H98" s="117" t="s">
        <v>690</v>
      </c>
      <c r="I98" s="117" t="s">
        <v>691</v>
      </c>
      <c r="J98" s="3"/>
      <c r="K98" s="3"/>
      <c r="L98" s="3"/>
    </row>
    <row r="99">
      <c r="A99" s="3"/>
      <c r="B99" s="80">
        <v>45716</v>
      </c>
      <c r="C99" s="82">
        <v>45784</v>
      </c>
      <c r="D99" s="83">
        <v>0.73</v>
      </c>
      <c r="E99" s="83">
        <v>0.56</v>
      </c>
      <c r="F99" s="83">
        <v>0.71</v>
      </c>
      <c r="G99" s="83">
        <v>-0.05</v>
      </c>
      <c r="H99" s="83">
        <v>33.22</v>
      </c>
      <c r="I99" s="83">
        <v>31.3</v>
      </c>
      <c r="J99" s="3"/>
      <c r="K99" s="3"/>
      <c r="L99" s="3"/>
    </row>
    <row r="100">
      <c r="A100" s="3"/>
      <c r="B100" s="80">
        <v>45808</v>
      </c>
      <c r="C100" s="82">
        <v>45846</v>
      </c>
      <c r="D100" s="83">
        <v>0.72</v>
      </c>
      <c r="E100" s="83">
        <v>0.66</v>
      </c>
      <c r="F100" s="83">
        <v>0.72</v>
      </c>
      <c r="G100" s="83">
        <v>0.91</v>
      </c>
      <c r="H100" s="83">
        <v>32.79</v>
      </c>
      <c r="I100" s="83">
        <v>32.32</v>
      </c>
      <c r="J100" s="3"/>
      <c r="K100" s="3"/>
      <c r="L100" s="3"/>
    </row>
    <row r="101">
      <c r="A101" s="3"/>
      <c r="B101" s="80">
        <v>45900</v>
      </c>
      <c r="C101" s="82">
        <v>45937</v>
      </c>
      <c r="D101" s="83">
        <v>0.68</v>
      </c>
      <c r="E101" s="83">
        <v>0.58</v>
      </c>
      <c r="F101" s="83">
        <v>0.68</v>
      </c>
      <c r="G101" s="83">
        <v>0.84</v>
      </c>
      <c r="H101" s="83">
        <v>32.38</v>
      </c>
      <c r="I101" s="83">
        <v>30.63</v>
      </c>
      <c r="J101" s="3"/>
      <c r="K101" s="3"/>
      <c r="L101" s="3"/>
    </row>
    <row r="102">
      <c r="A102" s="3"/>
      <c r="B102" s="80">
        <v>45991</v>
      </c>
      <c r="C102" s="82">
        <v>46029</v>
      </c>
      <c r="D102" s="83">
        <v>0.59</v>
      </c>
      <c r="E102" s="83">
        <v>0.61</v>
      </c>
      <c r="F102" s="83">
        <v>0.6</v>
      </c>
      <c r="G102" s="83">
        <v>0.74</v>
      </c>
      <c r="H102" s="83">
        <v>31.35</v>
      </c>
      <c r="I102" s="83">
        <v>31.65</v>
      </c>
      <c r="J102" s="3"/>
      <c r="K102" s="3"/>
      <c r="L102" s="3"/>
    </row>
    <row r="103">
      <c r="A103" s="3"/>
      <c r="B103" s="80">
        <v>46081</v>
      </c>
      <c r="C103" s="82">
        <v>46147</v>
      </c>
      <c r="D103" s="83">
        <v>0.55</v>
      </c>
      <c r="E103" s="83">
        <v>0.53</v>
      </c>
      <c r="F103" s="83">
        <v>0.56</v>
      </c>
      <c r="G103" s="83">
        <v>-0.16</v>
      </c>
      <c r="H103" s="83">
        <v>30.82</v>
      </c>
      <c r="I103" s="83">
        <v>31.12</v>
      </c>
      <c r="J103" s="3"/>
      <c r="K103" s="3"/>
      <c r="L103" s="3"/>
    </row>
    <row r="104">
      <c r="A104" s="3"/>
      <c r="B104" s="80">
        <v>46173</v>
      </c>
      <c r="C104" s="82">
        <v>46210</v>
      </c>
      <c r="D104" s="83">
        <v>0.54</v>
      </c>
      <c r="E104" s="83">
        <v>0.47</v>
      </c>
      <c r="F104" s="83">
        <v>0.55</v>
      </c>
      <c r="G104" s="83">
        <v>-0.42</v>
      </c>
      <c r="H104" s="83">
        <v>31.38</v>
      </c>
      <c r="I104" s="83">
        <v>30.78</v>
      </c>
      <c r="J104" s="3"/>
      <c r="K104" s="3"/>
      <c r="L104" s="3"/>
    </row>
    <row r="105">
      <c r="A105" s="3"/>
      <c r="B105" s="3"/>
      <c r="C105" s="11"/>
      <c r="D105" s="11"/>
      <c r="E105" s="11"/>
      <c r="F105" s="11"/>
      <c r="G105" s="11"/>
      <c r="H105" s="11"/>
      <c r="I105" s="11"/>
      <c r="J105" s="3"/>
      <c r="K105" s="3"/>
      <c r="L105" s="3"/>
    </row>
    <row r="106">
      <c r="A106" s="3"/>
      <c r="B106" s="30" t="s">
        <v>692</v>
      </c>
      <c r="C106" s="11"/>
      <c r="D106" s="11"/>
      <c r="E106" s="11"/>
      <c r="F106" s="11"/>
      <c r="G106" s="11"/>
      <c r="H106" s="11"/>
      <c r="I106" s="11"/>
      <c r="J106" s="3"/>
      <c r="K106" s="3"/>
      <c r="L106" s="3"/>
    </row>
    <row r="107">
      <c r="A107" s="3"/>
      <c r="B107" s="3" t="s">
        <v>693</v>
      </c>
      <c r="C107" s="47">
        <f>IF(E99&gt;D99,1,0)</f>
        <v>0</v>
      </c>
      <c r="D107" s="47"/>
      <c r="E107" s="47"/>
      <c r="F107" s="47"/>
      <c r="G107" s="47"/>
      <c r="H107" s="47"/>
      <c r="I107" s="47"/>
      <c r="J107" s="3"/>
      <c r="K107" s="3"/>
      <c r="L107" s="3"/>
    </row>
    <row r="108">
      <c r="A108" s="3"/>
      <c r="B108" s="3" t="s">
        <v>694</v>
      </c>
      <c r="C108" s="47">
        <f>IF(E100&gt;D100,1,0)</f>
        <v>0</v>
      </c>
      <c r="D108" s="47"/>
      <c r="E108" s="47"/>
      <c r="F108" s="47"/>
      <c r="G108" s="47"/>
      <c r="H108" s="47"/>
      <c r="I108" s="47"/>
      <c r="J108" s="3"/>
      <c r="K108" s="3"/>
      <c r="L108" s="3"/>
    </row>
    <row r="109">
      <c r="A109" s="3"/>
      <c r="B109" s="3" t="s">
        <v>695</v>
      </c>
      <c r="C109" s="47">
        <f>IF(E101&gt;D101,1,0)</f>
        <v>0</v>
      </c>
      <c r="D109" s="47"/>
      <c r="E109" s="47"/>
      <c r="F109" s="47"/>
      <c r="G109" s="47"/>
      <c r="H109" s="47"/>
      <c r="I109" s="47"/>
      <c r="J109" s="3"/>
      <c r="K109" s="3"/>
      <c r="L109" s="3"/>
    </row>
    <row r="110">
      <c r="A110" s="3"/>
      <c r="B110" s="3" t="s">
        <v>696</v>
      </c>
      <c r="C110" s="47">
        <f>IF(E102&gt;D102,1,0)</f>
        <v>1</v>
      </c>
      <c r="D110" s="47"/>
      <c r="E110" s="47"/>
      <c r="F110" s="47"/>
      <c r="G110" s="47"/>
      <c r="H110" s="47"/>
      <c r="I110" s="47"/>
      <c r="J110" s="3"/>
      <c r="K110" s="3"/>
      <c r="L110" s="3"/>
    </row>
    <row r="111">
      <c r="A111" s="3"/>
      <c r="B111" s="3" t="s">
        <v>697</v>
      </c>
      <c r="C111" s="47">
        <f>IF(E103&gt;D103,1,0)</f>
        <v>0</v>
      </c>
      <c r="D111" s="47"/>
      <c r="E111" s="47"/>
      <c r="F111" s="47"/>
      <c r="G111" s="47"/>
      <c r="H111" s="47"/>
      <c r="I111" s="47"/>
      <c r="J111" s="3"/>
      <c r="K111" s="3"/>
      <c r="L111" s="3"/>
    </row>
    <row r="112">
      <c r="A112" s="3"/>
      <c r="B112" s="3" t="s">
        <v>698</v>
      </c>
      <c r="C112" s="47">
        <f>IF(E104&gt;D104,1,0)</f>
        <v>0</v>
      </c>
      <c r="D112" s="47"/>
      <c r="E112" s="47"/>
      <c r="F112" s="47"/>
      <c r="G112" s="47"/>
      <c r="H112" s="47"/>
      <c r="I112" s="47"/>
      <c r="J112" s="3"/>
      <c r="K112" s="3"/>
      <c r="L112" s="3"/>
    </row>
    <row r="113">
      <c r="A113" s="3"/>
      <c r="B113" s="3" t="s">
        <v>699</v>
      </c>
      <c r="C113" s="4">
        <f>E99-D99</f>
        <v>-0.16999999999999993</v>
      </c>
      <c r="D113" s="4"/>
      <c r="E113" s="4"/>
      <c r="F113" s="4"/>
      <c r="G113" s="4"/>
      <c r="H113" s="4"/>
      <c r="I113" s="4"/>
      <c r="J113" s="3"/>
      <c r="K113" s="3"/>
      <c r="L113" s="3"/>
    </row>
    <row r="114">
      <c r="A114" s="3"/>
      <c r="B114" s="3" t="s">
        <v>700</v>
      </c>
      <c r="C114" s="4">
        <f>E100-D100</f>
        <v>-0.05999999999999994</v>
      </c>
      <c r="D114" s="4"/>
      <c r="E114" s="4"/>
      <c r="F114" s="4"/>
      <c r="G114" s="4"/>
      <c r="H114" s="4"/>
      <c r="I114" s="4"/>
      <c r="J114" s="3"/>
      <c r="K114" s="3"/>
      <c r="L114" s="3"/>
    </row>
    <row r="115">
      <c r="A115" s="3"/>
      <c r="B115" s="3" t="s">
        <v>701</v>
      </c>
      <c r="C115" s="4">
        <f>E101-D101</f>
        <v>-0.10000000000000009</v>
      </c>
      <c r="D115" s="4"/>
      <c r="E115" s="4"/>
      <c r="F115" s="4"/>
      <c r="G115" s="4"/>
      <c r="H115" s="4"/>
      <c r="I115" s="4"/>
      <c r="J115" s="3"/>
      <c r="K115" s="3"/>
      <c r="L115" s="3"/>
    </row>
    <row r="116">
      <c r="A116" s="3"/>
      <c r="B116" s="3" t="s">
        <v>702</v>
      </c>
      <c r="C116" s="4">
        <f>E102-D102</f>
        <v>0.020000000000000018</v>
      </c>
      <c r="D116" s="4"/>
      <c r="E116" s="4"/>
      <c r="F116" s="4"/>
      <c r="G116" s="4"/>
      <c r="H116" s="4"/>
      <c r="I116" s="4"/>
      <c r="J116" s="3"/>
      <c r="K116" s="3"/>
      <c r="L116" s="3"/>
    </row>
    <row r="117">
      <c r="A117" s="3"/>
      <c r="B117" s="3" t="s">
        <v>703</v>
      </c>
      <c r="C117" s="4">
        <f>E103-D103</f>
        <v>-0.020000000000000018</v>
      </c>
      <c r="D117" s="4"/>
      <c r="E117" s="4"/>
      <c r="F117" s="4"/>
      <c r="G117" s="4"/>
      <c r="H117" s="4"/>
      <c r="I117" s="4"/>
      <c r="J117" s="3"/>
      <c r="K117" s="3"/>
      <c r="L117" s="3"/>
    </row>
    <row r="118">
      <c r="A118" s="3"/>
      <c r="B118" s="3" t="s">
        <v>704</v>
      </c>
      <c r="C118" s="4">
        <f>E104-D104</f>
        <v>-0.07000000000000006</v>
      </c>
      <c r="D118" s="4"/>
      <c r="E118" s="4"/>
      <c r="F118" s="4"/>
      <c r="G118" s="4"/>
      <c r="H118" s="4"/>
      <c r="I118" s="4"/>
      <c r="J118" s="3"/>
      <c r="K118" s="3"/>
      <c r="L118" s="3"/>
    </row>
    <row r="119">
      <c r="A119" s="3"/>
      <c r="B119" s="3" t="s">
        <v>705</v>
      </c>
      <c r="C119" s="47">
        <f>SUM(C107:C112)</f>
        <v>1</v>
      </c>
      <c r="D119" s="47"/>
      <c r="E119" s="47"/>
      <c r="F119" s="47"/>
      <c r="G119" s="47"/>
      <c r="H119" s="47"/>
      <c r="I119" s="47"/>
      <c r="J119" s="3"/>
      <c r="K119" s="3"/>
      <c r="L119" s="3"/>
    </row>
    <row r="120">
      <c r="A120" s="3"/>
      <c r="B120" s="3" t="s">
        <v>706</v>
      </c>
      <c r="C120" s="47">
        <f>COUNT(E99:E104)</f>
        <v>6</v>
      </c>
      <c r="D120" s="47"/>
      <c r="E120" s="47"/>
      <c r="F120" s="47"/>
      <c r="G120" s="47"/>
      <c r="H120" s="47"/>
      <c r="I120" s="47"/>
      <c r="J120" s="3"/>
      <c r="K120" s="3"/>
      <c r="L120" s="3"/>
    </row>
    <row r="121">
      <c r="A121" s="3"/>
      <c r="B121" s="3" t="s">
        <v>707</v>
      </c>
      <c r="C121" s="4">
        <f>C90</f>
        <v>16.48</v>
      </c>
      <c r="D121" s="4"/>
      <c r="E121" s="4"/>
      <c r="F121" s="4"/>
      <c r="G121" s="4"/>
      <c r="H121" s="4"/>
      <c r="I121" s="4"/>
      <c r="J121" s="3"/>
      <c r="K121" s="3"/>
      <c r="L121" s="3"/>
    </row>
    <row r="122">
      <c r="A122" s="3"/>
      <c r="B122" s="3" t="s">
        <v>708</v>
      </c>
      <c r="C122" s="28">
        <f>C90*'Share Count'!I49</f>
        <v>268.79870447999997</v>
      </c>
      <c r="D122" s="44"/>
      <c r="E122" s="44"/>
      <c r="F122" s="44"/>
      <c r="G122" s="44"/>
      <c r="H122" s="44"/>
      <c r="I122" s="44"/>
      <c r="J122" s="3"/>
      <c r="K122" s="3"/>
      <c r="L122" s="3"/>
    </row>
    <row r="123">
      <c r="A123" s="3"/>
      <c r="B123" s="3" t="s">
        <v>709</v>
      </c>
      <c r="C123" s="118" t="str">
        <f>IF(C122&lt;300,"Below small range (micro-cap); nearest = small",IF(C122&lt;2000,"Small",IF(C122&lt;10000,"Mid","Large")))</f>
        <v>Below small range (micro-cap); nearest = small</v>
      </c>
      <c r="D123" s="11"/>
      <c r="E123" s="11"/>
      <c r="F123" s="11"/>
      <c r="G123" s="11"/>
      <c r="H123" s="11"/>
      <c r="I123" s="11"/>
      <c r="J123" s="3"/>
      <c r="K123" s="3"/>
      <c r="L123" s="3"/>
    </row>
    <row r="124">
      <c r="A124" s="3"/>
      <c r="B124" s="3" t="s">
        <v>710</v>
      </c>
      <c r="C124" s="11" t="str">
        <f>C29</f>
        <v>N</v>
      </c>
      <c r="D124" s="11"/>
      <c r="E124" s="11"/>
      <c r="F124" s="11"/>
      <c r="G124" s="11"/>
      <c r="H124" s="11"/>
      <c r="I124" s="11"/>
      <c r="J124" s="3"/>
      <c r="K124" s="3"/>
      <c r="L124" s="3"/>
    </row>
    <row r="125">
      <c r="A125" s="3"/>
      <c r="B125" s="3" t="s">
        <v>711</v>
      </c>
      <c r="C125" s="84">
        <v>0.6</v>
      </c>
      <c r="D125" s="127" t="s">
        <v>712</v>
      </c>
      <c r="E125" s="81"/>
      <c r="F125" s="81"/>
      <c r="G125" s="81"/>
      <c r="H125" s="81"/>
      <c r="I125" s="81"/>
      <c r="J125" s="3"/>
      <c r="K125" s="3"/>
      <c r="L125" s="3"/>
    </row>
    <row r="126">
      <c r="A126" s="3"/>
      <c r="B126" s="3" t="s">
        <v>713</v>
      </c>
      <c r="C126" s="96">
        <v>8</v>
      </c>
      <c r="D126" s="47"/>
      <c r="E126" s="47"/>
      <c r="F126" s="47"/>
      <c r="G126" s="47"/>
      <c r="H126" s="47"/>
      <c r="I126" s="47"/>
      <c r="J126" s="3"/>
      <c r="K126" s="3"/>
      <c r="L126" s="3"/>
    </row>
    <row r="127">
      <c r="A127" s="3"/>
      <c r="B127" s="3" t="s">
        <v>714</v>
      </c>
      <c r="C127" s="81">
        <f>(C126*C125+C119)/(C126+C120)</f>
        <v>0.41428571428571426</v>
      </c>
      <c r="D127" s="81"/>
      <c r="E127" s="81"/>
      <c r="F127" s="81"/>
      <c r="G127" s="81"/>
      <c r="H127" s="81"/>
      <c r="I127" s="81"/>
      <c r="J127" s="3"/>
      <c r="K127" s="3"/>
      <c r="L127" s="3"/>
    </row>
    <row r="128">
      <c r="A128" s="3"/>
      <c r="B128" s="3" t="s">
        <v>715</v>
      </c>
      <c r="C128" s="84">
        <v>0.28</v>
      </c>
      <c r="D128" s="81"/>
      <c r="E128" s="81"/>
      <c r="F128" s="81"/>
      <c r="G128" s="81"/>
      <c r="H128" s="81"/>
      <c r="I128" s="81"/>
      <c r="J128" s="3"/>
      <c r="K128" s="3"/>
      <c r="L128" s="3"/>
    </row>
    <row r="129">
      <c r="A129" s="3"/>
      <c r="B129" s="3" t="s">
        <v>716</v>
      </c>
      <c r="C129" s="81">
        <f>C128-C127</f>
        <v>-0.13428571428571423</v>
      </c>
      <c r="D129" s="81"/>
      <c r="E129" s="81"/>
      <c r="F129" s="81"/>
      <c r="G129" s="81"/>
      <c r="H129" s="81"/>
      <c r="I129" s="81"/>
      <c r="J129" s="3"/>
      <c r="K129" s="3"/>
      <c r="L129" s="3"/>
    </row>
    <row r="130">
      <c r="A130" s="3"/>
      <c r="B130" s="3" t="s">
        <v>717</v>
      </c>
      <c r="C130" s="4">
        <f>AVERAGE(C113:C118)</f>
        <v>-0.06666666666666667</v>
      </c>
      <c r="D130" s="4"/>
      <c r="E130" s="4"/>
      <c r="F130" s="4"/>
      <c r="G130" s="4"/>
      <c r="H130" s="4"/>
      <c r="I130" s="4"/>
      <c r="J130" s="3"/>
      <c r="K130" s="3"/>
      <c r="L130" s="3"/>
    </row>
    <row r="131">
      <c r="A131" s="3"/>
      <c r="B131" s="3" t="s">
        <v>718</v>
      </c>
      <c r="C131" s="96">
        <v>365</v>
      </c>
      <c r="D131" s="47"/>
      <c r="E131" s="47"/>
      <c r="F131" s="47"/>
      <c r="G131" s="47"/>
      <c r="H131" s="47"/>
      <c r="I131" s="47"/>
      <c r="J131" s="3"/>
      <c r="K131" s="3"/>
      <c r="L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</sheetData>
  <legacyDrawing r:id="rId2"/>
</worksheet>
</file>