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PG" sheetId="3" r:id="rId4"/>
    <sheet name="Segment - PCG" sheetId="4" r:id="rId5"/>
    <sheet name="Segment - Consumer" sheetId="5" r:id="rId6"/>
    <sheet name="Income Statement" sheetId="6" r:id="rId7"/>
    <sheet name="Balance Sheet" sheetId="7" r:id="rId8"/>
    <sheet name="Cash Flow Statement" sheetId="8" r:id="rId9"/>
    <sheet name="Geo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36" authorId="0">
      <text>
        <t>d911529dex991.htm | Consolidated narrative "Sales included" (organic), 1Q26 | 3.0%</t>
      </text>
    </comment>
    <comment ref="C36" authorId="0">
      <text>
        <t>d807675dex991.htm | Consolidated narrative "Sales included" (organic), 2Q26 | 0.5% decline</t>
      </text>
    </comment>
    <comment ref="D36" authorId="0">
      <text>
        <t>d131284dex991.htm | Consolidated narrative "Sales included" (organic), 3Q26 | 3.0%</t>
      </text>
    </comment>
    <comment ref="E36" authorId="0">
      <text>
        <t>d141573dex991.htm | Consolidated narrative "Sales included" (organic), 4Q26 | 2.5%</t>
      </text>
    </comment>
    <comment ref="F36" authorId="0">
      <text>
        <t>rpm-20260531.htm R129/R130 + rpm-4q26-form-10-k.pdf | 10-K MD&amp;A Consolidated sales components (organic), fiscal 2026 | 2.0%</t>
      </text>
    </comment>
    <comment ref="B39" authorId="0">
      <text>
        <t>d911529dex991.htm | Consolidated narrative "Sales included" (acquisitions), 1Q26 | 3.8%</t>
      </text>
    </comment>
    <comment ref="C39" authorId="0">
      <text>
        <t>d807675dex991.htm | Consolidated narrative "Sales included" (acquisitions), 2Q26 | 3.4%</t>
      </text>
    </comment>
    <comment ref="D39" authorId="0">
      <text>
        <t>d131284dex991.htm | Consolidated narrative "Sales included" (acquisitions), 3Q26 | 3.5%</t>
      </text>
    </comment>
    <comment ref="E39" authorId="0">
      <text>
        <t>d141573dex991.htm | Consolidated narrative "Sales included" (acquisitions), 4Q26 | 3.5%</t>
      </text>
    </comment>
    <comment ref="F39" authorId="0">
      <text>
        <t>rpm-20260531.htm R129/R130 + rpm-4q26-form-10-k.pdf | 10-K MD&amp;A Consolidated sales components (acquisitions), fiscal 2026 | 3.6%</t>
      </text>
    </comment>
    <comment ref="B42" authorId="0">
      <text>
        <t>d911529dex991.htm | Consolidated narrative "Sales included" (foreign currency), 1Q26 | 0.6%</t>
      </text>
    </comment>
    <comment ref="C42" authorId="0">
      <text>
        <t>d807675dex991.htm | Consolidated narrative "Sales included" (foreign currency), 2Q26 | 0.6%</t>
      </text>
    </comment>
    <comment ref="D42" authorId="0">
      <text>
        <t>d131284dex991.htm | Consolidated narrative "Sales included" (foreign currency), 3Q26 | 2.4%</t>
      </text>
    </comment>
    <comment ref="E42" authorId="0">
      <text>
        <t>d141573dex991.htm | Consolidated narrative "Sales included" (foreign currency), 4Q26 | 1.2%</t>
      </text>
    </comment>
    <comment ref="F42" authorId="0">
      <text>
        <t>rpm-20260531.htm R129/R130 + rpm-4q26-form-10-k.pdf | 10-K MD&amp;A Consolidated sales components (foreign currency), fiscal 2026 | 1.1%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0" authorId="0">
      <text>
        <t>d911529dex991.htm | CPG narrative "Sales included" (organic), 1Q26 | 5.4%</t>
      </text>
    </comment>
    <comment ref="C10" authorId="0">
      <text>
        <t>d807675dex991.htm | CPG narrative "Sales included" (organic), 2Q26 | 0.8%</t>
      </text>
    </comment>
    <comment ref="D10" authorId="0">
      <text>
        <t>d131284dex991.htm | CPG narrative "Sales included" (organic), 3Q26 | 6.9%</t>
      </text>
    </comment>
    <comment ref="E10" authorId="0">
      <text>
        <t>d141573dex991.htm | CPG narrative "Sales included" (organic), 4Q26 | 5.7%</t>
      </text>
    </comment>
    <comment ref="F10" authorId="0">
      <text>
        <t>rpm-20260531.htm R129/R130 + rpm-4q26-form-10-k.pdf | 10-K MD&amp;A CPG sales components (organic), fiscal 2026 | 4.5%</t>
      </text>
    </comment>
    <comment ref="B17" authorId="0">
      <text>
        <t>d911529dex991.htm | CPG narrative "Sales included" (acquisitions), 1Q26 | 0.5%</t>
      </text>
    </comment>
    <comment ref="C17" authorId="0">
      <text>
        <t>d807675dex991.htm | CPG narrative "Sales included" (acquisitions), 2Q26 | 0.5%</t>
      </text>
    </comment>
    <comment ref="D17" authorId="0">
      <text>
        <t>d131284dex991.htm | CPG narrative "Sales included" (acquisitions), 3Q26 | 0.2%</t>
      </text>
    </comment>
    <comment ref="E17" authorId="0">
      <text>
        <t>d141573dex991.htm | CPG narrative "Sales included" (acquisitions), 4Q26 | 1.6%</t>
      </text>
    </comment>
    <comment ref="F17" authorId="0">
      <text>
        <t>rpm-20260531.htm R129/R130 + rpm-4q26-form-10-k.pdf | 10-K MD&amp;A CPG sales components (acquisitions), fiscal 2026 | 0.8%</t>
      </text>
    </comment>
    <comment ref="B20" authorId="0">
      <text>
        <t>d911529dex991.htm | CPG narrative "Sales included" (foreign currency), 1Q26 | 0.6%</t>
      </text>
    </comment>
    <comment ref="C20" authorId="0">
      <text>
        <t>d807675dex991.htm | CPG narrative "Sales included" (foreign currency), 2Q26 | 1.1%</t>
      </text>
    </comment>
    <comment ref="D20" authorId="0">
      <text>
        <t>d131284dex991.htm | CPG narrative "Sales included" (foreign currency), 3Q26 | 3.4%</t>
      </text>
    </comment>
    <comment ref="E20" authorId="0">
      <text>
        <t>d141573dex991.htm | CPG narrative "Sales included" (foreign currency), 4Q26 | 1.5%</t>
      </text>
    </comment>
    <comment ref="F20" authorId="0">
      <text>
        <t>rpm-20260531.htm R129/R130 + rpm-4q26-form-10-k.pdf | 10-K MD&amp;A CPG sales components (foreign currency), fiscal 2026 | 1.5%</t>
      </text>
    </comment>
    <comment ref="B27" authorId="0">
      <text>
        <t>d911529dex991.htm | Supplemental Segment Information, Net Sales, CPG, three months ended Aug 31, 2025 | 881,446</t>
      </text>
    </comment>
    <comment ref="C27" authorId="0">
      <text>
        <t>d807675dex991.htm | Supplemental Segment Information, Net Sales, CPG, three months ended Nov 30, 2025 | 737,439</t>
      </text>
    </comment>
    <comment ref="D27" authorId="0">
      <text>
        <t>d131284dex991.htm | Supplemental Segment Information, Net Sales, CPG, three months ended Feb 28, 2026 | 546,665</t>
      </text>
    </comment>
    <comment ref="E27" authorId="0">
      <text>
        <t>d141573dex991.htm | Supplemental Segment Information, Net Sales, CPG, three months ended May 31, 2026 | 904,235</t>
      </text>
    </comment>
    <comment ref="F27" authorId="0">
      <text>
        <t>d141573dex991.htm | Supplemental Segment Information, Net Sales, CPG, year ended May 31, 2026 | 3,069,785</t>
      </text>
    </comment>
    <comment ref="B35" authorId="0">
      <text>
        <t>1q26-10-q-filing.pdf | Note 17 Segment Information, Net Sales (based on shipping location), United States, CPG, three months ended Aug 31, 2025 | 620,258</t>
      </text>
    </comment>
    <comment ref="C35" authorId="0">
      <text>
        <t>rpm-20251130.htm | Note 17 Segment Information, Net Sales (based on shipping location), United States, CPG, three months ended Nov 30, 2025 | 470,927</t>
      </text>
    </comment>
    <comment ref="D35" authorId="0">
      <text>
        <t>rpm-20260228.htm | Note 17 Segment Information, Net Sales (based on shipping location), United States, CPG, three months ended Feb 28, 2026 | 341,888</t>
      </text>
    </comment>
    <comment ref="F35" authorId="0">
      <text>
        <t>rpm-20260531.htm R129/R130 + rpm-4q26-form-10-k.pdf | Note R Segment Information, Net Sales (based on shipping location), United States (R129/R130), CPG, fiscal 2026 | 2,048,843</t>
      </text>
    </comment>
    <comment ref="B41" authorId="0">
      <text>
        <t>1q26-10-q-filing.pdf | Note 17 Segment Information, Net Sales (based on shipping location), Canada, CPG, three months ended Aug 31, 2025 | 82,470</t>
      </text>
    </comment>
    <comment ref="C41" authorId="0">
      <text>
        <t>rpm-20251130.htm | Note 17 Segment Information, Net Sales (based on shipping location), Canada, CPG, three months ended Nov 30, 2025 | 68,425</t>
      </text>
    </comment>
    <comment ref="D41" authorId="0">
      <text>
        <t>rpm-20260228.htm | Note 17 Segment Information, Net Sales (based on shipping location), Canada, CPG, three months ended Feb 28, 2026 | 39,137</t>
      </text>
    </comment>
    <comment ref="F41" authorId="0">
      <text>
        <t>rpm-20260531.htm R129/R130 + rpm-4q26-form-10-k.pdf | Note R Segment Information, Net Sales (based on shipping location), Canada (R129/R130), CPG, fiscal 2026 | 265,175</t>
      </text>
    </comment>
    <comment ref="B47" authorId="0">
      <text>
        <t>1q26-10-q-filing.pdf | Note 17 Segment Information, Net Sales (based on shipping location), Europe, CPG, three months ended Aug 31, 2025 | 122,631</t>
      </text>
    </comment>
    <comment ref="C47" authorId="0">
      <text>
        <t>rpm-20251130.htm | Note 17 Segment Information, Net Sales (based on shipping location), Europe, CPG, three months ended Nov 30, 2025 | 137,440</t>
      </text>
    </comment>
    <comment ref="D47" authorId="0">
      <text>
        <t>rpm-20260228.htm | Note 17 Segment Information, Net Sales (based on shipping location), Europe, CPG, three months ended Feb 28, 2026 | 109,057</t>
      </text>
    </comment>
    <comment ref="F47" authorId="0">
      <text>
        <t>rpm-20260531.htm R129/R130 + rpm-4q26-form-10-k.pdf | Note R Segment Information, Net Sales (based on shipping location), Europe (R129/R130), CPG, fiscal 2026 | 512,455</t>
      </text>
    </comment>
    <comment ref="B53" authorId="0">
      <text>
        <t>1q26-10-q-filing.pdf | Note 17 Segment Information, Net Sales (based on shipping location), Latin America, CPG, three months ended Aug 31, 2025 | 56,087</t>
      </text>
    </comment>
    <comment ref="C53" authorId="0">
      <text>
        <t>rpm-20251130.htm | Note 17 Segment Information, Net Sales (based on shipping location), Latin America, CPG, three months ended Nov 30, 2025 | 60,647</t>
      </text>
    </comment>
    <comment ref="D53" authorId="0">
      <text>
        <t>rpm-20260228.htm | Note 17 Segment Information, Net Sales (based on shipping location), Latin America, CPG, three months ended Feb 28, 2026 | 56,583</t>
      </text>
    </comment>
    <comment ref="F53" authorId="0">
      <text>
        <t>rpm-20260531.htm R129/R130 + rpm-4q26-form-10-k.pdf | Note R Segment Information, Net Sales (based on shipping location), Latin America (R129/R130), CPG, fiscal 2026 | 242,876</t>
      </text>
    </comment>
    <comment ref="B59" authorId="0">
      <text>
        <t>1q26-10-q-filing.pdf | Note 17 Segment Information, Net Sales (based on shipping location), Asia Pacific, CPG, three months ended Aug 31, 2025 | 0</t>
      </text>
    </comment>
    <comment ref="C59" authorId="0">
      <text>
        <t>rpm-20251130.htm | Note 17 Segment Information, Net Sales (based on shipping location), Asia Pacific, CPG, three months ended Nov 30, 2025 | 0</t>
      </text>
    </comment>
    <comment ref="D59" authorId="0">
      <text>
        <t>rpm-20260228.htm | Note 17 Segment Information, Net Sales (based on shipping location), Asia Pacific, CPG, three months ended Feb 28, 2026 | 0</t>
      </text>
    </comment>
    <comment ref="F59" authorId="0">
      <text>
        <t>rpm-20260531.htm R129/R130 + rpm-4q26-form-10-k.pdf | Note R Segment Information, Net Sales (based on shipping location), Asia Pacific (R129/R130), CPG, fiscal 2026 | 0</t>
      </text>
    </comment>
    <comment ref="B65" authorId="0">
      <text>
        <t>1q26-10-q-filing.pdf | Note 17 Segment Information, Net Sales (based on shipping location), Other Foreign, CPG, three months ended Aug 31, 2025 | 0</t>
      </text>
    </comment>
    <comment ref="C65" authorId="0">
      <text>
        <t>rpm-20251130.htm | Note 17 Segment Information, Net Sales (based on shipping location), Other Foreign, CPG, three months ended Nov 30, 2025 | 0</t>
      </text>
    </comment>
    <comment ref="D65" authorId="0">
      <text>
        <t>rpm-20260228.htm | Note 17 Segment Information, Net Sales (based on shipping location), Other Foreign, CPG, three months ended Feb 28, 2026 | 0</t>
      </text>
    </comment>
    <comment ref="F65" authorId="0">
      <text>
        <t>rpm-20260531.htm R129/R130 + rpm-4q26-form-10-k.pdf | Note R Segment Information, Net Sales (based on shipping location), Other Foreign (R129/R130), CPG, fiscal 2026 | 436</t>
      </text>
    </comment>
    <comment ref="B79" authorId="0">
      <text>
        <t>1q26-10-q-filing.pdf | Note 17 Segment Information, Cost of Sales, CPG, three months ended Aug 31, 2025 | 499,910</t>
      </text>
    </comment>
    <comment ref="C79" authorId="0">
      <text>
        <t>rpm-20251130.htm | Note 17 Segment Information, Cost of Sales, CPG, three months ended Nov 30, 2025 | 434,835</t>
      </text>
    </comment>
    <comment ref="D79" authorId="0">
      <text>
        <t>rpm-20260228.htm | Note 17 Segment Information, Cost of Sales, CPG, three months ended Feb 28, 2026 | 335,226</t>
      </text>
    </comment>
    <comment ref="F79" authorId="0">
      <text>
        <t>rpm-20260531.htm R129/R130 + rpm-4q26-form-10-k.pdf | Note R Segment Information, Cost of Sales (R129/R130), CPG, fiscal 2026 | 1,753,894</t>
      </text>
    </comment>
    <comment ref="B86" authorId="0">
      <text>
        <t>1q26-10-q-filing.pdf | Note 17 Segment Information, SG&amp;A, CPG, three months ended Aug 31, 2025 | 215,400</t>
      </text>
    </comment>
    <comment ref="C86" authorId="0">
      <text>
        <t>rpm-20251130.htm | Note 17 Segment Information, SG&amp;A, CPG, three months ended Nov 30, 2025 | 205,577</t>
      </text>
    </comment>
    <comment ref="D86" authorId="0">
      <text>
        <t>rpm-20260228.htm | Note 17 Segment Information, SG&amp;A, CPG, three months ended Feb 28, 2026 | 182,151</t>
      </text>
    </comment>
    <comment ref="F86" authorId="0">
      <text>
        <t>rpm-20260531.htm R129/R130 + rpm-4q26-form-10-k.pdf | Note R Segment Information, SG&amp;A (R129/R130), CPG, fiscal 2026 | 849,530</t>
      </text>
    </comment>
    <comment ref="B92" authorId="0">
      <text>
        <t>1q26-10-q-filing.pdf | Note 17 Segment Information, Other Segment Items, CPG, three months ended Aug 31, 2025 | 2,760</t>
      </text>
    </comment>
    <comment ref="C92" authorId="0">
      <text>
        <t>rpm-20251130.htm | Note 17 Segment Information, Other Segment Items, CPG, three months ended Nov 30, 2025 | 2,462</t>
      </text>
    </comment>
    <comment ref="D92" authorId="0">
      <text>
        <t>rpm-20260228.htm | Note 17 Segment Information, Other Segment Items, CPG, three months ended Feb 28, 2026 | 6,404</t>
      </text>
    </comment>
    <comment ref="F92" authorId="0">
      <text>
        <t>rpm-20260531.htm R129/R130 + rpm-4q26-form-10-k.pdf | Note R Segment Information, Other Segment Items (R129/R130), CPG, fiscal 2026 | 18,033</t>
      </text>
    </comment>
    <comment ref="B98" authorId="0">
      <text>
        <t>d911529dex991.htm | Supplemental Segment Information, CPG, three months ended Aug 31, 2025, Income Before Income Taxes | 163,376</t>
      </text>
    </comment>
    <comment ref="C98" authorId="0">
      <text>
        <t>d807675dex991.htm | Supplemental Segment Information, CPG, three months ended Nov 30, 2025, Income Before Income Taxes | 94,565</t>
      </text>
    </comment>
    <comment ref="D98" authorId="0">
      <text>
        <t>d131284dex991.htm | Supplemental Segment Information, CPG, three months ended Feb 28, 2026, Income Before Income Taxes | 22,884</t>
      </text>
    </comment>
    <comment ref="E98" authorId="0">
      <text>
        <t>d141573dex991.htm | Supplemental Segment Information, CPG, three months ended May 31, 2026, Income Before Income Taxes | 167,503</t>
      </text>
    </comment>
    <comment ref="F98" authorId="0">
      <text>
        <t>d141573dex991.htm | Supplemental Segment Information, CPG, year ended May 31, 2026, Income Before Income Taxes | 448,328</t>
      </text>
    </comment>
    <comment ref="B100" authorId="0">
      <text>
        <t>d911529dex991.htm | Supplemental Segment Information, CPG, three months ended Aug 31, 2025, Interest (Expense) Income, Net | (565)</t>
      </text>
    </comment>
    <comment ref="C100" authorId="0">
      <text>
        <t>d807675dex991.htm | Supplemental Segment Information, CPG, three months ended Nov 30, 2025, Interest (Expense) Income, Net | (966)</t>
      </text>
    </comment>
    <comment ref="D100" authorId="0">
      <text>
        <t>d131284dex991.htm | Supplemental Segment Information, CPG, three months ended Feb 28, 2026, Interest (Expense) Income, Net | (728)</t>
      </text>
    </comment>
    <comment ref="E100" authorId="0">
      <text>
        <t>d141573dex991.htm | Supplemental Segment Information, CPG, three months ended May 31, 2026, Interest (Expense) Income, Net | (216)</t>
      </text>
    </comment>
    <comment ref="F100" authorId="0">
      <text>
        <t>d141573dex991.htm | Supplemental Segment Information, CPG, year ended May 31, 2026, Interest (Expense) Income, Net | (2,475)</t>
      </text>
    </comment>
    <comment ref="B102" authorId="0">
      <text>
        <t>d911529dex991.htm | Supplemental Segment Information, CPG, three months ended Aug 31, 2025, MAP initiatives | 5,180</t>
      </text>
    </comment>
    <comment ref="C102" authorId="0">
      <text>
        <t>d807675dex991.htm | Supplemental Segment Information, CPG, three months ended Nov 30, 2025, MAP initiatives | 3,500</t>
      </text>
    </comment>
    <comment ref="D102" authorId="0">
      <text>
        <t>d131284dex991.htm | Supplemental Segment Information, CPG, three months ended Feb 28, 2026, MAP initiatives | 6,700</t>
      </text>
    </comment>
    <comment ref="E102" authorId="0">
      <text>
        <t>d141573dex991.htm | Supplemental Segment Information, CPG, three months ended May 31, 2026, MAP initiatives | 7,237</t>
      </text>
    </comment>
    <comment ref="F102" authorId="0">
      <text>
        <t>d141573dex991.htm | Supplemental Segment Information, CPG, year ended May 31, 2026, MAP initiatives | 22,617</t>
      </text>
    </comment>
    <comment ref="B103" authorId="0">
      <text>
        <t>d911529dex991.htm | Supplemental Segment Information, CPG, three months ended Aug 31, 2025, Inventory step-up costs | 0</t>
      </text>
    </comment>
    <comment ref="C103" authorId="0">
      <text>
        <t>d807675dex991.htm | Supplemental Segment Information, CPG, three months ended Nov 30, 2025, Inventory step-up costs | 0</t>
      </text>
    </comment>
    <comment ref="D103" authorId="0">
      <text>
        <t>d131284dex991.htm | Supplemental Segment Information, CPG, three months ended Feb 28, 2026, Inventory step-up costs | 0</t>
      </text>
    </comment>
    <comment ref="E103" authorId="0">
      <text>
        <t>d141573dex991.htm | Supplemental Segment Information, CPG, three months ended May 31, 2026, Inventory step-up costs | 102</t>
      </text>
    </comment>
    <comment ref="F103" authorId="0">
      <text>
        <t>d141573dex991.htm | Supplemental Segment Information, CPG, year ended May 31, 2026, Inventory step-up costs | 102</t>
      </text>
    </comment>
    <comment ref="B104" authorId="0">
      <text>
        <t>d911529dex991.htm | Supplemental Segment Information, CPG, three months ended Aug 31, 2025, (Gain) on sale of assets and businesses, net | 0</t>
      </text>
    </comment>
    <comment ref="C104" authorId="0">
      <text>
        <t>d807675dex991.htm | Supplemental Segment Information, CPG, three months ended Nov 30, 2025, (Gain) on sale of assets and businesses, net | (400)</t>
      </text>
    </comment>
    <comment ref="D104" authorId="0">
      <text>
        <t>d131284dex991.htm | Supplemental Segment Information, CPG, three months ended Feb 28, 2026, (Gain) on sale of assets and businesses, net | 0</t>
      </text>
    </comment>
    <comment ref="E104" authorId="0">
      <text>
        <t>d141573dex991.htm | Supplemental Segment Information, CPG, three months ended May 31, 2026, (Gain) on sale of assets and businesses, net | 0</t>
      </text>
    </comment>
    <comment ref="F104" authorId="0">
      <text>
        <t>d141573dex991.htm | Supplemental Segment Information, CPG, year ended May 31, 2026, (Gain) on sale of assets and businesses, net | (400)</t>
      </text>
    </comment>
    <comment ref="B112" authorId="0">
      <text>
        <t>d911529dex991.htm | Supplemental Segment Information, CPG, three months ended Aug 31, 2025, Adjusted EBIT | 169,121</t>
      </text>
    </comment>
    <comment ref="C112" authorId="0">
      <text>
        <t>d807675dex991.htm | Supplemental Segment Information, CPG, three months ended Nov 30, 2025, Adjusted EBIT | 98,631</t>
      </text>
    </comment>
    <comment ref="D112" authorId="0">
      <text>
        <t>d131284dex991.htm | Supplemental Segment Information, CPG, three months ended Feb 28, 2026, Adjusted EBIT | 30,312</t>
      </text>
    </comment>
    <comment ref="E112" authorId="0">
      <text>
        <t>d141573dex991.htm | Supplemental Segment Information, CPG, three months ended May 31, 2026, Adjusted EBIT | 175,058</t>
      </text>
    </comment>
    <comment ref="F112" authorId="0">
      <text>
        <t>d141573dex991.htm | Supplemental Segment Information, CPG, year ended May 31, 2026, Adjusted EBIT | 473,122</t>
      </text>
    </comment>
    <comment ref="B117" authorId="0">
      <text>
        <t>1q26-10-q-filing.pdf | Prior-year column, three months ended Aug 31, 2024 (CPG) | 828,006</t>
      </text>
    </comment>
    <comment ref="C117" authorId="0">
      <text>
        <t>rpm-20251130.htm | Prior-year column, three months ended Nov 30, 2024 (CPG) | 720,467</t>
      </text>
    </comment>
    <comment ref="D117" authorId="0">
      <text>
        <t>rpm-20260228.htm | Prior-year column, three months ended Feb 28, 2025 (CPG) | 494,845</t>
      </text>
    </comment>
    <comment ref="E117" authorId="0">
      <text>
        <t>d141573dex991.htm | Prior-year column, three months ended May 31, 2025 (CPG) | 831,134</t>
      </text>
    </comment>
    <comment ref="F117" authorId="0">
      <text>
        <t>rpm-20260531.htm R129/R130 + rpm-4q26-form-10-k.pdf | Prior-year column, fiscal 2025 (CPG) | 2,874,452</t>
      </text>
    </comment>
    <comment ref="B118" authorId="0">
      <text>
        <t>1q26-10-q-filing.pdf | Note 17 prior-year column, United States, three months ended Aug 31, 2024 | 572,160</t>
      </text>
    </comment>
    <comment ref="C118" authorId="0">
      <text>
        <t>rpm-20251130.htm | Note 17 prior-year column, United States, three months ended Nov 30, 2024 | 461,102</t>
      </text>
    </comment>
    <comment ref="D118" authorId="0">
      <text>
        <t>rpm-20260228.htm | Note 17 prior-year column, United States, three months ended Feb 28, 2025 | 301,671</t>
      </text>
    </comment>
    <comment ref="F118" authorId="0">
      <text>
        <t>rpm-20260531.htm R129/R130 + rpm-4q26-form-10-k.pdf | Note R (R130) fiscal 2025, United States | 1,899,940</t>
      </text>
    </comment>
    <comment ref="B119" authorId="0">
      <text>
        <t>1q26-10-q-filing.pdf | Note 17 prior-year column, Canada, three months ended Aug 31, 2024 | 75,330</t>
      </text>
    </comment>
    <comment ref="C119" authorId="0">
      <text>
        <t>rpm-20251130.htm | Note 17 prior-year column, Canada, three months ended Nov 30, 2024 | 71,793</t>
      </text>
    </comment>
    <comment ref="D119" authorId="0">
      <text>
        <t>rpm-20260228.htm | Note 17 prior-year column, Canada, three months ended Feb 28, 2025 | 37,769</t>
      </text>
    </comment>
    <comment ref="F119" authorId="0">
      <text>
        <t>rpm-20260531.htm R129/R130 + rpm-4q26-form-10-k.pdf | Note R (R130) fiscal 2025, Canada | 264,727</t>
      </text>
    </comment>
    <comment ref="B120" authorId="0">
      <text>
        <t>1q26-10-q-filing.pdf | Note 17 prior-year column, Europe, three months ended Aug 31, 2024 | 121,938</t>
      </text>
    </comment>
    <comment ref="C120" authorId="0">
      <text>
        <t>rpm-20251130.htm | Note 17 prior-year column, Europe, three months ended Nov 30, 2024 | 128,572</t>
      </text>
    </comment>
    <comment ref="D120" authorId="0">
      <text>
        <t>rpm-20260228.htm | Note 17 prior-year column, Europe, three months ended Feb 28, 2025 | 103,646</t>
      </text>
    </comment>
    <comment ref="F120" authorId="0">
      <text>
        <t>rpm-20260531.htm R129/R130 + rpm-4q26-form-10-k.pdf | Note R (R130) fiscal 2025, Europe | 483,808</t>
      </text>
    </comment>
    <comment ref="B121" authorId="0">
      <text>
        <t>1q26-10-q-filing.pdf | Note 17 prior-year column, Latin America, three months ended Aug 31, 2024 | 58,578</t>
      </text>
    </comment>
    <comment ref="C121" authorId="0">
      <text>
        <t>rpm-20251130.htm | Note 17 prior-year column, Latin America, three months ended Nov 30, 2024 | 59,000</t>
      </text>
    </comment>
    <comment ref="D121" authorId="0">
      <text>
        <t>rpm-20260228.htm | Note 17 prior-year column, Latin America, three months ended Feb 28, 2025 | 51,759</t>
      </text>
    </comment>
    <comment ref="F121" authorId="0">
      <text>
        <t>rpm-20260531.htm R129/R130 + rpm-4q26-form-10-k.pdf | Note R (R130) fiscal 2025, Latin America | 225,977</t>
      </text>
    </comment>
    <comment ref="B122" authorId="0">
      <text>
        <t>1q26-10-q-filing.pdf | Note 17 prior-year column, Asia Pacific, three months ended Aug 31, 2024 | 0</t>
      </text>
    </comment>
    <comment ref="C122" authorId="0">
      <text>
        <t>rpm-20251130.htm | Note 17 prior-year column, Asia Pacific, three months ended Nov 30, 2024 | 0</t>
      </text>
    </comment>
    <comment ref="D122" authorId="0">
      <text>
        <t>rpm-20260228.htm | Note 17 prior-year column, Asia Pacific, three months ended Feb 28, 2025 | 0</t>
      </text>
    </comment>
    <comment ref="F122" authorId="0">
      <text>
        <t>rpm-20260531.htm R129/R130 + rpm-4q26-form-10-k.pdf | Note R (R130) fiscal 2025, Asia Pacific | 0</t>
      </text>
    </comment>
    <comment ref="B123" authorId="0">
      <text>
        <t>1q26-10-q-filing.pdf | Note 17 prior-year column, Other Foreign, three months ended Aug 31, 2024 | 0</t>
      </text>
    </comment>
    <comment ref="C123" authorId="0">
      <text>
        <t>rpm-20251130.htm | Note 17 prior-year column, Other Foreign, three months ended Nov 30, 2024 | 0</t>
      </text>
    </comment>
    <comment ref="D123" authorId="0">
      <text>
        <t>rpm-20260228.htm | Note 17 prior-year column, Other Foreign, three months ended Feb 28, 2025 | 0</t>
      </text>
    </comment>
    <comment ref="F123" authorId="0">
      <text>
        <t>rpm-20260531.htm R129/R130 + rpm-4q26-form-10-k.pdf | Note R (R130) fiscal 2025, Other Foreign | 0</t>
      </text>
    </comment>
    <comment ref="B126" authorId="0">
      <text>
        <t>1q26-10-q-filing.pdf | Prior-year column, three months ended Aug 31, 2024 CPG, Cost of Sales | 472,263</t>
      </text>
    </comment>
    <comment ref="C126" authorId="0">
      <text>
        <t>rpm-20251130.htm | Prior-year column, three months ended Nov 30, 2024 CPG, Cost of Sales | 423,946</t>
      </text>
    </comment>
    <comment ref="D126" authorId="0">
      <text>
        <t>rpm-20260228.htm | Prior-year column, three months ended Feb 28, 2025 CPG, Cost of Sales | 313,619</t>
      </text>
    </comment>
    <comment ref="F126" authorId="0">
      <text>
        <t>rpm-20260531.htm R129/R130 + rpm-4q26-form-10-k.pdf | Prior-year column, fiscal 2025 CPG, Cost of Sales | 1,660,611</t>
      </text>
    </comment>
    <comment ref="B128" authorId="0">
      <text>
        <t>1q26-10-q-filing.pdf | Prior-year column, three months ended Aug 31, 2024 CPG, SG&amp;A | 193,157</t>
      </text>
    </comment>
    <comment ref="C128" authorId="0">
      <text>
        <t>rpm-20251130.htm | Prior-year column, three months ended Nov 30, 2024 CPG, SG&amp;A | 186,790</t>
      </text>
    </comment>
    <comment ref="D128" authorId="0">
      <text>
        <t>rpm-20260228.htm | Prior-year column, three months ended Feb 28, 2025 CPG, SG&amp;A | 171,742</t>
      </text>
    </comment>
    <comment ref="F128" authorId="0">
      <text>
        <t>rpm-20260531.htm R129/R130 + rpm-4q26-form-10-k.pdf | Prior-year column, fiscal 2025 CPG, SG&amp;A | 780,927</t>
      </text>
    </comment>
    <comment ref="B130" authorId="0">
      <text>
        <t>1q26-10-q-filing.pdf | Prior-year column, three months ended Aug 31, 2024 CPG, Other Segment Items | 1,491</t>
      </text>
    </comment>
    <comment ref="C130" authorId="0">
      <text>
        <t>rpm-20251130.htm | Prior-year column, three months ended Nov 30, 2024 CPG, Other Segment Items | 1,883</t>
      </text>
    </comment>
    <comment ref="D130" authorId="0">
      <text>
        <t>rpm-20260228.htm | Prior-year column, three months ended Feb 28, 2025 CPG, Other Segment Items | 1,419</t>
      </text>
    </comment>
    <comment ref="F130" authorId="0">
      <text>
        <t>rpm-20260531.htm R129/R130 + rpm-4q26-form-10-k.pdf | Prior-year column, fiscal 2025 CPG, Other Segment Items | 7,803</t>
      </text>
    </comment>
    <comment ref="B131" authorId="0">
      <text>
        <t>1q26-10-q-filing.pdf | Prior-year column, three months ended Aug 31, 2024 CPG, Income Before Income Taxes | 161,095</t>
      </text>
    </comment>
    <comment ref="C131" authorId="0">
      <text>
        <t>rpm-20251130.htm | Prior-year column, three months ended Nov 30, 2024 CPG, Income Before Income Taxes | 107,848</t>
      </text>
    </comment>
    <comment ref="D131" authorId="0">
      <text>
        <t>rpm-20260228.htm | Prior-year column, three months ended Feb 28, 2025 CPG, Income Before Income Taxes | 8,065</t>
      </text>
    </comment>
    <comment ref="E131" authorId="0">
      <text>
        <t>d141573dex991.htm | Prior-year column, three months ended May 31, 2025 CPG, Income Before Income Taxes | 148,103</t>
      </text>
    </comment>
    <comment ref="F131" authorId="0">
      <text>
        <t>rpm-20260531.htm R129/R130 + rpm-4q26-form-10-k.pdf | Prior-year column, fiscal 2025 CPG, Income Before Income Taxes | 425,111</t>
      </text>
    </comment>
    <comment ref="B133" authorId="0">
      <text>
        <t>d911529dex991.htm | Prior-year column, three months ended Aug 31, 2024 CPG, Adjusted EBIT | 164,003</t>
      </text>
    </comment>
    <comment ref="C133" authorId="0">
      <text>
        <t>d807675dex991.htm | Prior-year column, three months ended Nov 30, 2024 CPG, Adjusted EBIT | 110,758</t>
      </text>
    </comment>
    <comment ref="D133" authorId="0">
      <text>
        <t>d131284dex991.htm | Prior-year column, three months ended Feb 28, 2025 CPG, Adjusted EBIT | 10,873</t>
      </text>
    </comment>
    <comment ref="E133" authorId="0">
      <text>
        <t>d141573dex991.htm | Prior-year column, three months ended May 31, 2025 CPG, Adjusted EBIT | 152,753</t>
      </text>
    </comment>
    <comment ref="F133" authorId="0">
      <text>
        <t>d141573dex991.htm | Prior-year column, fiscal 2025 CPG, Adjusted EBIT | 438,387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0" authorId="0">
      <text>
        <t>d911529dex991.htm | PCG narrative "Sales included" (organic), 1Q26 | 6.7%</t>
      </text>
    </comment>
    <comment ref="C10" authorId="0">
      <text>
        <t>d807675dex991.htm | PCG narrative "Sales included" (organic), 2Q26 | 2.7%</t>
      </text>
    </comment>
    <comment ref="D10" authorId="0">
      <text>
        <t>d131284dex991.htm | PCG narrative "Sales included" (organic), 3Q26 | 5.1%</t>
      </text>
    </comment>
    <comment ref="E10" authorId="0">
      <text>
        <t>d141573dex991.htm | PCG narrative "Sales included" (organic), 4Q26 | 2.2%</t>
      </text>
    </comment>
    <comment ref="F10" authorId="0">
      <text>
        <t>rpm-20260531.htm R129/R130 + rpm-4q26-form-10-k.pdf | 10-K MD&amp;A PCG sales components (organic), fiscal 2026 | 4.1%</t>
      </text>
    </comment>
    <comment ref="B17" authorId="0">
      <text>
        <t>d911529dex991.htm | PCG narrative "Sales included" (acquisitions), 1Q26 | 2.5%</t>
      </text>
    </comment>
    <comment ref="C17" authorId="0">
      <text>
        <t>d807675dex991.htm | PCG narrative "Sales included" (acquisitions), 2Q26 | 1.1%</t>
      </text>
    </comment>
    <comment ref="D17" authorId="0">
      <text>
        <t>d131284dex991.htm | PCG narrative "Sales included" (acquisitions), 3Q26 | 0.9%</t>
      </text>
    </comment>
    <comment ref="E17" authorId="0">
      <text>
        <t>d141573dex991.htm | PCG narrative "Sales included" (acquisitions), 4Q26 | 1.5%</t>
      </text>
    </comment>
    <comment ref="F17" authorId="0">
      <text>
        <t>rpm-20260531.htm R129/R130 + rpm-4q26-form-10-k.pdf | 10-K MD&amp;A PCG sales components (acquisitions), fiscal 2026 | 1.5%</t>
      </text>
    </comment>
    <comment ref="B20" authorId="0">
      <text>
        <t>d911529dex991.htm | PCG narrative "Sales included" (foreign currency), 1Q26 | 0.7%</t>
      </text>
    </comment>
    <comment ref="C20" authorId="0">
      <text>
        <t>d807675dex991.htm | PCG narrative "Sales included" (foreign currency), 2Q26 | 0.6%</t>
      </text>
    </comment>
    <comment ref="D20" authorId="0">
      <text>
        <t>d131284dex991.htm | PCG narrative "Sales included" (foreign currency), 3Q26 | 2.4%</t>
      </text>
    </comment>
    <comment ref="E20" authorId="0">
      <text>
        <t>d141573dex991.htm | PCG narrative "Sales included" (foreign currency), 4Q26 | 1.3%</t>
      </text>
    </comment>
    <comment ref="F20" authorId="0">
      <text>
        <t>rpm-20260531.htm R129/R130 + rpm-4q26-form-10-k.pdf | 10-K MD&amp;A PCG sales components (foreign currency), fiscal 2026 | 1.2%</t>
      </text>
    </comment>
    <comment ref="B27" authorId="0">
      <text>
        <t>d911529dex991.htm | Supplemental Segment Information, Net Sales, PCG, three months ended Aug 31, 2025 | 538,478</t>
      </text>
    </comment>
    <comment ref="C27" authorId="0">
      <text>
        <t>d807675dex991.htm | Supplemental Segment Information, Net Sales, PCG, three months ended Nov 30, 2025 | 533,806</t>
      </text>
    </comment>
    <comment ref="D27" authorId="0">
      <text>
        <t>d131284dex991.htm | Supplemental Segment Information, Net Sales, PCG, three months ended Feb 28, 2026 | 496,829</t>
      </text>
    </comment>
    <comment ref="E27" authorId="0">
      <text>
        <t>d141573dex991.htm | Supplemental Segment Information, Net Sales, PCG, three months ended May 31, 2026 | 562,801</t>
      </text>
    </comment>
    <comment ref="F27" authorId="0">
      <text>
        <t>d141573dex991.htm | Supplemental Segment Information, Net Sales, PCG, year ended May 31, 2026 | 2,131,914</t>
      </text>
    </comment>
    <comment ref="B35" authorId="0">
      <text>
        <t>1q26-10-q-filing.pdf | Note 17 Segment Information, Net Sales (based on shipping location), United States, PCG, three months ended Aug 31, 2025 | 353,945</t>
      </text>
    </comment>
    <comment ref="C35" authorId="0">
      <text>
        <t>rpm-20251130.htm | Note 17 Segment Information, Net Sales (based on shipping location), United States, PCG, three months ended Nov 30, 2025 | 352,721</t>
      </text>
    </comment>
    <comment ref="D35" authorId="0">
      <text>
        <t>rpm-20260228.htm | Note 17 Segment Information, Net Sales (based on shipping location), United States, PCG, three months ended Feb 28, 2026 | 322,875</t>
      </text>
    </comment>
    <comment ref="F35" authorId="0">
      <text>
        <t>rpm-20260531.htm R129/R130 + rpm-4q26-form-10-k.pdf | Note R Segment Information, Net Sales (based on shipping location), United States (R129/R130), PCG, fiscal 2026 | 1,394,159</t>
      </text>
    </comment>
    <comment ref="B41" authorId="0">
      <text>
        <t>1q26-10-q-filing.pdf | Note 17 Segment Information, Net Sales (based on shipping location), Canada, PCG, three months ended Aug 31, 2025 | 23,502</t>
      </text>
    </comment>
    <comment ref="C41" authorId="0">
      <text>
        <t>rpm-20251130.htm | Note 17 Segment Information, Net Sales (based on shipping location), Canada, PCG, three months ended Nov 30, 2025 | 21,494</t>
      </text>
    </comment>
    <comment ref="D41" authorId="0">
      <text>
        <t>rpm-20260228.htm | Note 17 Segment Information, Net Sales (based on shipping location), Canada, PCG, three months ended Feb 28, 2026 | 21,503</t>
      </text>
    </comment>
    <comment ref="F41" authorId="0">
      <text>
        <t>rpm-20260531.htm R129/R130 + rpm-4q26-form-10-k.pdf | Note R Segment Information, Net Sales (based on shipping location), Canada (R129/R130), PCG, fiscal 2026 | 86,653</t>
      </text>
    </comment>
    <comment ref="B47" authorId="0">
      <text>
        <t>1q26-10-q-filing.pdf | Note 17 Segment Information, Net Sales (based on shipping location), Europe, PCG, three months ended Aug 31, 2025 | 87,830</t>
      </text>
    </comment>
    <comment ref="C47" authorId="0">
      <text>
        <t>rpm-20251130.htm | Note 17 Segment Information, Net Sales (based on shipping location), Europe, PCG, three months ended Nov 30, 2025 | 81,617</t>
      </text>
    </comment>
    <comment ref="D47" authorId="0">
      <text>
        <t>rpm-20260228.htm | Note 17 Segment Information, Net Sales (based on shipping location), Europe, PCG, three months ended Feb 28, 2026 | 76,947</t>
      </text>
    </comment>
    <comment ref="F47" authorId="0">
      <text>
        <t>rpm-20260531.htm R129/R130 + rpm-4q26-form-10-k.pdf | Note R Segment Information, Net Sales (based on shipping location), Europe (R129/R130), PCG, fiscal 2026 | 338,984</t>
      </text>
    </comment>
    <comment ref="B53" authorId="0">
      <text>
        <t>1q26-10-q-filing.pdf | Note 17 Segment Information, Net Sales (based on shipping location), Latin America, PCG, three months ended Aug 31, 2025 | 8,970</t>
      </text>
    </comment>
    <comment ref="C53" authorId="0">
      <text>
        <t>rpm-20251130.htm | Note 17 Segment Information, Net Sales (based on shipping location), Latin America, PCG, three months ended Nov 30, 2025 | 9,127</t>
      </text>
    </comment>
    <comment ref="D53" authorId="0">
      <text>
        <t>rpm-20260228.htm | Note 17 Segment Information, Net Sales (based on shipping location), Latin America, PCG, three months ended Feb 28, 2026 | 8,676</t>
      </text>
    </comment>
    <comment ref="F53" authorId="0">
      <text>
        <t>rpm-20260531.htm R129/R130 + rpm-4q26-form-10-k.pdf | Note R Segment Information, Net Sales (based on shipping location), Latin America (R129/R130), PCG, fiscal 2026 | 36,573</t>
      </text>
    </comment>
    <comment ref="B59" authorId="0">
      <text>
        <t>1q26-10-q-filing.pdf | Note 17 Segment Information, Net Sales (based on shipping location), Asia Pacific, PCG, three months ended Aug 31, 2025 | 34,224</t>
      </text>
    </comment>
    <comment ref="C59" authorId="0">
      <text>
        <t>rpm-20251130.htm | Note 17 Segment Information, Net Sales (based on shipping location), Asia Pacific, PCG, three months ended Nov 30, 2025 | 36,925</t>
      </text>
    </comment>
    <comment ref="D59" authorId="0">
      <text>
        <t>rpm-20260228.htm | Note 17 Segment Information, Net Sales (based on shipping location), Asia Pacific, PCG, three months ended Feb 28, 2026 | 37,163</t>
      </text>
    </comment>
    <comment ref="F59" authorId="0">
      <text>
        <t>rpm-20260531.htm R129/R130 + rpm-4q26-form-10-k.pdf | Note R Segment Information, Net Sales (based on shipping location), Asia Pacific (R129/R130), PCG, fiscal 2026 | 154,047</t>
      </text>
    </comment>
    <comment ref="B65" authorId="0">
      <text>
        <t>1q26-10-q-filing.pdf | Note 17 Segment Information, Net Sales (based on shipping location), Other Foreign, PCG, three months ended Aug 31, 2025 | 30,007</t>
      </text>
    </comment>
    <comment ref="C65" authorId="0">
      <text>
        <t>rpm-20251130.htm | Note 17 Segment Information, Net Sales (based on shipping location), Other Foreign, PCG, three months ended Nov 30, 2025 | 31,922</t>
      </text>
    </comment>
    <comment ref="D65" authorId="0">
      <text>
        <t>rpm-20260228.htm | Note 17 Segment Information, Net Sales (based on shipping location), Other Foreign, PCG, three months ended Feb 28, 2026 | 29,665</t>
      </text>
    </comment>
    <comment ref="F65" authorId="0">
      <text>
        <t>rpm-20260531.htm R129/R130 + rpm-4q26-form-10-k.pdf | Note R Segment Information, Net Sales (based on shipping location), Other Foreign (R129/R130), PCG, fiscal 2026 | 121,498</t>
      </text>
    </comment>
    <comment ref="B79" authorId="0">
      <text>
        <t>1q26-10-q-filing.pdf | Note 17 Segment Information, Cost of Sales, PCG, three months ended Aug 31, 2025 | 299,577</t>
      </text>
    </comment>
    <comment ref="C79" authorId="0">
      <text>
        <t>rpm-20251130.htm | Note 17 Segment Information, Cost of Sales, PCG, three months ended Nov 30, 2025 | 300,958</t>
      </text>
    </comment>
    <comment ref="D79" authorId="0">
      <text>
        <t>rpm-20260228.htm | Note 17 Segment Information, Cost of Sales, PCG, three months ended Feb 28, 2026 | 281,767</t>
      </text>
    </comment>
    <comment ref="F79" authorId="0">
      <text>
        <t>rpm-20260531.htm R129/R130 + rpm-4q26-form-10-k.pdf | Note R Segment Information, Cost of Sales (R129/R130), PCG, fiscal 2026 | 1,200,584</t>
      </text>
    </comment>
    <comment ref="B86" authorId="0">
      <text>
        <t>1q26-10-q-filing.pdf | Note 17 Segment Information, SG&amp;A, PCG, three months ended Aug 31, 2025 | 153,428</t>
      </text>
    </comment>
    <comment ref="C86" authorId="0">
      <text>
        <t>rpm-20251130.htm | Note 17 Segment Information, SG&amp;A, PCG, three months ended Nov 30, 2025 | 151,765</t>
      </text>
    </comment>
    <comment ref="D86" authorId="0">
      <text>
        <t>rpm-20260228.htm | Note 17 Segment Information, SG&amp;A, PCG, three months ended Feb 28, 2026 | 149,999</t>
      </text>
    </comment>
    <comment ref="F86" authorId="0">
      <text>
        <t>rpm-20260531.htm R129/R130 + rpm-4q26-form-10-k.pdf | Note R Segment Information, SG&amp;A (R129/R130), PCG, fiscal 2026 | 615,012</t>
      </text>
    </comment>
    <comment ref="B92" authorId="0">
      <text>
        <t>1q26-10-q-filing.pdf | Note 17 Segment Information, Other Segment Items, PCG, three months ended Aug 31, 2025 | 2,794</t>
      </text>
    </comment>
    <comment ref="C92" authorId="0">
      <text>
        <t>rpm-20251130.htm | Note 17 Segment Information, Other Segment Items, PCG, three months ended Nov 30, 2025 | (616)</t>
      </text>
    </comment>
    <comment ref="D92" authorId="0">
      <text>
        <t>rpm-20260228.htm | Note 17 Segment Information, Other Segment Items, PCG, three months ended Feb 28, 2026 | 4,038</t>
      </text>
    </comment>
    <comment ref="F92" authorId="0">
      <text>
        <t>rpm-20260531.htm R129/R130 + rpm-4q26-form-10-k.pdf | Note R Segment Information, Other Segment Items (R129/R130), PCG, fiscal 2026 | 7,274</t>
      </text>
    </comment>
    <comment ref="B98" authorId="0">
      <text>
        <t>d911529dex991.htm | Supplemental Segment Information, PCG, three months ended Aug 31, 2025, Income Before Income Taxes | 82,679</t>
      </text>
    </comment>
    <comment ref="C98" authorId="0">
      <text>
        <t>d807675dex991.htm | Supplemental Segment Information, PCG, three months ended Nov 30, 2025, Income Before Income Taxes | 81,699</t>
      </text>
    </comment>
    <comment ref="D98" authorId="0">
      <text>
        <t>d131284dex991.htm | Supplemental Segment Information, PCG, three months ended Feb 28, 2026, Income Before Income Taxes | 61,025</t>
      </text>
    </comment>
    <comment ref="E98" authorId="0">
      <text>
        <t>d141573dex991.htm | Supplemental Segment Information, PCG, three months ended May 31, 2026, Income Before Income Taxes | 83,641</t>
      </text>
    </comment>
    <comment ref="F98" authorId="0">
      <text>
        <t>d141573dex991.htm | Supplemental Segment Information, PCG, year ended May 31, 2026, Income Before Income Taxes | 309,044</t>
      </text>
    </comment>
    <comment ref="B100" authorId="0">
      <text>
        <t>d911529dex991.htm | Supplemental Segment Information, PCG, three months ended Aug 31, 2025, Interest (Expense) Income, Net | 615</t>
      </text>
    </comment>
    <comment ref="C100" authorId="0">
      <text>
        <t>d807675dex991.htm | Supplemental Segment Information, PCG, three months ended Nov 30, 2025, Interest (Expense) Income, Net | 933</t>
      </text>
    </comment>
    <comment ref="D100" authorId="0">
      <text>
        <t>d131284dex991.htm | Supplemental Segment Information, PCG, three months ended Feb 28, 2026, Interest (Expense) Income, Net | 974</t>
      </text>
    </comment>
    <comment ref="E100" authorId="0">
      <text>
        <t>d141573dex991.htm | Supplemental Segment Information, PCG, three months ended May 31, 2026, Interest (Expense) Income, Net | 653</t>
      </text>
    </comment>
    <comment ref="F100" authorId="0">
      <text>
        <t>d141573dex991.htm | Supplemental Segment Information, PCG, year ended May 31, 2026, Interest (Expense) Income, Net | 3,175</t>
      </text>
    </comment>
    <comment ref="B102" authorId="0">
      <text>
        <t>d911529dex991.htm | Supplemental Segment Information, PCG, three months ended Aug 31, 2025, MAP initiatives | 4,931</t>
      </text>
    </comment>
    <comment ref="C102" authorId="0">
      <text>
        <t>d807675dex991.htm | Supplemental Segment Information, PCG, three months ended Nov 30, 2025, MAP initiatives | 2,022</t>
      </text>
    </comment>
    <comment ref="D102" authorId="0">
      <text>
        <t>d131284dex991.htm | Supplemental Segment Information, PCG, three months ended Feb 28, 2026, MAP initiatives | 6,634</t>
      </text>
    </comment>
    <comment ref="E102" authorId="0">
      <text>
        <t>d141573dex991.htm | Supplemental Segment Information, PCG, three months ended May 31, 2026, MAP initiatives | 2,562</t>
      </text>
    </comment>
    <comment ref="F102" authorId="0">
      <text>
        <t>d141573dex991.htm | Supplemental Segment Information, PCG, year ended May 31, 2026, MAP initiatives | 16,149</t>
      </text>
    </comment>
    <comment ref="B103" authorId="0">
      <text>
        <t>d911529dex991.htm | Supplemental Segment Information, PCG, three months ended Aug 31, 2025, Inventory step-up costs | 0</t>
      </text>
    </comment>
    <comment ref="C103" authorId="0">
      <text>
        <t>d807675dex991.htm | Supplemental Segment Information, PCG, three months ended Nov 30, 2025, Inventory step-up costs | 41</t>
      </text>
    </comment>
    <comment ref="D103" authorId="0">
      <text>
        <t>d131284dex991.htm | Supplemental Segment Information, PCG, three months ended Feb 28, 2026, Inventory step-up costs | 101</t>
      </text>
    </comment>
    <comment ref="E103" authorId="0">
      <text>
        <t>d141573dex991.htm | Supplemental Segment Information, PCG, three months ended May 31, 2026, Inventory step-up costs | 49</t>
      </text>
    </comment>
    <comment ref="F103" authorId="0">
      <text>
        <t>d141573dex991.htm | Supplemental Segment Information, PCG, year ended May 31, 2026, Inventory step-up costs | 191</t>
      </text>
    </comment>
    <comment ref="B104" authorId="0">
      <text>
        <t>d911529dex991.htm | Supplemental Segment Information, PCG, three months ended Aug 31, 2025, (Gain) on acquisition earn-out fair value adjustment | 0</t>
      </text>
    </comment>
    <comment ref="C104" authorId="0">
      <text>
        <t>d807675dex991.htm | Supplemental Segment Information, PCG, three months ended Nov 30, 2025, (Gain) on acquisition earn-out fair value adjustment | 0</t>
      </text>
    </comment>
    <comment ref="D104" authorId="0">
      <text>
        <t>d131284dex991.htm | Supplemental Segment Information, PCG, three months ended Feb 28, 2026, (Gain) on acquisition earn-out fair value adjustment | 0</t>
      </text>
    </comment>
    <comment ref="E104" authorId="0">
      <text>
        <t>d141573dex991.htm | Supplemental Segment Information, PCG, three months ended May 31, 2026, (Gain) on acquisition earn-out fair value adjustment | (1,710)</t>
      </text>
    </comment>
    <comment ref="F104" authorId="0">
      <text>
        <t>d141573dex991.htm | Supplemental Segment Information, PCG, year ended May 31, 2026, (Gain) on acquisition earn-out fair value adjustment | (1,710)</t>
      </text>
    </comment>
    <comment ref="B105" authorId="0">
      <text>
        <t>d911529dex991.htm | Supplemental Segment Information, PCG, three months ended Aug 31, 2025, Environmental expense for a closed facility | 0</t>
      </text>
    </comment>
    <comment ref="C105" authorId="0">
      <text>
        <t>d807675dex991.htm | Supplemental Segment Information, PCG, three months ended Nov 30, 2025, Environmental expense for a closed facility | 0</t>
      </text>
    </comment>
    <comment ref="D105" authorId="0">
      <text>
        <t>d131284dex991.htm | Supplemental Segment Information, PCG, three months ended Feb 28, 2026, Environmental expense for a closed facility | 0</t>
      </text>
    </comment>
    <comment ref="E105" authorId="0">
      <text>
        <t>d141573dex991.htm | Supplemental Segment Information, PCG, three months ended May 31, 2026, Environmental expense for a closed facility | 1,000</t>
      </text>
    </comment>
    <comment ref="F105" authorId="0">
      <text>
        <t>d141573dex991.htm | Supplemental Segment Information, PCG, year ended May 31, 2026, Environmental expense for a closed facility | 1,000</t>
      </text>
    </comment>
    <comment ref="B113" authorId="0">
      <text>
        <t>d911529dex991.htm | Supplemental Segment Information, PCG, three months ended Aug 31, 2025, Adjusted EBIT | 86,995</t>
      </text>
    </comment>
    <comment ref="C113" authorId="0">
      <text>
        <t>d807675dex991.htm | Supplemental Segment Information, PCG, three months ended Nov 30, 2025, Adjusted EBIT | 82,829</t>
      </text>
    </comment>
    <comment ref="D113" authorId="0">
      <text>
        <t>d131284dex991.htm | Supplemental Segment Information, PCG, three months ended Feb 28, 2026, Adjusted EBIT | 66,786</t>
      </text>
    </comment>
    <comment ref="E113" authorId="0">
      <text>
        <t>d141573dex991.htm | Supplemental Segment Information, PCG, three months ended May 31, 2026, Adjusted EBIT | 84,889</t>
      </text>
    </comment>
    <comment ref="F113" authorId="0">
      <text>
        <t>d141573dex991.htm | Supplemental Segment Information, PCG, year ended May 31, 2026, Adjusted EBIT | 321,499</t>
      </text>
    </comment>
    <comment ref="B118" authorId="0">
      <text>
        <t>1q26-10-q-filing.pdf | Prior-year column, three months ended Aug 31, 2024 (PCG) | 489,960</t>
      </text>
    </comment>
    <comment ref="C118" authorId="0">
      <text>
        <t>rpm-20251130.htm | Prior-year column, three months ended Nov 30, 2024 (PCG) | 511,231</t>
      </text>
    </comment>
    <comment ref="D118" authorId="0">
      <text>
        <t>rpm-20260228.htm | Prior-year column, three months ended Feb 28, 2025 (PCG) | 458,420</t>
      </text>
    </comment>
    <comment ref="E118" authorId="0">
      <text>
        <t>d141573dex991.htm | Prior-year column, three months ended May 31, 2025 (PCG) | 536,205</t>
      </text>
    </comment>
    <comment ref="F118" authorId="0">
      <text>
        <t>rpm-20260531.htm R129/R130 + rpm-4q26-form-10-k.pdf | Prior-year column, fiscal 2025 (PCG) | 1,995,816</t>
      </text>
    </comment>
    <comment ref="B119" authorId="0">
      <text>
        <t>1q26-10-q-filing.pdf | Note 17 prior-year column, United States, three months ended Aug 31, 2024 | 324,076</t>
      </text>
    </comment>
    <comment ref="C119" authorId="0">
      <text>
        <t>rpm-20251130.htm | Note 17 prior-year column, United States, three months ended Nov 30, 2024 | 336,298</t>
      </text>
    </comment>
    <comment ref="D119" authorId="0">
      <text>
        <t>rpm-20260228.htm | Note 17 prior-year column, United States, three months ended Feb 28, 2025 | 305,802</t>
      </text>
    </comment>
    <comment ref="F119" authorId="0">
      <text>
        <t>rpm-20260531.htm R129/R130 + rpm-4q26-form-10-k.pdf | Note R (R130) fiscal 2025, United States | 1,322,091</t>
      </text>
    </comment>
    <comment ref="B120" authorId="0">
      <text>
        <t>1q26-10-q-filing.pdf | Note 17 prior-year column, Canada, three months ended Aug 31, 2024 | 25,720</t>
      </text>
    </comment>
    <comment ref="C120" authorId="0">
      <text>
        <t>rpm-20251130.htm | Note 17 prior-year column, Canada, three months ended Nov 30, 2024 | 24,504</t>
      </text>
    </comment>
    <comment ref="D120" authorId="0">
      <text>
        <t>rpm-20260228.htm | Note 17 prior-year column, Canada, three months ended Feb 28, 2025 | 18,431</t>
      </text>
    </comment>
    <comment ref="F120" authorId="0">
      <text>
        <t>rpm-20260531.htm R129/R130 + rpm-4q26-form-10-k.pdf | Note R (R130) fiscal 2025, Canada | 90,656</t>
      </text>
    </comment>
    <comment ref="B121" authorId="0">
      <text>
        <t>1q26-10-q-filing.pdf | Note 17 prior-year column, Europe, three months ended Aug 31, 2024 | 68,198</t>
      </text>
    </comment>
    <comment ref="C121" authorId="0">
      <text>
        <t>rpm-20251130.htm | Note 17 prior-year column, Europe, three months ended Nov 30, 2024 | 70,212</t>
      </text>
    </comment>
    <comment ref="D121" authorId="0">
      <text>
        <t>rpm-20260228.htm | Note 17 prior-year column, Europe, three months ended Feb 28, 2025 | 68,035</t>
      </text>
    </comment>
    <comment ref="F121" authorId="0">
      <text>
        <t>rpm-20260531.htm R129/R130 + rpm-4q26-form-10-k.pdf | Note R (R130) fiscal 2025, Europe | 295,822</t>
      </text>
    </comment>
    <comment ref="B122" authorId="0">
      <text>
        <t>1q26-10-q-filing.pdf | Note 17 prior-year column, Latin America, three months ended Aug 31, 2024 | 9,931</t>
      </text>
    </comment>
    <comment ref="C122" authorId="0">
      <text>
        <t>rpm-20251130.htm | Note 17 prior-year column, Latin America, three months ended Nov 30, 2024 | 11,132</t>
      </text>
    </comment>
    <comment ref="D122" authorId="0">
      <text>
        <t>rpm-20260228.htm | Note 17 prior-year column, Latin America, three months ended Feb 28, 2025 | 8,970</t>
      </text>
    </comment>
    <comment ref="F122" authorId="0">
      <text>
        <t>rpm-20260531.htm R129/R130 + rpm-4q26-form-10-k.pdf | Note R (R130) fiscal 2025, Latin America | 39,364</t>
      </text>
    </comment>
    <comment ref="B123" authorId="0">
      <text>
        <t>1q26-10-q-filing.pdf | Note 17 prior-year column, Asia Pacific, three months ended Aug 31, 2024 | 34,546</t>
      </text>
    </comment>
    <comment ref="C123" authorId="0">
      <text>
        <t>rpm-20251130.htm | Note 17 prior-year column, Asia Pacific, three months ended Nov 30, 2024 | 38,739</t>
      </text>
    </comment>
    <comment ref="D123" authorId="0">
      <text>
        <t>rpm-20260228.htm | Note 17 prior-year column, Asia Pacific, three months ended Feb 28, 2025 | 32,762</t>
      </text>
    </comment>
    <comment ref="F123" authorId="0">
      <text>
        <t>rpm-20260531.htm R129/R130 + rpm-4q26-form-10-k.pdf | Note R (R130) fiscal 2025, Asia Pacific | 139,124</t>
      </text>
    </comment>
    <comment ref="B124" authorId="0">
      <text>
        <t>1q26-10-q-filing.pdf | Note 17 prior-year column, Other Foreign, three months ended Aug 31, 2024 | 27,489</t>
      </text>
    </comment>
    <comment ref="C124" authorId="0">
      <text>
        <t>rpm-20251130.htm | Note 17 prior-year column, Other Foreign, three months ended Nov 30, 2024 | 30,346</t>
      </text>
    </comment>
    <comment ref="D124" authorId="0">
      <text>
        <t>rpm-20260228.htm | Note 17 prior-year column, Other Foreign, three months ended Feb 28, 2025 | 24,420</t>
      </text>
    </comment>
    <comment ref="F124" authorId="0">
      <text>
        <t>rpm-20260531.htm R129/R130 + rpm-4q26-form-10-k.pdf | Note R (R130) fiscal 2025, Other Foreign | 108,759</t>
      </text>
    </comment>
    <comment ref="B127" authorId="0">
      <text>
        <t>1q26-10-q-filing.pdf | Prior-year column, three months ended Aug 31, 2024 PCG, Cost of Sales | 267,847</t>
      </text>
    </comment>
    <comment ref="C127" authorId="0">
      <text>
        <t>rpm-20251130.htm | Prior-year column, three months ended Nov 30, 2024 PCG, Cost of Sales | 280,170</t>
      </text>
    </comment>
    <comment ref="D127" authorId="0">
      <text>
        <t>rpm-20260228.htm | Prior-year column, three months ended Feb 28, 2025 PCG, Cost of Sales | 256,554</t>
      </text>
    </comment>
    <comment ref="F127" authorId="0">
      <text>
        <t>rpm-20260531.htm R129/R130 + rpm-4q26-form-10-k.pdf | Prior-year column, fiscal 2025 PCG, Cost of Sales | 1,107,047</t>
      </text>
    </comment>
    <comment ref="B129" authorId="0">
      <text>
        <t>1q26-10-q-filing.pdf | Prior-year column, three months ended Aug 31, 2024 PCG, SG&amp;A | 145,304</t>
      </text>
    </comment>
    <comment ref="C129" authorId="0">
      <text>
        <t>rpm-20251130.htm | Prior-year column, three months ended Nov 30, 2024 PCG, SG&amp;A | 149,392</t>
      </text>
    </comment>
    <comment ref="D129" authorId="0">
      <text>
        <t>rpm-20260228.htm | Prior-year column, three months ended Feb 28, 2025 PCG, SG&amp;A | 148,693</t>
      </text>
    </comment>
    <comment ref="F129" authorId="0">
      <text>
        <t>rpm-20260531.htm R129/R130 + rpm-4q26-form-10-k.pdf | Prior-year column, fiscal 2025 PCG, SG&amp;A | 609,342</t>
      </text>
    </comment>
    <comment ref="B131" authorId="0">
      <text>
        <t>1q26-10-q-filing.pdf | Prior-year column, three months ended Aug 31, 2024 PCG, Other Segment Items | (310)</t>
      </text>
    </comment>
    <comment ref="C131" authorId="0">
      <text>
        <t>rpm-20251130.htm | Prior-year column, three months ended Nov 30, 2024 PCG, Other Segment Items | 1,343</t>
      </text>
    </comment>
    <comment ref="D131" authorId="0">
      <text>
        <t>rpm-20260228.htm | Prior-year column, three months ended Feb 28, 2025 PCG, Other Segment Items | (619)</t>
      </text>
    </comment>
    <comment ref="F131" authorId="0">
      <text>
        <t>rpm-20260531.htm R129/R130 + rpm-4q26-form-10-k.pdf | Prior-year column, fiscal 2025 PCG, Other Segment Items | 1,452</t>
      </text>
    </comment>
    <comment ref="B132" authorId="0">
      <text>
        <t>1q26-10-q-filing.pdf | Prior-year column, three months ended Aug 31, 2024 PCG, Income Before Income Taxes | 77,119</t>
      </text>
    </comment>
    <comment ref="C132" authorId="0">
      <text>
        <t>rpm-20251130.htm | Prior-year column, three months ended Nov 30, 2024 PCG, Income Before Income Taxes | 80,326</t>
      </text>
    </comment>
    <comment ref="D132" authorId="0">
      <text>
        <t>rpm-20260228.htm | Prior-year column, three months ended Feb 28, 2025 PCG, Income Before Income Taxes | 53,792</t>
      </text>
    </comment>
    <comment ref="E132" authorId="0">
      <text>
        <t>d141573dex991.htm | Prior-year column, three months ended May 31, 2025 PCG, Income Before Income Taxes | 66,738</t>
      </text>
    </comment>
    <comment ref="F132" authorId="0">
      <text>
        <t>rpm-20260531.htm R129/R130 + rpm-4q26-form-10-k.pdf | Prior-year column, fiscal 2025 PCG, Income Before Income Taxes | 277,975</t>
      </text>
    </comment>
    <comment ref="B134" authorId="0">
      <text>
        <t>d911529dex991.htm | Prior-year column, three months ended Aug 31, 2024 PCG, Adjusted EBIT | 78,341</t>
      </text>
    </comment>
    <comment ref="C134" authorId="0">
      <text>
        <t>d807675dex991.htm | Prior-year column, three months ended Nov 30, 2024 PCG, Adjusted EBIT | 83,085</t>
      </text>
    </comment>
    <comment ref="D134" authorId="0">
      <text>
        <t>d131284dex991.htm | Prior-year column, three months ended Feb 28, 2025 PCG, Adjusted EBIT | 55,663</t>
      </text>
    </comment>
    <comment ref="E134" authorId="0">
      <text>
        <t>d141573dex991.htm | Prior-year column, three months ended May 31, 2025 PCG, Adjusted EBIT | 76,752</t>
      </text>
    </comment>
    <comment ref="F134" authorId="0">
      <text>
        <t>d141573dex991.htm | Prior-year column, fiscal 2025 PCG, Adjusted EBIT | 293,841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10" authorId="0">
      <text>
        <t>d911529dex991.htm | Consumer narrative "Sales included" (organic), 1Q26 | 2.9% decline</t>
      </text>
    </comment>
    <comment ref="C10" authorId="0">
      <text>
        <t>d807675dex991.htm | Consumer narrative "Sales included" (organic), 2Q26 | 4.7% decline</t>
      </text>
    </comment>
    <comment ref="D10" authorId="0">
      <text>
        <t>d131284dex991.htm | Consumer narrative "Sales included" (organic), 3Q26 | 2.4% decline</t>
      </text>
    </comment>
    <comment ref="E10" authorId="0">
      <text>
        <t>d141573dex991.htm | Consumer narrative "Sales included" (organic), 4Q26 | 0.8% decline</t>
      </text>
    </comment>
    <comment ref="F10" authorId="0">
      <text>
        <t>rpm-20260531.htm R129/R130 + rpm-4q26-form-10-k.pdf | 10-K MD&amp;A Consumer sales components (organic), fiscal 2026 | 2.6% decline</t>
      </text>
    </comment>
    <comment ref="B17" authorId="0">
      <text>
        <t>d911529dex991.htm | Consumer narrative "Sales included" (acquisitions), 1Q26 | 9.1%</t>
      </text>
    </comment>
    <comment ref="C17" authorId="0">
      <text>
        <t>d807675dex991.htm | Consumer narrative "Sales included" (acquisitions), 2Q26 | 8.7%</t>
      </text>
    </comment>
    <comment ref="D17" authorId="0">
      <text>
        <t>d131284dex991.htm | Consumer narrative "Sales included" (acquisitions), 3Q26 | 9.0%</t>
      </text>
    </comment>
    <comment ref="E17" authorId="0">
      <text>
        <t>d141573dex991.htm | Consumer narrative "Sales included" (acquisitions), 4Q26 | 7.2%</t>
      </text>
    </comment>
    <comment ref="F17" authorId="0">
      <text>
        <t>rpm-20260531.htm R129/R130 + rpm-4q26-form-10-k.pdf | 10-K MD&amp;A Consumer sales components (acquisitions), fiscal 2026 | 8.4%</t>
      </text>
    </comment>
    <comment ref="B20" authorId="0">
      <text>
        <t>d911529dex991.htm | Consumer narrative "Sales included" (foreign currency), 1Q26 | 0.4%</t>
      </text>
    </comment>
    <comment ref="C20" authorId="0">
      <text>
        <t>d807675dex991.htm | Consumer narrative "Sales included" (foreign currency), 2Q26 | 0.1%</t>
      </text>
    </comment>
    <comment ref="D20" authorId="0">
      <text>
        <t>d131284dex991.htm | Consumer narrative "Sales included" (foreign currency), 3Q26 | 1.3%</t>
      </text>
    </comment>
    <comment ref="E20" authorId="0">
      <text>
        <t>d141573dex991.htm | Consumer narrative "Sales included" (foreign currency), 4Q26 | 0.6%</t>
      </text>
    </comment>
    <comment ref="F20" authorId="0">
      <text>
        <t>rpm-20260531.htm R129/R130 + rpm-4q26-form-10-k.pdf | 10-K MD&amp;A Consumer sales components (foreign currency), fiscal 2026 | 0.6%</t>
      </text>
    </comment>
    <comment ref="B27" authorId="0">
      <text>
        <t>d911529dex991.htm | Supplemental Segment Information, Net Sales, Consumer, three months ended Aug 31, 2025 | 693,819</t>
      </text>
    </comment>
    <comment ref="C27" authorId="0">
      <text>
        <t>d807675dex991.htm | Supplemental Segment Information, Net Sales, Consumer, three months ended Nov 30, 2025 | 638,650</t>
      </text>
    </comment>
    <comment ref="D27" authorId="0">
      <text>
        <t>d131284dex991.htm | Supplemental Segment Information, Net Sales, Consumer, three months ended Feb 28, 2026 | 564,455</t>
      </text>
    </comment>
    <comment ref="E27" authorId="0">
      <text>
        <t>d141573dex991.htm | Supplemental Segment Information, Net Sales, Consumer, three months ended May 31, 2026 | 764,799</t>
      </text>
    </comment>
    <comment ref="F27" authorId="0">
      <text>
        <t>d141573dex991.htm | Supplemental Segment Information, Net Sales, Consumer, year ended May 31, 2026 | 2,661,723</t>
      </text>
    </comment>
    <comment ref="B35" authorId="0">
      <text>
        <t>1q26-10-q-filing.pdf | Note 17 Segment Information, Net Sales (based on shipping location), United States, Consumer, three months ended Aug 31, 2025 | 538,012</t>
      </text>
    </comment>
    <comment ref="C35" authorId="0">
      <text>
        <t>rpm-20251130.htm | Note 17 Segment Information, Net Sales (based on shipping location), United States, Consumer, three months ended Nov 30, 2025 | 503,725</t>
      </text>
    </comment>
    <comment ref="D35" authorId="0">
      <text>
        <t>rpm-20260228.htm | Note 17 Segment Information, Net Sales (based on shipping location), United States, Consumer, three months ended Feb 28, 2026 | 437,565</t>
      </text>
    </comment>
    <comment ref="F35" authorId="0">
      <text>
        <t>rpm-20260531.htm R129/R130 + rpm-4q26-form-10-k.pdf | Note R Segment Information, Net Sales (based on shipping location), United States (R129/R130), Consumer, fiscal 2026 | 2,078,739</t>
      </text>
    </comment>
    <comment ref="B41" authorId="0">
      <text>
        <t>1q26-10-q-filing.pdf | Note 17 Segment Information, Net Sales (based on shipping location), Canada, Consumer, three months ended Aug 31, 2025 | 42,844</t>
      </text>
    </comment>
    <comment ref="C41" authorId="0">
      <text>
        <t>rpm-20251130.htm | Note 17 Segment Information, Net Sales (based on shipping location), Canada, Consumer, three months ended Nov 30, 2025 | 36,833</t>
      </text>
    </comment>
    <comment ref="D41" authorId="0">
      <text>
        <t>rpm-20260228.htm | Note 17 Segment Information, Net Sales (based on shipping location), Canada, Consumer, three months ended Feb 28, 2026 | 31,198</t>
      </text>
    </comment>
    <comment ref="F41" authorId="0">
      <text>
        <t>rpm-20260531.htm R129/R130 + rpm-4q26-form-10-k.pdf | Note R Segment Information, Net Sales (based on shipping location), Canada (R129/R130), Consumer, fiscal 2026 | 161,901</t>
      </text>
    </comment>
    <comment ref="B47" authorId="0">
      <text>
        <t>1q26-10-q-filing.pdf | Note 17 Segment Information, Net Sales (based on shipping location), Europe, Consumer, three months ended Aug 31, 2025 | 101,901</t>
      </text>
    </comment>
    <comment ref="C47" authorId="0">
      <text>
        <t>rpm-20251130.htm | Note 17 Segment Information, Net Sales (based on shipping location), Europe, Consumer, three months ended Nov 30, 2025 | 85,032</t>
      </text>
    </comment>
    <comment ref="D47" authorId="0">
      <text>
        <t>rpm-20260228.htm | Note 17 Segment Information, Net Sales (based on shipping location), Europe, Consumer, three months ended Feb 28, 2026 | 83,386</t>
      </text>
    </comment>
    <comment ref="F47" authorId="0">
      <text>
        <t>rpm-20260531.htm R129/R130 + rpm-4q26-form-10-k.pdf | Note R Segment Information, Net Sales (based on shipping location), Europe (R129/R130), Consumer, fiscal 2026 | 370,681</t>
      </text>
    </comment>
    <comment ref="B53" authorId="0">
      <text>
        <t>1q26-10-q-filing.pdf | Note 17 Segment Information, Net Sales (based on shipping location), Latin America, Consumer, three months ended Aug 31, 2025 | 5,859</t>
      </text>
    </comment>
    <comment ref="C53" authorId="0">
      <text>
        <t>rpm-20251130.htm | Note 17 Segment Information, Net Sales (based on shipping location), Latin America, Consumer, three months ended Nov 30, 2025 | 7,097</t>
      </text>
    </comment>
    <comment ref="D53" authorId="0">
      <text>
        <t>rpm-20260228.htm | Note 17 Segment Information, Net Sales (based on shipping location), Latin America, Consumer, three months ended Feb 28, 2026 | 5,693</t>
      </text>
    </comment>
    <comment ref="F53" authorId="0">
      <text>
        <t>rpm-20260531.htm R129/R130 + rpm-4q26-form-10-k.pdf | Note R Segment Information, Net Sales (based on shipping location), Latin America (R129/R130), Consumer, fiscal 2026 | 25,531</t>
      </text>
    </comment>
    <comment ref="B59" authorId="0">
      <text>
        <t>1q26-10-q-filing.pdf | Note 17 Segment Information, Net Sales (based on shipping location), Asia Pacific, Consumer, three months ended Aug 31, 2025 | 5,203</t>
      </text>
    </comment>
    <comment ref="C59" authorId="0">
      <text>
        <t>rpm-20251130.htm | Note 17 Segment Information, Net Sales (based on shipping location), Asia Pacific, Consumer, three months ended Nov 30, 2025 | 5,963</t>
      </text>
    </comment>
    <comment ref="D59" authorId="0">
      <text>
        <t>rpm-20260228.htm | Note 17 Segment Information, Net Sales (based on shipping location), Asia Pacific, Consumer, three months ended Feb 28, 2026 | 6,613</t>
      </text>
    </comment>
    <comment ref="F59" authorId="0">
      <text>
        <t>rpm-20260531.htm R129/R130 + rpm-4q26-form-10-k.pdf | Note R Segment Information, Net Sales (based on shipping location), Asia Pacific (R129/R130), Consumer, fiscal 2026 | 24,871</t>
      </text>
    </comment>
    <comment ref="B65" authorId="0">
      <text>
        <t>1q26-10-q-filing.pdf | Note 17 Segment Information, Net Sales (based on shipping location), Other Foreign, Consumer, three months ended Aug 31, 2025 | 0</t>
      </text>
    </comment>
    <comment ref="C65" authorId="0">
      <text>
        <t>rpm-20251130.htm | Note 17 Segment Information, Net Sales (based on shipping location), Other Foreign, Consumer, three months ended Nov 30, 2025 | 0</t>
      </text>
    </comment>
    <comment ref="D65" authorId="0">
      <text>
        <t>rpm-20260228.htm | Note 17 Segment Information, Net Sales (based on shipping location), Other Foreign, Consumer, three months ended Feb 28, 2026 | 0</t>
      </text>
    </comment>
    <comment ref="F65" authorId="0">
      <text>
        <t>rpm-20260531.htm R129/R130 + rpm-4q26-form-10-k.pdf | Note R Segment Information, Net Sales (based on shipping location), Other Foreign (R129/R130), Consumer, fiscal 2026 | 0</t>
      </text>
    </comment>
    <comment ref="B79" authorId="0">
      <text>
        <t>1q26-10-q-filing.pdf | Note 17 Segment Information, Cost of Sales, Consumer, three months ended Aug 31, 2025 | 421,081</t>
      </text>
    </comment>
    <comment ref="C79" authorId="0">
      <text>
        <t>rpm-20251130.htm | Note 17 Segment Information, Cost of Sales, Consumer, three months ended Nov 30, 2025 | 393,981</t>
      </text>
    </comment>
    <comment ref="D79" authorId="0">
      <text>
        <t>rpm-20260228.htm | Note 17 Segment Information, Cost of Sales, Consumer, three months ended Feb 28, 2026 | 356,190</t>
      </text>
    </comment>
    <comment ref="F79" authorId="0">
      <text>
        <t>rpm-20260531.htm R129/R130 + rpm-4q26-form-10-k.pdf | Note R Segment Information, Cost of Sales (R129/R130), Consumer, fiscal 2026 | 1,650,905</t>
      </text>
    </comment>
    <comment ref="B86" authorId="0">
      <text>
        <t>1q26-10-q-filing.pdf | Note 17 Segment Information, SG&amp;A, Consumer, three months ended Aug 31, 2025 | 161,406</t>
      </text>
    </comment>
    <comment ref="C86" authorId="0">
      <text>
        <t>rpm-20251130.htm | Note 17 Segment Information, SG&amp;A, Consumer, three months ended Nov 30, 2025 | 141,796</t>
      </text>
    </comment>
    <comment ref="D86" authorId="0">
      <text>
        <t>rpm-20260228.htm | Note 17 Segment Information, SG&amp;A, Consumer, three months ended Feb 28, 2026 | 155,623</t>
      </text>
    </comment>
    <comment ref="F86" authorId="0">
      <text>
        <t>rpm-20260531.htm R129/R130 + rpm-4q26-form-10-k.pdf | Note R Segment Information, SG&amp;A (R129/R130), Consumer, fiscal 2026 | 635,301</t>
      </text>
    </comment>
    <comment ref="B92" authorId="0">
      <text>
        <t>1q26-10-q-filing.pdf | Note 17 Segment Information, Other Segment Items, Consumer, three months ended Aug 31, 2025 | 2,571</t>
      </text>
    </comment>
    <comment ref="C92" authorId="0">
      <text>
        <t>rpm-20251130.htm | Note 17 Segment Information, Other Segment Items, Consumer, three months ended Nov 30, 2025 | 2,204</t>
      </text>
    </comment>
    <comment ref="D92" authorId="0">
      <text>
        <t>rpm-20260228.htm | Note 17 Segment Information, Other Segment Items, Consumer, three months ended Feb 28, 2026 | 6,892</t>
      </text>
    </comment>
    <comment ref="F92" authorId="0">
      <text>
        <t>rpm-20260531.htm R129/R130 + rpm-4q26-form-10-k.pdf | Note R Segment Information, Other Segment Items (R129/R130), Consumer, fiscal 2026 | 13,072</t>
      </text>
    </comment>
    <comment ref="B98" authorId="0">
      <text>
        <t>d911529dex991.htm | Supplemental Segment Information, Consumer, three months ended Aug 31, 2025, Income Before Income Taxes | 108,761</t>
      </text>
    </comment>
    <comment ref="C98" authorId="0">
      <text>
        <t>d807675dex991.htm | Supplemental Segment Information, Consumer, three months ended Nov 30, 2025, Income Before Income Taxes | 100,669</t>
      </text>
    </comment>
    <comment ref="D98" authorId="0">
      <text>
        <t>d131284dex991.htm | Supplemental Segment Information, Consumer, three months ended Feb 28, 2026, Income Before Income Taxes | 45,750</t>
      </text>
    </comment>
    <comment ref="E98" authorId="0">
      <text>
        <t>d141573dex991.htm | Supplemental Segment Information, Consumer, three months ended May 31, 2026, Income Before Income Taxes | 107,265</t>
      </text>
    </comment>
    <comment ref="F98" authorId="0">
      <text>
        <t>d141573dex991.htm | Supplemental Segment Information, Consumer, year ended May 31, 2026, Income Before Income Taxes | 362,445</t>
      </text>
    </comment>
    <comment ref="B100" authorId="0">
      <text>
        <t>d911529dex991.htm | Supplemental Segment Information, Consumer, three months ended Aug 31, 2025, Interest (Expense) Income, Net | (215)</t>
      </text>
    </comment>
    <comment ref="C100" authorId="0">
      <text>
        <t>d807675dex991.htm | Supplemental Segment Information, Consumer, three months ended Nov 30, 2025, Interest (Expense) Income, Net | (41)</t>
      </text>
    </comment>
    <comment ref="D100" authorId="0">
      <text>
        <t>d131284dex991.htm | Supplemental Segment Information, Consumer, three months ended Feb 28, 2026, Interest (Expense) Income, Net | 20</t>
      </text>
    </comment>
    <comment ref="E100" authorId="0">
      <text>
        <t>d141573dex991.htm | Supplemental Segment Information, Consumer, three months ended May 31, 2026, Interest (Expense) Income, Net | (127)</t>
      </text>
    </comment>
    <comment ref="F100" authorId="0">
      <text>
        <t>d141573dex991.htm | Supplemental Segment Information, Consumer, year ended May 31, 2026, Interest (Expense) Income, Net | (363)</t>
      </text>
    </comment>
    <comment ref="B102" authorId="0">
      <text>
        <t>d911529dex991.htm | Supplemental Segment Information, Consumer, three months ended Aug 31, 2025, MAP initiatives | 3,758</t>
      </text>
    </comment>
    <comment ref="C102" authorId="0">
      <text>
        <t>d807675dex991.htm | Supplemental Segment Information, Consumer, three months ended Nov 30, 2025, MAP initiatives | 1,206</t>
      </text>
    </comment>
    <comment ref="D102" authorId="0">
      <text>
        <t>d131284dex991.htm | Supplemental Segment Information, Consumer, three months ended Feb 28, 2026, MAP initiatives | 12,788</t>
      </text>
    </comment>
    <comment ref="E102" authorId="0">
      <text>
        <t>d141573dex991.htm | Supplemental Segment Information, Consumer, three months ended May 31, 2026, MAP initiatives | 6,232</t>
      </text>
    </comment>
    <comment ref="F102" authorId="0">
      <text>
        <t>d141573dex991.htm | Supplemental Segment Information, Consumer, year ended May 31, 2026, MAP initiatives | 23,984</t>
      </text>
    </comment>
    <comment ref="B103" authorId="0">
      <text>
        <t>d911529dex991.htm | Supplemental Segment Information, Consumer, three months ended Aug 31, 2025, Inventory step-up costs | 7,117</t>
      </text>
    </comment>
    <comment ref="C103" authorId="0">
      <text>
        <t>d807675dex991.htm | Supplemental Segment Information, Consumer, three months ended Nov 30, 2025, Inventory step-up costs | 786</t>
      </text>
    </comment>
    <comment ref="D103" authorId="0">
      <text>
        <t>d131284dex991.htm | Supplemental Segment Information, Consumer, three months ended Feb 28, 2026, Inventory step-up costs | 0</t>
      </text>
    </comment>
    <comment ref="E103" authorId="0">
      <text>
        <t>d141573dex991.htm | Supplemental Segment Information, Consumer, three months ended May 31, 2026, Inventory step-up costs | 0</t>
      </text>
    </comment>
    <comment ref="F103" authorId="0">
      <text>
        <t>d141573dex991.htm | Supplemental Segment Information, Consumer, year ended May 31, 2026, Inventory step-up costs | 7,903</t>
      </text>
    </comment>
    <comment ref="B104" authorId="0">
      <text>
        <t>d911529dex991.htm | Supplemental Segment Information, Consumer, three months ended Aug 31, 2025, (Gain) on acquisition earn-out fair value adjustment | 0</t>
      </text>
    </comment>
    <comment ref="C104" authorId="0">
      <text>
        <t>d807675dex991.htm | Supplemental Segment Information, Consumer, three months ended Nov 30, 2025, (Gain) on acquisition earn-out fair value adjustment | (12,707)</t>
      </text>
    </comment>
    <comment ref="D104" authorId="0">
      <text>
        <t>d131284dex991.htm | Supplemental Segment Information, Consumer, three months ended Feb 28, 2026, (Gain) on acquisition earn-out fair value adjustment | 0</t>
      </text>
    </comment>
    <comment ref="E104" authorId="0">
      <text>
        <t>d141573dex991.htm | Supplemental Segment Information, Consumer, three months ended May 31, 2026, (Gain) on acquisition earn-out fair value adjustment | 0</t>
      </text>
    </comment>
    <comment ref="F104" authorId="0">
      <text>
        <t>d141573dex991.htm | Supplemental Segment Information, Consumer, year ended May 31, 2026, (Gain) on acquisition earn-out fair value adjustment | (12,707)</t>
      </text>
    </comment>
    <comment ref="B105" authorId="0">
      <text>
        <t>d911529dex991.htm | Supplemental Segment Information, Consumer, three months ended Aug 31, 2025, Property, plant and equipment impairment | 0</t>
      </text>
    </comment>
    <comment ref="C105" authorId="0">
      <text>
        <t>d807675dex991.htm | Supplemental Segment Information, Consumer, three months ended Nov 30, 2025, Property, plant and equipment impairment | 0</t>
      </text>
    </comment>
    <comment ref="D105" authorId="0">
      <text>
        <t>d131284dex991.htm | Supplemental Segment Information, Consumer, three months ended Feb 28, 2026, Property, plant and equipment impairment | 0</t>
      </text>
    </comment>
    <comment ref="E105" authorId="0">
      <text>
        <t>d141573dex991.htm | Supplemental Segment Information, Consumer, three months ended May 31, 2026, Property, plant and equipment impairment | 9,721</t>
      </text>
    </comment>
    <comment ref="F105" authorId="0">
      <text>
        <t>d141573dex991.htm | Supplemental Segment Information, Consumer, year ended May 31, 2026, Property, plant and equipment impairment | 9,721</t>
      </text>
    </comment>
    <comment ref="B113" authorId="0">
      <text>
        <t>d911529dex991.htm | Supplemental Segment Information, Consumer, three months ended Aug 31, 2025, Adjusted EBIT | 119,851</t>
      </text>
    </comment>
    <comment ref="C113" authorId="0">
      <text>
        <t>d807675dex991.htm | Supplemental Segment Information, Consumer, three months ended Nov 30, 2025, Adjusted EBIT | 89,995</t>
      </text>
    </comment>
    <comment ref="D113" authorId="0">
      <text>
        <t>d131284dex991.htm | Supplemental Segment Information, Consumer, three months ended Feb 28, 2026, Adjusted EBIT | 58,518</t>
      </text>
    </comment>
    <comment ref="E113" authorId="0">
      <text>
        <t>d141573dex991.htm | Supplemental Segment Information, Consumer, three months ended May 31, 2026, Adjusted EBIT | 123,345</t>
      </text>
    </comment>
    <comment ref="F113" authorId="0">
      <text>
        <t>d141573dex991.htm | Supplemental Segment Information, Consumer, year ended May 31, 2026, Adjusted EBIT | 391,709</t>
      </text>
    </comment>
    <comment ref="B118" authorId="0">
      <text>
        <t>1q26-10-q-filing.pdf | Prior-year column, three months ended Aug 31, 2024 (Consumer) | 650,823</t>
      </text>
    </comment>
    <comment ref="C118" authorId="0">
      <text>
        <t>rpm-20251130.htm | Prior-year column, three months ended Nov 30, 2024 (Consumer) | 613,620</t>
      </text>
    </comment>
    <comment ref="D118" authorId="0">
      <text>
        <t>rpm-20260228.htm | Prior-year column, three months ended Feb 28, 2025 (Consumer) | 523,297</t>
      </text>
    </comment>
    <comment ref="E118" authorId="0">
      <text>
        <t>d141573dex991.htm | Prior-year column, three months ended May 31, 2025 (Consumer) | 714,636</t>
      </text>
    </comment>
    <comment ref="F118" authorId="0">
      <text>
        <t>rpm-20260531.htm R129/R130 + rpm-4q26-form-10-k.pdf | Prior-year column, fiscal 2025 (Consumer) | 2,502,376</t>
      </text>
    </comment>
    <comment ref="B119" authorId="0">
      <text>
        <t>1q26-10-q-filing.pdf | Note 17 prior-year column, United States, three months ended Aug 31, 2024 | 525,251</t>
      </text>
    </comment>
    <comment ref="C119" authorId="0">
      <text>
        <t>rpm-20251130.htm | Note 17 prior-year column, United States, three months ended Nov 30, 2024 | 493,103</t>
      </text>
    </comment>
    <comment ref="D119" authorId="0">
      <text>
        <t>rpm-20260228.htm | Note 17 prior-year column, United States, three months ended Feb 28, 2025 | 429,119</t>
      </text>
    </comment>
    <comment ref="F119" authorId="0">
      <text>
        <t>rpm-20260531.htm R129/R130 + rpm-4q26-form-10-k.pdf | Note R (R130) fiscal 2025, United States | 2,020,031</t>
      </text>
    </comment>
    <comment ref="B120" authorId="0">
      <text>
        <t>1q26-10-q-filing.pdf | Note 17 prior-year column, Canada, three months ended Aug 31, 2024 | 46,144</t>
      </text>
    </comment>
    <comment ref="C120" authorId="0">
      <text>
        <t>rpm-20251130.htm | Note 17 prior-year column, Canada, three months ended Nov 30, 2024 | 39,760</t>
      </text>
    </comment>
    <comment ref="D120" authorId="0">
      <text>
        <t>rpm-20260228.htm | Note 17 prior-year column, Canada, three months ended Feb 28, 2025 | 30,899</t>
      </text>
    </comment>
    <comment ref="F120" authorId="0">
      <text>
        <t>rpm-20260531.htm R129/R130 + rpm-4q26-form-10-k.pdf | Note R (R130) fiscal 2025, Canada | 163,783</t>
      </text>
    </comment>
    <comment ref="B121" authorId="0">
      <text>
        <t>1q26-10-q-filing.pdf | Note 17 prior-year column, Europe, three months ended Aug 31, 2024 | 68,636</t>
      </text>
    </comment>
    <comment ref="C121" authorId="0">
      <text>
        <t>rpm-20251130.htm | Note 17 prior-year column, Europe, three months ended Nov 30, 2024 | 68,173</t>
      </text>
    </comment>
    <comment ref="D121" authorId="0">
      <text>
        <t>rpm-20260228.htm | Note 17 prior-year column, Europe, three months ended Feb 28, 2025 | 52,613</t>
      </text>
    </comment>
    <comment ref="F121" authorId="0">
      <text>
        <t>rpm-20260531.htm R129/R130 + rpm-4q26-form-10-k.pdf | Note R (R130) fiscal 2025, Europe | 273,104</t>
      </text>
    </comment>
    <comment ref="B122" authorId="0">
      <text>
        <t>1q26-10-q-filing.pdf | Note 17 prior-year column, Latin America, three months ended Aug 31, 2024 | 5,949</t>
      </text>
    </comment>
    <comment ref="C122" authorId="0">
      <text>
        <t>rpm-20251130.htm | Note 17 prior-year column, Latin America, three months ended Nov 30, 2024 | 6,872</t>
      </text>
    </comment>
    <comment ref="D122" authorId="0">
      <text>
        <t>rpm-20260228.htm | Note 17 prior-year column, Latin America, three months ended Feb 28, 2025 | 5,708</t>
      </text>
    </comment>
    <comment ref="F122" authorId="0">
      <text>
        <t>rpm-20260531.htm R129/R130 + rpm-4q26-form-10-k.pdf | Note R (R130) fiscal 2025, Latin America | 25,120</t>
      </text>
    </comment>
    <comment ref="B123" authorId="0">
      <text>
        <t>1q26-10-q-filing.pdf | Note 17 prior-year column, Asia Pacific, three months ended Aug 31, 2024 | 4,843</t>
      </text>
    </comment>
    <comment ref="C123" authorId="0">
      <text>
        <t>rpm-20251130.htm | Note 17 prior-year column, Asia Pacific, three months ended Nov 30, 2024 | 5,712</t>
      </text>
    </comment>
    <comment ref="D123" authorId="0">
      <text>
        <t>rpm-20260228.htm | Note 17 prior-year column, Asia Pacific, three months ended Feb 28, 2025 | 4,958</t>
      </text>
    </comment>
    <comment ref="F123" authorId="0">
      <text>
        <t>rpm-20260531.htm R129/R130 + rpm-4q26-form-10-k.pdf | Note R (R130) fiscal 2025, Asia Pacific | 20,338</t>
      </text>
    </comment>
    <comment ref="B124" authorId="0">
      <text>
        <t>1q26-10-q-filing.pdf | Note 17 prior-year column, Other Foreign, three months ended Aug 31, 2024 | 0</t>
      </text>
    </comment>
    <comment ref="C124" authorId="0">
      <text>
        <t>rpm-20251130.htm | Note 17 prior-year column, Other Foreign, three months ended Nov 30, 2024 | 0</t>
      </text>
    </comment>
    <comment ref="D124" authorId="0">
      <text>
        <t>rpm-20260228.htm | Note 17 prior-year column, Other Foreign, three months ended Feb 28, 2025 | 0</t>
      </text>
    </comment>
    <comment ref="F124" authorId="0">
      <text>
        <t>rpm-20260531.htm R129/R130 + rpm-4q26-form-10-k.pdf | Note R (R130) fiscal 2025, Other Foreign | 0</t>
      </text>
    </comment>
    <comment ref="B127" authorId="0">
      <text>
        <t>1q26-10-q-filing.pdf | Prior-year column, three months ended Aug 31, 2024 Consumer, Cost of Sales | 392,006</t>
      </text>
    </comment>
    <comment ref="C127" authorId="0">
      <text>
        <t>rpm-20251130.htm | Prior-year column, three months ended Nov 30, 2024 Consumer, Cost of Sales | 376,658</t>
      </text>
    </comment>
    <comment ref="D127" authorId="0">
      <text>
        <t>rpm-20260228.htm | Prior-year column, three months ended Feb 28, 2025 Consumer, Cost of Sales | 338,899</t>
      </text>
    </comment>
    <comment ref="F127" authorId="0">
      <text>
        <t>rpm-20260531.htm R129/R130 + rpm-4q26-form-10-k.pdf | Prior-year column, fiscal 2025 Consumer, Cost of Sales | 1,554,508</t>
      </text>
    </comment>
    <comment ref="B129" authorId="0">
      <text>
        <t>1q26-10-q-filing.pdf | Prior-year column, three months ended Aug 31, 2024 Consumer, SG&amp;A | 146,618</t>
      </text>
    </comment>
    <comment ref="C129" authorId="0">
      <text>
        <t>rpm-20251130.htm | Prior-year column, three months ended Nov 30, 2024 Consumer, SG&amp;A | 146,308</t>
      </text>
    </comment>
    <comment ref="D129" authorId="0">
      <text>
        <t>rpm-20260228.htm | Prior-year column, three months ended Feb 28, 2025 Consumer, SG&amp;A | 138,033</t>
      </text>
    </comment>
    <comment ref="F129" authorId="0">
      <text>
        <t>rpm-20260531.htm R129/R130 + rpm-4q26-form-10-k.pdf | Prior-year column, fiscal 2025 Consumer, SG&amp;A | 588,596</t>
      </text>
    </comment>
    <comment ref="B131" authorId="0">
      <text>
        <t>1q26-10-q-filing.pdf | Prior-year column, three months ended Aug 31, 2024 Consumer, Other Segment Items | 5,770</t>
      </text>
    </comment>
    <comment ref="C131" authorId="0">
      <text>
        <t>rpm-20251130.htm | Prior-year column, three months ended Nov 30, 2024 Consumer, Other Segment Items | 4,398</t>
      </text>
    </comment>
    <comment ref="D131" authorId="0">
      <text>
        <t>rpm-20260228.htm | Prior-year column, three months ended Feb 28, 2025 Consumer, Other Segment Items | 2,226</t>
      </text>
    </comment>
    <comment ref="F131" authorId="0">
      <text>
        <t>rpm-20260531.htm R129/R130 + rpm-4q26-form-10-k.pdf | Prior-year column, fiscal 2025 Consumer, Other Segment Items | 26,445</t>
      </text>
    </comment>
    <comment ref="B132" authorId="0">
      <text>
        <t>1q26-10-q-filing.pdf | Prior-year column, three months ended Aug 31, 2024 Consumer, Income Before Income Taxes | 106,429</t>
      </text>
    </comment>
    <comment ref="C132" authorId="0">
      <text>
        <t>rpm-20251130.htm | Prior-year column, three months ended Nov 30, 2024 Consumer, Income Before Income Taxes | 86,256</t>
      </text>
    </comment>
    <comment ref="D132" authorId="0">
      <text>
        <t>rpm-20260228.htm | Prior-year column, three months ended Feb 28, 2025 Consumer, Income Before Income Taxes | 44,139</t>
      </text>
    </comment>
    <comment ref="E132" authorId="0">
      <text>
        <t>d141573dex991.htm | Prior-year column, three months ended May 31, 2025 Consumer, Income Before Income Taxes | 96,003</t>
      </text>
    </comment>
    <comment ref="F132" authorId="0">
      <text>
        <t>rpm-20260531.htm R129/R130 + rpm-4q26-form-10-k.pdf | Prior-year column, fiscal 2025 Consumer, Income Before Income Taxes | 332,827</t>
      </text>
    </comment>
    <comment ref="B134" authorId="0">
      <text>
        <t>d911529dex991.htm | Prior-year column, three months ended Aug 31, 2024 Consumer, Adjusted EBIT | 116,478</t>
      </text>
    </comment>
    <comment ref="C134" authorId="0">
      <text>
        <t>d807675dex991.htm | Prior-year column, three months ended Nov 30, 2024 Consumer, Adjusted EBIT | 95,940</t>
      </text>
    </comment>
    <comment ref="D134" authorId="0">
      <text>
        <t>d131284dex991.htm | Prior-year column, three months ended Feb 28, 2025 Consumer, Adjusted EBIT | 50,883</t>
      </text>
    </comment>
    <comment ref="E134" authorId="0">
      <text>
        <t>d141573dex991.htm | Prior-year column, three months ended May 31, 2025 Consumer, Adjusted EBIT | 120,226</t>
      </text>
    </comment>
    <comment ref="F134" authorId="0">
      <text>
        <t>d141573dex991.htm | Prior-year column, fiscal 2025 Consumer, Adjusted EBIT | 383,527</t>
      </text>
    </comment>
  </commentList>
</comments>
</file>

<file path=xl/comments5.xml><?xml version="1.0" encoding="utf-8"?>
<comments xmlns="http://schemas.openxmlformats.org/spreadsheetml/2006/main">
  <authors>
    <author>Shortcut</author>
    <author>api</author>
  </authors>
  <commentList>
    <comment ref="B9" authorId="0">
      <text>
        <t>d911529dex991.htm | Consolidated Statements of Income, three months ended Aug 31, 2025 | 2,113,743</t>
      </text>
    </comment>
    <comment ref="C9" authorId="0">
      <text>
        <t>d807675dex991.htm | Consolidated Statements of Income, three months ended Nov 30, 2025 | 1,909,895</t>
      </text>
    </comment>
    <comment ref="D9" authorId="0">
      <text>
        <t>d131284dex991.htm | Consolidated Statements of Income, three months ended Feb 28, 2026 | 1,607,949</t>
      </text>
    </comment>
    <comment ref="E9" authorId="0">
      <text>
        <t>d141573dex991.htm | Consolidated Statements of Income, three months ended May 31, 2026 | 2,231,835</t>
      </text>
    </comment>
    <comment ref="F9" authorId="0">
      <text>
        <t>d141573dex991.htm | Consolidated Statements of Income, year ended May 31, 2026 | 7,863,422</t>
      </text>
    </comment>
    <comment ref="B12" authorId="0">
      <text>
        <t>d911529dex991.htm | Consolidated Statements of Income, three months ended Aug 31, 2025 | 1,220,527</t>
      </text>
    </comment>
    <comment ref="C12" authorId="0">
      <text>
        <t>d807675dex991.htm | Consolidated Statements of Income, three months ended Nov 30, 2025 | 1,129,728</t>
      </text>
    </comment>
    <comment ref="D12" authorId="0">
      <text>
        <t>d131284dex991.htm | Consolidated Statements of Income, three months ended Feb 28, 2026 | 973,133</t>
      </text>
    </comment>
    <comment ref="E12" authorId="0">
      <text>
        <t>d141573dex991.htm | Consolidated Statements of Income, three months ended May 31, 2026 | 1,281,809</t>
      </text>
    </comment>
    <comment ref="F12" authorId="0">
      <text>
        <t>d141573dex991.htm | Consolidated Statements of Income, year ended May 31, 2026 | 4,605,197</t>
      </text>
    </comment>
    <comment ref="B21" authorId="0">
      <text>
        <t>d911529dex991.htm | Consolidated Statements of Income, three months ended Aug 31, 2025 | 573,534</t>
      </text>
    </comment>
    <comment ref="C21" authorId="0">
      <text>
        <t>d807675dex991.htm | Consolidated Statements of Income, three months ended Nov 30, 2025 | 549,465</t>
      </text>
    </comment>
    <comment ref="D21" authorId="0">
      <text>
        <t>d131284dex991.htm | Consolidated Statements of Income, three months ended Feb 28, 2026 | 533,872</t>
      </text>
    </comment>
    <comment ref="E21" authorId="0">
      <text>
        <t>d141573dex991.htm | Consolidated Statements of Income, three months ended May 31, 2026 | 635,259</t>
      </text>
    </comment>
    <comment ref="F21" authorId="0">
      <text>
        <t>d141573dex991.htm | Consolidated Statements of Income, year ended May 31, 2026 | 2,292,130</t>
      </text>
    </comment>
    <comment ref="B27" authorId="0">
      <text>
        <t>d911529dex991.htm | Consolidated Statements of Income, three months ended Aug 31, 2025 | 8,814</t>
      </text>
    </comment>
    <comment ref="C27" authorId="0">
      <text>
        <t>d807675dex991.htm | Consolidated Statements of Income, three months ended Nov 30, 2025 | 4,531</t>
      </text>
    </comment>
    <comment ref="D27" authorId="0">
      <text>
        <t>d131284dex991.htm | Consolidated Statements of Income, three months ended Feb 28, 2026 | 19,855</t>
      </text>
    </comment>
    <comment ref="E27" authorId="0">
      <text>
        <t>d141573dex991.htm | Consolidated Statements of Income, three months ended May 31, 2026 | 9,412</t>
      </text>
    </comment>
    <comment ref="F27" authorId="0">
      <text>
        <t>d141573dex991.htm | Consolidated Statements of Income, year ended May 31, 2026 | 42,612</t>
      </text>
    </comment>
    <comment ref="B30" authorId="0">
      <text>
        <t>d911529dex991.htm | Consolidated Statements of Income, three months ended Aug 31, 2025 | 0</t>
      </text>
    </comment>
    <comment ref="C30" authorId="0">
      <text>
        <t>d807675dex991.htm | Consolidated Statements of Income, three months ended Nov 30, 2025 | 0</t>
      </text>
    </comment>
    <comment ref="D30" authorId="0">
      <text>
        <t>d131284dex991.htm | Consolidated Statements of Income, three months ended Feb 28, 2026 | 0</t>
      </text>
    </comment>
    <comment ref="E30" authorId="0">
      <text>
        <t>d141573dex991.htm | Consolidated Statements of Income, three months ended May 31, 2026 | 0</t>
      </text>
    </comment>
    <comment ref="F30" authorId="0">
      <text>
        <t>d141573dex991.htm | Consolidated Statements of Income, year ended May 31, 2026 | 0</t>
      </text>
    </comment>
    <comment ref="B31" authorId="0">
      <text>
        <t>d911529dex991.htm | Consolidated Statements of Income, three months ended Aug 31, 2025 | (3,101)</t>
      </text>
    </comment>
    <comment ref="C31" authorId="0">
      <text>
        <t>d807675dex991.htm | Consolidated Statements of Income, three months ended Nov 30, 2025 | (2,803)</t>
      </text>
    </comment>
    <comment ref="D31" authorId="0">
      <text>
        <t>d131284dex991.htm | Consolidated Statements of Income, three months ended Feb 28, 2026 | (2,986)</t>
      </text>
    </comment>
    <comment ref="E31" authorId="0">
      <text>
        <t>d141573dex991.htm | Consolidated Statements of Income, three months ended May 31, 2026 | (2,622)</t>
      </text>
    </comment>
    <comment ref="F31" authorId="0">
      <text>
        <t>d141573dex991.htm | Consolidated Statements of Income, year ended May 31, 2026 | (11,512)</t>
      </text>
    </comment>
    <comment ref="B40" authorId="0">
      <text>
        <t>d911529dex991.htm | Consolidated Statements of Income, three months ended Aug 31, 2025 | 29,326</t>
      </text>
    </comment>
    <comment ref="C40" authorId="0">
      <text>
        <t>d807675dex991.htm | Consolidated Statements of Income, three months ended Nov 30, 2025 | 28,005</t>
      </text>
    </comment>
    <comment ref="D40" authorId="0">
      <text>
        <t>d131284dex991.htm | Consolidated Statements of Income, three months ended Feb 28, 2026 | 26,947</t>
      </text>
    </comment>
    <comment ref="E40" authorId="0">
      <text>
        <t>d141573dex991.htm | Consolidated Statements of Income, three months ended May 31, 2026 | 27,266</t>
      </text>
    </comment>
    <comment ref="F40" authorId="0">
      <text>
        <t>d141573dex991.htm | Consolidated Statements of Income, year ended May 31, 2026 | 111,544</t>
      </text>
    </comment>
    <comment ref="B43" authorId="0">
      <text>
        <t>d911529dex991.htm | Consolidated Statements of Income, three months ended Aug 31, 2025 | (13,404)</t>
      </text>
    </comment>
    <comment ref="C43" authorId="0">
      <text>
        <t>d807675dex991.htm | Consolidated Statements of Income, three months ended Nov 30, 2025 | (10,026)</t>
      </text>
    </comment>
    <comment ref="D43" authorId="0">
      <text>
        <t>d131284dex991.htm | Consolidated Statements of Income, three months ended Feb 28, 2026 | (12,179)</t>
      </text>
    </comment>
    <comment ref="E43" authorId="0">
      <text>
        <t>d141573dex991.htm | Consolidated Statements of Income, three months ended May 31, 2026 | (11,280)</t>
      </text>
    </comment>
    <comment ref="F43" authorId="0">
      <text>
        <t>d141573dex991.htm | Consolidated Statements of Income, year ended May 31, 2026 | (46,889)</t>
      </text>
    </comment>
    <comment ref="B49" authorId="0">
      <text>
        <t>d911529dex991.htm | Consolidated Statements of Income, three months ended Aug 31, 2025 | 298,047</t>
      </text>
    </comment>
    <comment ref="C49" authorId="0">
      <text>
        <t>d807675dex991.htm | Consolidated Statements of Income, three months ended Nov 30, 2025 | 210,995</t>
      </text>
    </comment>
    <comment ref="D49" authorId="0">
      <text>
        <t>d131284dex991.htm | Consolidated Statements of Income, three months ended Feb 28, 2026 | 69,307</t>
      </text>
    </comment>
    <comment ref="E49" authorId="0">
      <text>
        <t>d141573dex991.htm | Consolidated Statements of Income, three months ended May 31, 2026 | 291,991</t>
      </text>
    </comment>
    <comment ref="F49" authorId="0">
      <text>
        <t>d141573dex991.htm | Consolidated Statements of Income, year ended May 31, 2026 | 870,340</t>
      </text>
    </comment>
    <comment ref="B51" authorId="0">
      <text>
        <t>d911529dex991.htm | Consolidated Statements of Income, three months ended Aug 31, 2025 | 70,207</t>
      </text>
    </comment>
    <comment ref="C51" authorId="0">
      <text>
        <t>d807675dex991.htm | Consolidated Statements of Income, three months ended Nov 30, 2025 | 49,521</t>
      </text>
    </comment>
    <comment ref="D51" authorId="0">
      <text>
        <t>d131284dex991.htm | Consolidated Statements of Income, three months ended Feb 28, 2026 | 17,693</t>
      </text>
    </comment>
    <comment ref="E51" authorId="0">
      <text>
        <t>d141573dex991.htm | Consolidated Statements of Income, three months ended May 31, 2026 | 70,436</t>
      </text>
    </comment>
    <comment ref="F51" authorId="0">
      <text>
        <t>d141573dex991.htm | Consolidated Statements of Income, year ended May 31, 2026 | 207,857</t>
      </text>
    </comment>
    <comment ref="B58" authorId="0">
      <text>
        <t>d911529dex991.htm | Consolidated Statements of Income, three months ended Aug 31, 2025 | 235</t>
      </text>
    </comment>
    <comment ref="C58" authorId="0">
      <text>
        <t>d807675dex991.htm | Consolidated Statements of Income, three months ended Nov 30, 2025 | 267</t>
      </text>
    </comment>
    <comment ref="D58" authorId="0">
      <text>
        <t>d131284dex991.htm | Consolidated Statements of Income, three months ended Feb 28, 2026 | 250</t>
      </text>
    </comment>
    <comment ref="E58" authorId="0">
      <text>
        <t>d141573dex991.htm | Consolidated Statements of Income, three months ended May 31, 2026 | 339</t>
      </text>
    </comment>
    <comment ref="F58" authorId="0">
      <text>
        <t>d141573dex991.htm | Consolidated Statements of Income, year ended May 31, 2026 | 1,091</t>
      </text>
    </comment>
    <comment ref="B67" authorId="0">
      <text>
        <t>d911529dex991.htm | Consolidated Statements of Income, three months ended Aug 31, 2025 | 227,605</t>
      </text>
    </comment>
    <comment ref="C67" authorId="0">
      <text>
        <t>d807675dex991.htm | Consolidated Statements of Income, three months ended Nov 30, 2025 | 161,207</t>
      </text>
    </comment>
    <comment ref="D67" authorId="0">
      <text>
        <t>d131284dex991.htm | Consolidated Statements of Income, three months ended Feb 28, 2026 | 51,364</t>
      </text>
    </comment>
    <comment ref="E67" authorId="0">
      <text>
        <t>d141573dex991.htm | Consolidated Statements of Income, three months ended May 31, 2026 | 221,216</t>
      </text>
    </comment>
    <comment ref="F67" authorId="0">
      <text>
        <t>d141573dex991.htm | Consolidated Statements of Income, year ended May 31, 2026 | 661,392</t>
      </text>
    </comment>
    <comment ref="B69" authorId="0">
      <text>
        <t>d911529dex991.htm | Consolidated Statements of Income, three months ended Aug 31, 2025 | 127,283</t>
      </text>
    </comment>
    <comment ref="C69" authorId="0">
      <text>
        <t>d807675dex991.htm | Consolidated Statements of Income, three months ended Nov 30, 2025 | 127,129</t>
      </text>
    </comment>
    <comment ref="D69" authorId="0">
      <text>
        <t>d131284dex991.htm | Consolidated Statements of Income, three months ended Feb 28, 2026 | 127,045</t>
      </text>
    </comment>
    <comment ref="E69" authorId="0">
      <text>
        <t>d141573dex991.htm | Consolidated Statements of Income, three months ended May 31, 2026 | 126,734</t>
      </text>
    </comment>
    <comment ref="F69" authorId="0">
      <text>
        <t>d141573dex991.htm | Consolidated Statements of Income, year ended May 31, 2026 | 127,049</t>
      </text>
    </comment>
    <comment ref="B70" authorId="0">
      <text>
        <t>d911529dex991.htm | Consolidated Statements of Income, three months ended Aug 31, 2025 | 127,950</t>
      </text>
    </comment>
    <comment ref="C70" authorId="0">
      <text>
        <t>d807675dex991.htm | Consolidated Statements of Income, three months ended Nov 30, 2025 | 127,649</t>
      </text>
    </comment>
    <comment ref="D70" authorId="0">
      <text>
        <t>d131284dex991.htm | Consolidated Statements of Income, three months ended Feb 28, 2026 | 127,507</t>
      </text>
    </comment>
    <comment ref="E70" authorId="0">
      <text>
        <t>d141573dex991.htm | Consolidated Statements of Income, three months ended May 31, 2026 | 127,099</t>
      </text>
    </comment>
    <comment ref="F70" authorId="0">
      <text>
        <t>d141573dex991.htm | Consolidated Statements of Income, year ended May 31, 2026 | 127,554</t>
      </text>
    </comment>
    <comment ref="B71" authorId="0">
      <text>
        <t>d911529dex991.htm | Consolidated Statements of Income, three months ended Aug 31, 2025 | 1.78</t>
      </text>
    </comment>
    <comment ref="C71" authorId="0">
      <text>
        <t>d807675dex991.htm | Consolidated Statements of Income, three months ended Nov 30, 2025 | 1.26</t>
      </text>
    </comment>
    <comment ref="D71" authorId="0">
      <text>
        <t>d131284dex991.htm | Consolidated Statements of Income, three months ended Feb 28, 2026 | 0.40</t>
      </text>
    </comment>
    <comment ref="E71" authorId="0">
      <text>
        <t>d141573dex991.htm | Consolidated Statements of Income, three months ended May 31, 2026 | 1.74</t>
      </text>
    </comment>
    <comment ref="F71" authorId="0">
      <text>
        <t>d141573dex991.htm | Consolidated Statements of Income, year ended May 31, 2026 | 5.19</t>
      </text>
    </comment>
    <comment ref="B72" authorId="0">
      <text>
        <t>d911529dex991.htm | Consolidated Statements of Income, three months ended Aug 31, 2025 | 1.77</t>
      </text>
    </comment>
    <comment ref="C72" authorId="0">
      <text>
        <t>d807675dex991.htm | Consolidated Statements of Income, three months ended Nov 30, 2025 | 1.26</t>
      </text>
    </comment>
    <comment ref="D72" authorId="0">
      <text>
        <t>d131284dex991.htm | Consolidated Statements of Income, three months ended Feb 28, 2026 | 0.40</t>
      </text>
    </comment>
    <comment ref="E72" authorId="0">
      <text>
        <t>d141573dex991.htm | Consolidated Statements of Income, three months ended May 31, 2026 | 1.73</t>
      </text>
    </comment>
    <comment ref="F72" authorId="0">
      <text>
        <t>d141573dex991.htm | Consolidated Statements of Income, year ended May 31, 2026 | 5.17</t>
      </text>
    </comment>
    <comment ref="B85" authorId="0">
      <text>
        <t>d911529dex991.htm | Supplemental Segment Information, Corporate/Other Adjusted EBIT, three months ended Aug 31, 2025 | (38,175)</t>
      </text>
    </comment>
    <comment ref="C85" authorId="0">
      <text>
        <t>d807675dex991.htm | Supplemental Segment Information, Corporate/Other Adjusted EBIT, three months ended Nov 30, 2025 | (44,823)</t>
      </text>
    </comment>
    <comment ref="D85" authorId="0">
      <text>
        <t>d131284dex991.htm | Supplemental Segment Information, Corporate/Other Adjusted EBIT, three months ended Feb 28, 2026 | (39,216)</t>
      </text>
    </comment>
    <comment ref="E85" authorId="0">
      <text>
        <t>d141573dex991.htm | Supplemental Segment Information, Corporate/Other Adjusted EBIT, three months ended May 31, 2026 | (44,692)</t>
      </text>
    </comment>
    <comment ref="F85" authorId="0">
      <text>
        <t>d141573dex991.htm | Supplemental Segment Information, Corporate/Other Adjusted EBIT, year ended May 31, 2026 | (166,906)</t>
      </text>
    </comment>
    <comment ref="B104" authorId="0">
      <text>
        <t>d911529dex991.htm | Supplemental Segment Information / MAP reconciliation, Total Consolidated, three months ended Aug 31, 2025 | 10,599</t>
      </text>
    </comment>
    <comment ref="C104" authorId="0">
      <text>
        <t>d807675dex991.htm | Supplemental Segment Information / MAP reconciliation, Total Consolidated, three months ended Nov 30, 2025 | 6,637</t>
      </text>
    </comment>
    <comment ref="D104" authorId="0">
      <text>
        <t>d131284dex991.htm | Supplemental Segment Information / MAP reconciliation, Total Consolidated, three months ended Feb 28, 2026 | 3,132</t>
      </text>
    </comment>
    <comment ref="E104" authorId="0">
      <text>
        <t>d141573dex991.htm | Supplemental Segment Information / MAP reconciliation, Total Consolidated, three months ended May 31, 2026 | 2,691</t>
      </text>
    </comment>
    <comment ref="F104" authorId="0">
      <text>
        <t>d141573dex991.htm | Supplemental Segment Information / MAP reconciliation, Total Consolidated, year ended May 31, 2026 | 23,059</t>
      </text>
    </comment>
    <comment ref="B105" authorId="0">
      <text>
        <t>d911529dex991.htm | Supplemental Segment Information / MAP reconciliation, Total Consolidated, three months ended Aug 31, 2025 | 0</t>
      </text>
    </comment>
    <comment ref="C105" authorId="0">
      <text>
        <t>d807675dex991.htm | Supplemental Segment Information / MAP reconciliation, Total Consolidated, three months ended Nov 30, 2025 | 0</t>
      </text>
    </comment>
    <comment ref="D105" authorId="0">
      <text>
        <t>d131284dex991.htm | Supplemental Segment Information / MAP reconciliation, Total Consolidated, three months ended Feb 28, 2026 | 22,110</t>
      </text>
    </comment>
    <comment ref="E105" authorId="0">
      <text>
        <t>d141573dex991.htm | Supplemental Segment Information / MAP reconciliation, Total Consolidated, three months ended May 31, 2026 | 9,972</t>
      </text>
    </comment>
    <comment ref="F105" authorId="0">
      <text>
        <t>d141573dex991.htm | Supplemental Segment Information / MAP reconciliation, Total Consolidated, year ended May 31, 2026 | 32,082</t>
      </text>
    </comment>
    <comment ref="B106" authorId="0">
      <text>
        <t>d911529dex991.htm | Supplemental Segment Information / MAP reconciliation, Total Consolidated, three months ended Aug 31, 2025 | 2,966</t>
      </text>
    </comment>
    <comment ref="C106" authorId="0">
      <text>
        <t>d807675dex991.htm | Supplemental Segment Information / MAP reconciliation, Total Consolidated, three months ended Nov 30, 2025 | 4,440</t>
      </text>
    </comment>
    <comment ref="D106" authorId="0">
      <text>
        <t>d131284dex991.htm | Supplemental Segment Information / MAP reconciliation, Total Consolidated, three months ended Feb 28, 2026 | 3,643</t>
      </text>
    </comment>
    <comment ref="E106" authorId="0">
      <text>
        <t>d141573dex991.htm | Supplemental Segment Information / MAP reconciliation, Total Consolidated, three months ended May 31, 2026 | 2,690</t>
      </text>
    </comment>
    <comment ref="F106" authorId="0">
      <text>
        <t>d141573dex991.htm | Supplemental Segment Information / MAP reconciliation, Total Consolidated, year ended May 31, 2026 | 13,739</t>
      </text>
    </comment>
    <comment ref="B107" authorId="0">
      <text>
        <t>d911529dex991.htm | Supplemental Segment Information / MAP reconciliation, Total Consolidated, three months ended Aug 31, 2025 | 3,141</t>
      </text>
    </comment>
    <comment ref="C107" authorId="0">
      <text>
        <t>d807675dex991.htm | Supplemental Segment Information / MAP reconciliation, Total Consolidated, three months ended Nov 30, 2025 | 3,201</t>
      </text>
    </comment>
    <comment ref="D107" authorId="0">
      <text>
        <t>d131284dex991.htm | Supplemental Segment Information / MAP reconciliation, Total Consolidated, three months ended Feb 28, 2026 | 3,229</t>
      </text>
    </comment>
    <comment ref="E107" authorId="0">
      <text>
        <t>d141573dex991.htm | Supplemental Segment Information / MAP reconciliation, Total Consolidated, three months ended May 31, 2026 | 7,749</t>
      </text>
    </comment>
    <comment ref="F107" authorId="0">
      <text>
        <t>d141573dex991.htm | Supplemental Segment Information / MAP reconciliation, Total Consolidated, year ended May 31, 2026 | 17,320</t>
      </text>
    </comment>
    <comment ref="B108" authorId="0">
      <text>
        <t>d911529dex991.htm | Supplemental Segment Information / MAP reconciliation, Total Consolidated, three months ended Aug 31, 2025 | 0</t>
      </text>
    </comment>
    <comment ref="C108" authorId="0">
      <text>
        <t>d807675dex991.htm | Supplemental Segment Information / MAP reconciliation, Total Consolidated, three months ended Nov 30, 2025 | (4,340)</t>
      </text>
    </comment>
    <comment ref="D108" authorId="0">
      <text>
        <t>d131284dex991.htm | Supplemental Segment Information / MAP reconciliation, Total Consolidated, three months ended Feb 28, 2026 | 110</t>
      </text>
    </comment>
    <comment ref="E108" authorId="0">
      <text>
        <t>d141573dex991.htm | Supplemental Segment Information / MAP reconciliation, Total Consolidated, three months ended May 31, 2026 | (1,641)</t>
      </text>
    </comment>
    <comment ref="F108" authorId="0">
      <text>
        <t>d141573dex991.htm | Supplemental Segment Information / MAP reconciliation, Total Consolidated, year ended May 31, 2026 | (5,871)</t>
      </text>
    </comment>
    <comment ref="B109" authorId="0">
      <text>
        <t>d911529dex991.htm | Supplemental Segment Information / MAP reconciliation, Total Consolidated, three months ended Aug 31, 2025 | 7,117</t>
      </text>
    </comment>
    <comment ref="C109" authorId="0">
      <text>
        <t>d807675dex991.htm | Supplemental Segment Information / MAP reconciliation, Total Consolidated, three months ended Nov 30, 2025 | 827</t>
      </text>
    </comment>
    <comment ref="D109" authorId="0">
      <text>
        <t>d131284dex991.htm | Supplemental Segment Information / MAP reconciliation, Total Consolidated, three months ended Feb 28, 2026 | 101</t>
      </text>
    </comment>
    <comment ref="E109" authorId="0">
      <text>
        <t>d141573dex991.htm | Supplemental Segment Information / MAP reconciliation, Total Consolidated, three months ended May 31, 2026 | 151</t>
      </text>
    </comment>
    <comment ref="F109" authorId="0">
      <text>
        <t>d141573dex991.htm | Supplemental Segment Information / MAP reconciliation, Total Consolidated, year ended May 31, 2026 | 8,196</t>
      </text>
    </comment>
    <comment ref="B110" authorId="0">
      <text>
        <t>d911529dex991.htm | Supplemental Segment Information / MAP reconciliation, Total Consolidated, three months ended Aug 31, 2025 | 0</t>
      </text>
    </comment>
    <comment ref="C110" authorId="0">
      <text>
        <t>d807675dex991.htm | Supplemental Segment Information / MAP reconciliation, Total Consolidated, three months ended Nov 30, 2025 | (400)</t>
      </text>
    </comment>
    <comment ref="D110" authorId="0">
      <text>
        <t>d131284dex991.htm | Supplemental Segment Information / MAP reconciliation, Total Consolidated, three months ended Feb 28, 2026 | 0</t>
      </text>
    </comment>
    <comment ref="E110" authorId="0">
      <text>
        <t>d141573dex991.htm | Supplemental Segment Information / MAP reconciliation, Total Consolidated, three months ended May 31, 2026 | 0</t>
      </text>
    </comment>
    <comment ref="F110" authorId="0">
      <text>
        <t>d141573dex991.htm | Supplemental Segment Information / MAP reconciliation, Total Consolidated, year ended May 31, 2026 | (400)</t>
      </text>
    </comment>
    <comment ref="B111" authorId="0">
      <text>
        <t>d911529dex991.htm | Supplemental Segment Information / MAP reconciliation, Total Consolidated, three months ended Aug 31, 2025 | 0</t>
      </text>
    </comment>
    <comment ref="C111" authorId="0">
      <text>
        <t>d807675dex991.htm | Supplemental Segment Information / MAP reconciliation, Total Consolidated, three months ended Nov 30, 2025 | (12,707)</t>
      </text>
    </comment>
    <comment ref="D111" authorId="0">
      <text>
        <t>d131284dex991.htm | Supplemental Segment Information / MAP reconciliation, Total Consolidated, three months ended Feb 28, 2026 | 0</t>
      </text>
    </comment>
    <comment ref="E111" authorId="0">
      <text>
        <t>d141573dex991.htm | Supplemental Segment Information / MAP reconciliation, Total Consolidated, three months ended May 31, 2026 | (1,710)</t>
      </text>
    </comment>
    <comment ref="F111" authorId="0">
      <text>
        <t>d141573dex991.htm | Supplemental Segment Information / MAP reconciliation, Total Consolidated, year ended May 31, 2026 | (14,417)</t>
      </text>
    </comment>
    <comment ref="B112" authorId="0">
      <text>
        <t>d911529dex991.htm | Supplemental Segment Information / MAP reconciliation, Total Consolidated, three months ended Aug 31, 2025 | 0</t>
      </text>
    </comment>
    <comment ref="C112" authorId="0">
      <text>
        <t>d807675dex991.htm | Supplemental Segment Information / MAP reconciliation, Total Consolidated, three months ended Nov 30, 2025 | 0</t>
      </text>
    </comment>
    <comment ref="D112" authorId="0">
      <text>
        <t>d131284dex991.htm | Supplemental Segment Information / MAP reconciliation, Total Consolidated, three months ended Feb 28, 2026 | 0</t>
      </text>
    </comment>
    <comment ref="E112" authorId="0">
      <text>
        <t>d141573dex991.htm | Supplemental Segment Information / MAP reconciliation, Total Consolidated, three months ended May 31, 2026 | 0</t>
      </text>
    </comment>
    <comment ref="F112" authorId="0">
      <text>
        <t>d141573dex991.htm | Supplemental Segment Information / MAP reconciliation, Total Consolidated, year ended May 31, 2026 | 0</t>
      </text>
    </comment>
    <comment ref="B113" authorId="0">
      <text>
        <t>d911529dex991.htm | Supplemental Segment Information / MAP reconciliation, Total Consolidated, three months ended Aug 31, 2025 | 0</t>
      </text>
    </comment>
    <comment ref="C113" authorId="0">
      <text>
        <t>d807675dex991.htm | Supplemental Segment Information / MAP reconciliation, Total Consolidated, three months ended Nov 30, 2025 | 0</t>
      </text>
    </comment>
    <comment ref="D113" authorId="0">
      <text>
        <t>d131284dex991.htm | Supplemental Segment Information / MAP reconciliation, Total Consolidated, three months ended Feb 28, 2026 | 0</t>
      </text>
    </comment>
    <comment ref="E113" authorId="0">
      <text>
        <t>d141573dex991.htm | Supplemental Segment Information / MAP reconciliation, Total Consolidated, three months ended May 31, 2026 | 0</t>
      </text>
    </comment>
    <comment ref="F113" authorId="0">
      <text>
        <t>d141573dex991.htm | Supplemental Segment Information / MAP reconciliation, Total Consolidated, year ended May 31, 2026 | 0</t>
      </text>
    </comment>
    <comment ref="B114" authorId="0">
      <text>
        <t>d911529dex991.htm | Supplemental Segment Information / MAP reconciliation, Total Consolidated, three months ended Aug 31, 2025 | 0</t>
      </text>
    </comment>
    <comment ref="C114" authorId="0">
      <text>
        <t>d807675dex991.htm | Supplemental Segment Information / MAP reconciliation, Total Consolidated, three months ended Nov 30, 2025 | 0</t>
      </text>
    </comment>
    <comment ref="D114" authorId="0">
      <text>
        <t>d131284dex991.htm | Supplemental Segment Information / MAP reconciliation, Total Consolidated, three months ended Feb 28, 2026 | 0</t>
      </text>
    </comment>
    <comment ref="E114" authorId="0">
      <text>
        <t>d141573dex991.htm | Supplemental Segment Information / MAP reconciliation, Total Consolidated, three months ended May 31, 2026 | 1,000</t>
      </text>
    </comment>
    <comment ref="F114" authorId="0">
      <text>
        <t>d141573dex991.htm | Supplemental Segment Information / MAP reconciliation, Total Consolidated, year ended May 31, 2026 | 1,000</t>
      </text>
    </comment>
    <comment ref="B115" authorId="0">
      <text>
        <t>d911529dex991.htm | Supplemental Segment Information / MAP reconciliation, Total Consolidated, three months ended Aug 31, 2025 | 0</t>
      </text>
    </comment>
    <comment ref="C115" authorId="0">
      <text>
        <t>d807675dex991.htm | Supplemental Segment Information / MAP reconciliation, Total Consolidated, three months ended Nov 30, 2025 | 0</t>
      </text>
    </comment>
    <comment ref="D115" authorId="0">
      <text>
        <t>d131284dex991.htm | Supplemental Segment Information / MAP reconciliation, Total Consolidated, three months ended Feb 28, 2026 | 0</t>
      </text>
    </comment>
    <comment ref="E115" authorId="0">
      <text>
        <t>d141573dex991.htm | Supplemental Segment Information / MAP reconciliation, Total Consolidated, three months ended May 31, 2026 | 9,721</t>
      </text>
    </comment>
    <comment ref="F115" authorId="0">
      <text>
        <t>d141573dex991.htm | Supplemental Segment Information / MAP reconciliation, Total Consolidated, year ended May 31, 2026 | 9,721</t>
      </text>
    </comment>
    <comment ref="B121" authorId="0">
      <text>
        <t>d911529dex991.htm | Supplemental Segment Information / MAP reconciliation, Total Consolidated, three months ended Aug 31, 2025 | 337,792</t>
      </text>
    </comment>
    <comment ref="C121" authorId="0">
      <text>
        <t>d807675dex991.htm | Supplemental Segment Information / MAP reconciliation, Total Consolidated, three months ended Nov 30, 2025 | 226,632</t>
      </text>
    </comment>
    <comment ref="D121" authorId="0">
      <text>
        <t>d131284dex991.htm | Supplemental Segment Information / MAP reconciliation, Total Consolidated, three months ended Feb 28, 2026 | 116,400</t>
      </text>
    </comment>
    <comment ref="E121" authorId="0">
      <text>
        <t>d141573dex991.htm | Supplemental Segment Information / MAP reconciliation, Total Consolidated, three months ended May 31, 2026 | 338,600</t>
      </text>
    </comment>
    <comment ref="F121" authorId="0">
      <text>
        <t>d141573dex991.htm | Supplemental Segment Information / MAP reconciliation, Total Consolidated, year ended May 31, 2026 | 1,019,424</t>
      </text>
    </comment>
    <comment ref="B127" authorId="0">
      <text>
        <t>d911529dex991.htm | Reconciliation of Reported to Adjusted EPS, three months ended Aug 31, 2025 | 0.10</t>
      </text>
    </comment>
    <comment ref="C127" authorId="0">
      <text>
        <t>d807675dex991.htm | Reconciliation of Reported to Adjusted EPS, three months ended Nov 30, 2025 | 0.05</t>
      </text>
    </comment>
    <comment ref="D127" authorId="0">
      <text>
        <t>d131284dex991.htm | Reconciliation of Reported to Adjusted EPS, three months ended Feb 28, 2026 | 0.19</t>
      </text>
    </comment>
    <comment ref="E127" authorId="0">
      <text>
        <t>d141573dex991.htm | Reconciliation of Reported to Adjusted EPS, three months ended May 31, 2026 | 0.13</t>
      </text>
    </comment>
    <comment ref="F127" authorId="0">
      <text>
        <t>d141573dex991.htm | Reconciliation of Reported to Adjusted EPS, year ended May 31, 2026 | 0.46</t>
      </text>
    </comment>
    <comment ref="B128" authorId="0">
      <text>
        <t>d911529dex991.htm | Reconciliation of Reported to Adjusted EPS, three months ended Aug 31, 2025 | 0.04</t>
      </text>
    </comment>
    <comment ref="C128" authorId="0">
      <text>
        <t>d807675dex991.htm | Reconciliation of Reported to Adjusted EPS, three months ended Nov 30, 2025 | 0.01</t>
      </text>
    </comment>
    <comment ref="D128" authorId="0">
      <text>
        <t>d131284dex991.htm | Reconciliation of Reported to Adjusted EPS, three months ended Feb 28, 2026 | 0</t>
      </text>
    </comment>
    <comment ref="E128" authorId="0">
      <text>
        <t>d141573dex991.htm | Reconciliation of Reported to Adjusted EPS, three months ended May 31, 2026 | 0</t>
      </text>
    </comment>
    <comment ref="F128" authorId="0">
      <text>
        <t>d141573dex991.htm | Reconciliation of Reported to Adjusted EPS, year ended May 31, 2026 | 0.05</t>
      </text>
    </comment>
    <comment ref="B129" authorId="0">
      <text>
        <t>d911529dex991.htm | Reconciliation of Reported to Adjusted EPS, three months ended Aug 31, 2025 | 0</t>
      </text>
    </comment>
    <comment ref="C129" authorId="0">
      <text>
        <t>d807675dex991.htm | Reconciliation of Reported to Adjusted EPS, three months ended Nov 30, 2025 | (0.10)</t>
      </text>
    </comment>
    <comment ref="D129" authorId="0">
      <text>
        <t>d131284dex991.htm | Reconciliation of Reported to Adjusted EPS, three months ended Feb 28, 2026 | 0</t>
      </text>
    </comment>
    <comment ref="E129" authorId="0">
      <text>
        <t>d141573dex991.htm | Reconciliation of Reported to Adjusted EPS, three months ended May 31, 2026 | (0.01)</t>
      </text>
    </comment>
    <comment ref="F129" authorId="0">
      <text>
        <t>d141573dex991.htm | Reconciliation of Reported to Adjusted EPS, year ended May 31, 2026 | (0.11)</t>
      </text>
    </comment>
    <comment ref="B130" authorId="0">
      <text>
        <t>d911529dex991.htm | Reconciliation of Reported to Adjusted EPS, three months ended Aug 31, 2025 | 0</t>
      </text>
    </comment>
    <comment ref="C130" authorId="0">
      <text>
        <t>d807675dex991.htm | Reconciliation of Reported to Adjusted EPS, three months ended Nov 30, 2025 | 0</t>
      </text>
    </comment>
    <comment ref="D130" authorId="0">
      <text>
        <t>d131284dex991.htm | Reconciliation of Reported to Adjusted EPS, three months ended Feb 28, 2026 | 0</t>
      </text>
    </comment>
    <comment ref="E130" authorId="0">
      <text>
        <t>d141573dex991.htm | Reconciliation of Reported to Adjusted EPS, three months ended May 31, 2026 | 0.01</t>
      </text>
    </comment>
    <comment ref="F130" authorId="0">
      <text>
        <t>d141573dex991.htm | Reconciliation of Reported to Adjusted EPS, year ended May 31, 2026 | 0.01</t>
      </text>
    </comment>
    <comment ref="B131" authorId="0">
      <text>
        <t>d911529dex991.htm | Reconciliation of Reported to Adjusted EPS, three months ended Aug 31, 2025 | 0</t>
      </text>
    </comment>
    <comment ref="C131" authorId="0">
      <text>
        <t>d807675dex991.htm | Reconciliation of Reported to Adjusted EPS, three months ended Nov 30, 2025 | 0</t>
      </text>
    </comment>
    <comment ref="D131" authorId="0">
      <text>
        <t>d131284dex991.htm | Reconciliation of Reported to Adjusted EPS, three months ended Feb 28, 2026 | 0</t>
      </text>
    </comment>
    <comment ref="E131" authorId="0">
      <text>
        <t>d141573dex991.htm | Reconciliation of Reported to Adjusted EPS, three months ended May 31, 2026 | 0.06</t>
      </text>
    </comment>
    <comment ref="F131" authorId="0">
      <text>
        <t>d141573dex991.htm | Reconciliation of Reported to Adjusted EPS, year ended May 31, 2026 | 0.06</t>
      </text>
    </comment>
    <comment ref="B132" authorId="0">
      <text>
        <t>d911529dex991.htm | Reconciliation of Reported to Adjusted EPS, three months ended Aug 31, 2025 | (0.03)</t>
      </text>
    </comment>
    <comment ref="C132" authorId="0">
      <text>
        <t>d807675dex991.htm | Reconciliation of Reported to Adjusted EPS, three months ended Nov 30, 2025 | (0.02)</t>
      </text>
    </comment>
    <comment ref="D132" authorId="0">
      <text>
        <t>d131284dex991.htm | Reconciliation of Reported to Adjusted EPS, three months ended Feb 28, 2026 | (0.02)</t>
      </text>
    </comment>
    <comment ref="E132" authorId="0">
      <text>
        <t>d141573dex991.htm | Reconciliation of Reported to Adjusted EPS, three months ended May 31, 2026 | (0.03)</t>
      </text>
    </comment>
    <comment ref="F132" authorId="0">
      <text>
        <t>d141573dex991.htm | Reconciliation of Reported to Adjusted EPS, year ended May 31, 2026 | (0.11)</t>
      </text>
    </comment>
    <comment ref="B133" authorId="0">
      <text>
        <t>d911529dex991.htm | Reconciliation of Reported to Adjusted EPS, three months ended Aug 31, 2025 | 0</t>
      </text>
    </comment>
    <comment ref="C133" authorId="0">
      <text>
        <t>d807675dex991.htm | Reconciliation of Reported to Adjusted EPS, three months ended Nov 30, 2025 | 0</t>
      </text>
    </comment>
    <comment ref="D133" authorId="0">
      <text>
        <t>d131284dex991.htm | Reconciliation of Reported to Adjusted EPS, three months ended Feb 28, 2026 | 0</t>
      </text>
    </comment>
    <comment ref="E133" authorId="0">
      <text>
        <t>d141573dex991.htm | Reconciliation of Reported to Adjusted EPS, three months ended May 31, 2026 | 0</t>
      </text>
    </comment>
    <comment ref="F133" authorId="0">
      <text>
        <t>d141573dex991.htm | Reconciliation of Reported to Adjusted EPS, year ended May 31, 2026 | 0</t>
      </text>
    </comment>
    <comment ref="B137" authorId="0">
      <text>
        <t>d911529dex991.htm | Reconciliation of Reported to Adjusted EPS, three months ended Aug 31, 2025 | 1.88</t>
      </text>
    </comment>
    <comment ref="C137" authorId="0">
      <text>
        <t>d807675dex991.htm | Reconciliation of Reported to Adjusted EPS, three months ended Nov 30, 2025 | 1.20</t>
      </text>
    </comment>
    <comment ref="D137" authorId="0">
      <text>
        <t>d131284dex991.htm | Reconciliation of Reported to Adjusted EPS, three months ended Feb 28, 2026 | 0.57</t>
      </text>
    </comment>
    <comment ref="E137" authorId="0">
      <text>
        <t>d141573dex991.htm | Reconciliation of Reported to Adjusted EPS, three months ended May 31, 2026 | 1.89</t>
      </text>
    </comment>
    <comment ref="F137" authorId="0">
      <text>
        <t>d141573dex991.htm | Reconciliation of Reported to Adjusted EPS, year ended May 31, 2026 | 5.53</t>
      </text>
    </comment>
    <comment ref="B171" authorId="0">
      <text>
        <t>d911529dex991.htm | Prior-year column, three months ended Aug 31, 2024 | 1,968,789</t>
      </text>
    </comment>
    <comment ref="C171" authorId="0">
      <text>
        <t>d807675dex991.htm | Prior-year column, three months ended Nov 30, 2024 | 1,845,318</t>
      </text>
    </comment>
    <comment ref="D171" authorId="0">
      <text>
        <t>d131284dex991.htm | Prior-year column, three months ended Feb 28, 2025 | 1,476,562</t>
      </text>
    </comment>
    <comment ref="E171" authorId="0">
      <text>
        <t>d141573dex991.htm | Prior-year column, three months ended May 31, 2025 | 2,081,975</t>
      </text>
    </comment>
    <comment ref="F171" authorId="0">
      <text>
        <t>d141573dex991.htm | Prior-year column, year ended May 31, 2025 | 7,372,644</t>
      </text>
    </comment>
    <comment ref="B172" authorId="0">
      <text>
        <t>d911529dex991.htm | Prior-year column, three months ended Aug 31, 2024 | 1,132,116</t>
      </text>
    </comment>
    <comment ref="C172" authorId="0">
      <text>
        <t>d807675dex991.htm | Prior-year column, three months ended Nov 30, 2024 | 1,080,774</t>
      </text>
    </comment>
    <comment ref="D172" authorId="0">
      <text>
        <t>d131284dex991.htm | Prior-year column, three months ended Feb 28, 2025 | 909,072</t>
      </text>
    </comment>
    <comment ref="E172" authorId="0">
      <text>
        <t>d141573dex991.htm | Prior-year column, three months ended May 31, 2025 | 1,200,204</t>
      </text>
    </comment>
    <comment ref="F172" authorId="0">
      <text>
        <t>d141573dex991.htm | Prior-year column, year ended May 31, 2025 | 4,322,166</t>
      </text>
    </comment>
    <comment ref="B175" authorId="0">
      <text>
        <t>d911529dex991.htm | Prior-year column, three months ended Aug 31, 2024 | 526,146</t>
      </text>
    </comment>
    <comment ref="C175" authorId="0">
      <text>
        <t>d807675dex991.htm | Prior-year column, three months ended Nov 30, 2024 | 529,836</t>
      </text>
    </comment>
    <comment ref="D175" authorId="0">
      <text>
        <t>d131284dex991.htm | Prior-year column, three months ended Feb 28, 2025 | 501,710</t>
      </text>
    </comment>
    <comment ref="E175" authorId="0">
      <text>
        <t>d141573dex991.htm | Prior-year column, three months ended May 31, 2025 | 592,845</t>
      </text>
    </comment>
    <comment ref="F175" authorId="0">
      <text>
        <t>d141573dex991.htm | Prior-year column, year ended May 31, 2025 | 2,150,537</t>
      </text>
    </comment>
    <comment ref="B177" authorId="0">
      <text>
        <t>d911529dex991.htm | Prior-year column, three months ended Aug 31, 2024 | 303,859</t>
      </text>
    </comment>
    <comment ref="C177" authorId="0">
      <text>
        <t>d807675dex991.htm | Prior-year column, three months ended Nov 30, 2024 | 227,633</t>
      </text>
    </comment>
    <comment ref="D177" authorId="0">
      <text>
        <t>d131284dex991.htm | Prior-year column, three months ended Feb 28, 2025 | 62,678</t>
      </text>
    </comment>
    <comment ref="E177" authorId="0">
      <text>
        <t>d141573dex991.htm | Prior-year column, three months ended May 31, 2025 | 271,034</t>
      </text>
    </comment>
    <comment ref="F177" authorId="0">
      <text>
        <t>d141573dex991.htm | Prior-year column, year ended May 31, 2025 | 865,204</t>
      </text>
    </comment>
    <comment ref="B178" authorId="0">
      <text>
        <t>d911529dex991.htm | Prior-year column, three months ended Aug 31, 2024 | 290,451</t>
      </text>
    </comment>
    <comment ref="C178" authorId="0">
      <text>
        <t>d807675dex991.htm | Prior-year column, three months ended Nov 30, 2024 | 212,982</t>
      </text>
    </comment>
    <comment ref="D178" authorId="0">
      <text>
        <t>d131284dex991.htm | Prior-year column, three months ended Feb 28, 2025 | 40,951</t>
      </text>
    </comment>
    <comment ref="E178" authorId="0">
      <text>
        <t>d141573dex991.htm | Prior-year column, three months ended May 31, 2025 | 248,376</t>
      </text>
    </comment>
    <comment ref="F178" authorId="0">
      <text>
        <t>d141573dex991.htm | Prior-year column, year ended May 31, 2025 | 792,760</t>
      </text>
    </comment>
    <comment ref="B179" authorId="0">
      <text>
        <t>d911529dex991.htm | Prior-year column, three months ended Aug 31, 2024 | 61,897</t>
      </text>
    </comment>
    <comment ref="C179" authorId="0">
      <text>
        <t>d807675dex991.htm | Prior-year column, three months ended Nov 30, 2024 | 29,532</t>
      </text>
    </comment>
    <comment ref="D179" authorId="0">
      <text>
        <t>d131284dex991.htm | Prior-year column, three months ended Feb 28, 2025 | (11,363)</t>
      </text>
    </comment>
    <comment ref="E179" authorId="0">
      <text>
        <t>d141573dex991.htm | Prior-year column, three months ended May 31, 2025 | 22,367</t>
      </text>
    </comment>
    <comment ref="F179" authorId="0">
      <text>
        <t>d141573dex991.htm | Prior-year column, year ended May 31, 2025 | 102,433</t>
      </text>
    </comment>
    <comment ref="B180" authorId="0">
      <text>
        <t>d911529dex991.htm | Prior-year column, three months ended Aug 31, 2024 | 7,202</t>
      </text>
    </comment>
    <comment ref="C180" authorId="0">
      <text>
        <t>d807675dex991.htm | Prior-year column, three months ended Nov 30, 2024 | 7,557</t>
      </text>
    </comment>
    <comment ref="D180" authorId="0">
      <text>
        <t>d131284dex991.htm | Prior-year column, three months ended Feb 28, 2025 | 3,456</t>
      </text>
    </comment>
    <comment ref="E180" authorId="0">
      <text>
        <t>d141573dex991.htm | Prior-year column, three months ended May 31, 2025 | 6,764</t>
      </text>
    </comment>
    <comment ref="F180" authorId="0">
      <text>
        <t>d141573dex991.htm | Prior-year column, year ended May 31, 2025 | 24,979</t>
      </text>
    </comment>
    <comment ref="B181" authorId="0">
      <text>
        <t>d911529dex991.htm | Prior-year column, three months ended Aug 31, 2024 | (534)</t>
      </text>
    </comment>
    <comment ref="C181" authorId="0">
      <text>
        <t>d807675dex991.htm | Prior-year column, three months ended Nov 30, 2024 | (482)</t>
      </text>
    </comment>
    <comment ref="D181" authorId="0">
      <text>
        <t>d131284dex991.htm | Prior-year column, three months ended Feb 28, 2025 | (354)</t>
      </text>
    </comment>
    <comment ref="E181" authorId="0">
      <text>
        <t>d141573dex991.htm | Prior-year column, three months ended May 31, 2025 | (224)</t>
      </text>
    </comment>
    <comment ref="F181" authorId="0">
      <text>
        <t>d141573dex991.htm | Prior-year column, year ended May 31, 2025 | (1,594)</t>
      </text>
    </comment>
    <comment ref="B182" authorId="0">
      <text>
        <t>d911529dex991.htm | Prior-year column, three months ended Aug 31, 2024 | 24,434</t>
      </text>
    </comment>
    <comment ref="C182" authorId="0">
      <text>
        <t>d807675dex991.htm | Prior-year column, three months ended Nov 30, 2024 | 23,177</t>
      </text>
    </comment>
    <comment ref="D182" authorId="0">
      <text>
        <t>d131284dex991.htm | Prior-year column, three months ended Feb 28, 2025 | 22,993</t>
      </text>
    </comment>
    <comment ref="E182" authorId="0">
      <text>
        <t>d141573dex991.htm | Prior-year column, three months ended May 31, 2025 | 25,939</t>
      </text>
    </comment>
    <comment ref="F182" authorId="0">
      <text>
        <t>d141573dex991.htm | Prior-year column, year ended May 31, 2025 | 96,543</t>
      </text>
    </comment>
    <comment ref="B183" authorId="0">
      <text>
        <t>d911529dex991.htm | Prior-year column, three months ended Aug 31, 2024 | (11,026)</t>
      </text>
    </comment>
    <comment ref="C183" authorId="0">
      <text>
        <t>d807675dex991.htm | Prior-year column, three months ended Nov 30, 2024 | (8,526)</t>
      </text>
    </comment>
    <comment ref="D183" authorId="0">
      <text>
        <t>d131284dex991.htm | Prior-year column, three months ended Feb 28, 2025 | (1,266)</t>
      </text>
    </comment>
    <comment ref="E183" authorId="0">
      <text>
        <t>d141573dex991.htm | Prior-year column, three months ended May 31, 2025 | (3,281)</t>
      </text>
    </comment>
    <comment ref="F183" authorId="0">
      <text>
        <t>d141573dex991.htm | Prior-year column, year ended May 31, 2025 | (24,099)</t>
      </text>
    </comment>
    <comment ref="B184" authorId="0">
      <text>
        <t>d911529dex991.htm | Prior-year column, three months ended Aug 31, 2024 | 862</t>
      </text>
    </comment>
    <comment ref="C184" authorId="0">
      <text>
        <t>d807675dex991.htm | Prior-year column, three months ended Nov 30, 2024 | 246</t>
      </text>
    </comment>
    <comment ref="D184" authorId="0">
      <text>
        <t>d131284dex991.htm | Prior-year column, three months ended Feb 28, 2025 | 280</t>
      </text>
    </comment>
    <comment ref="E184" authorId="0">
      <text>
        <t>d141573dex991.htm | Prior-year column, three months ended May 31, 2025 | 251</t>
      </text>
    </comment>
    <comment ref="F184" authorId="0">
      <text>
        <t>d141573dex991.htm | Prior-year column, year ended May 31, 2025 | 1,639</t>
      </text>
    </comment>
    <comment ref="B185" authorId="0">
      <text>
        <t>d911529dex991.htm | Prior-year column, three months ended Aug 31, 2024 | (30,480)</t>
      </text>
    </comment>
    <comment ref="C185" authorId="0">
      <text>
        <t>d807675dex991.htm | Prior-year column, three months ended Nov 30, 2024 | (34,707)</t>
      </text>
    </comment>
    <comment ref="D185" authorId="0">
      <text>
        <t>d131284dex991.htm | Prior-year column, three months ended Feb 28, 2025 | (39,183)</t>
      </text>
    </comment>
    <comment ref="E185" authorId="0">
      <text>
        <t>d141573dex991.htm | Prior-year column, three months ended May 31, 2025 | (35,354)</t>
      </text>
    </comment>
    <comment ref="F185" authorId="0">
      <text>
        <t>d141573dex991.htm | Prior-year column, year ended May 31, 2025 | (139,724)</t>
      </text>
    </comment>
    <comment ref="B186" authorId="0">
      <text>
        <t>d911529dex991.htm | Prior-year column, three months ended Aug 31, 2024 | 328,342</t>
      </text>
    </comment>
    <comment ref="C186" authorId="0">
      <text>
        <t>d807675dex991.htm | Prior-year column, three months ended Nov 30, 2024 | 255,076</t>
      </text>
    </comment>
    <comment ref="D186" authorId="0">
      <text>
        <t>d131284dex991.htm | Prior-year column, three months ended Feb 28, 2025 | 78,236</t>
      </text>
    </comment>
    <comment ref="E186" authorId="0">
      <text>
        <t>d141573dex991.htm | Prior-year column, three months ended May 31, 2025 | 314,377</t>
      </text>
    </comment>
    <comment ref="F186" authorId="0">
      <text>
        <t>d141573dex991.htm | Prior-year column, year ended May 31, 2025 | 976,031</t>
      </text>
    </comment>
    <comment ref="B191" authorId="0">
      <text>
        <t>d911529dex991.htm | Prior-year column, three months ended Aug 31, 2024 | 227,692</t>
      </text>
    </comment>
    <comment ref="C191" authorId="0">
      <text>
        <t>d807675dex991.htm | Prior-year column, three months ended Nov 30, 2024 | 183,204</t>
      </text>
    </comment>
    <comment ref="D191" authorId="0">
      <text>
        <t>d131284dex991.htm | Prior-year column, three months ended Feb 28, 2025 | 52,034</t>
      </text>
    </comment>
    <comment ref="E191" authorId="0">
      <text>
        <t>d141573dex991.htm | Prior-year column, three months ended May 31, 2025 | 225,758</t>
      </text>
    </comment>
    <comment ref="F191" authorId="0">
      <text>
        <t>d141573dex991.htm | Prior-year column, year ended May 31, 2025 | 688,688</t>
      </text>
    </comment>
    <comment ref="B192" authorId="0">
      <text>
        <t>d911529dex991.htm | Prior-year column, three months ended Aug 31, 2024 | 1.77</t>
      </text>
    </comment>
    <comment ref="C192" authorId="0">
      <text>
        <t>d807675dex991.htm | Prior-year column, three months ended Nov 30, 2024 | 1.42</t>
      </text>
    </comment>
    <comment ref="D192" authorId="0">
      <text>
        <t>d131284dex991.htm | Prior-year column, three months ended Feb 28, 2025 | 0.40</t>
      </text>
    </comment>
    <comment ref="E192" authorId="0">
      <text>
        <t>d141573dex991.htm | Prior-year column, three months ended May 31, 2025 | 1.76</t>
      </text>
    </comment>
    <comment ref="F192" authorId="0">
      <text>
        <t>d141573dex991.htm | Prior-year column, year ended May 31, 2025 | 5.35</t>
      </text>
    </comment>
    <comment ref="B193" authorId="0">
      <text>
        <t>d911529dex991.htm | Prior-year column, three months ended Aug 31, 2024 | 1.84</t>
      </text>
    </comment>
    <comment ref="C193" authorId="0">
      <text>
        <t>d807675dex991.htm | Prior-year column, three months ended Nov 30, 2024 | 1.39</t>
      </text>
    </comment>
    <comment ref="D193" authorId="0">
      <text>
        <t>d131284dex991.htm | Prior-year column, three months ended Feb 28, 2025 | 0.35</t>
      </text>
    </comment>
    <comment ref="E193" authorId="0">
      <text>
        <t>d141573dex991.htm | Prior-year column, three months ended May 31, 2025 | 1.72</t>
      </text>
    </comment>
    <comment ref="F193" authorId="0">
      <text>
        <t>d141573dex991.htm | Prior-year column, year ended May 31, 2025 | 5.30</t>
      </text>
    </comment>
    <comment ref="B163" authorId="1">
      <text>
        <t>1q26-10-q-filing.pdf | Note 12 Earnings Per Share | Net income attributable to RPM International Inc. stockholders $ 227,605; Net income available to common shareholders - diluted $ 226,723</t>
      </text>
    </comment>
    <comment ref="C163" authorId="1">
      <text>
        <t>rpm-20251130.htm | Note 12 Earnings Per Share | Net income attributable to RPM International Inc. stockholders 161,207; Net income available to common shareholders - diluted 160,507</t>
      </text>
    </comment>
    <comment ref="D163" authorId="1">
      <text>
        <t>rpm-20260228.htm | Note 12 Earnings Per Share | Net income attributable to RPM International Inc. stockholders 51,364; Net income available to common shareholders - diluted 51,091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9" authorId="0">
      <text>
        <t>d911529dex991.htm | Consolidated Balance Sheets, August 31, 2025 | 297,075</t>
      </text>
    </comment>
    <comment ref="C9" authorId="0">
      <text>
        <t>d807675dex991.htm | Consolidated Balance Sheets, November 30, 2025 | 316,592</t>
      </text>
    </comment>
    <comment ref="D9" authorId="0">
      <text>
        <t>d131284dex991.htm | Consolidated Balance Sheets, February 28, 2026 | 294,206</t>
      </text>
    </comment>
    <comment ref="E9" authorId="0">
      <text>
        <t>d141573dex991.htm | Consolidated Balance Sheets, May 31, 2026 | 315,188</t>
      </text>
    </comment>
    <comment ref="B10" authorId="0">
      <text>
        <t>d911529dex991.htm | Consolidated Balance Sheets, August 31, 2025 | 1,515,499</t>
      </text>
    </comment>
    <comment ref="C10" authorId="0">
      <text>
        <t>d807675dex991.htm | Consolidated Balance Sheets, November 30, 2025 | 1,370,136</t>
      </text>
    </comment>
    <comment ref="D10" authorId="0">
      <text>
        <t>d131284dex991.htm | Consolidated Balance Sheets, February 28, 2026 | 1,261,112</t>
      </text>
    </comment>
    <comment ref="E10" authorId="0">
      <text>
        <t>d141573dex991.htm | Consolidated Balance Sheets, May 31, 2026 | 1,700,717</t>
      </text>
    </comment>
    <comment ref="B11" authorId="0">
      <text>
        <t>d911529dex991.htm | Consolidated Balance Sheets, August 31, 2025 | (42,506)</t>
      </text>
    </comment>
    <comment ref="C11" authorId="0">
      <text>
        <t>d807675dex991.htm | Consolidated Balance Sheets, November 30, 2025 | (39,612)</t>
      </text>
    </comment>
    <comment ref="D11" authorId="0">
      <text>
        <t>d131284dex991.htm | Consolidated Balance Sheets, February 28, 2026 | (37,717)</t>
      </text>
    </comment>
    <comment ref="E11" authorId="0">
      <text>
        <t>d141573dex991.htm | Consolidated Balance Sheets, May 31, 2026 | (39,179)</t>
      </text>
    </comment>
    <comment ref="B14" authorId="0">
      <text>
        <t>d911529dex991.htm | Consolidated Balance Sheets, August 31, 2025 | 1,068,183</t>
      </text>
    </comment>
    <comment ref="C14" authorId="0">
      <text>
        <t>d807675dex991.htm | Consolidated Balance Sheets, November 30, 2025 | 1,083,420</t>
      </text>
    </comment>
    <comment ref="D14" authorId="0">
      <text>
        <t>d131284dex991.htm | Consolidated Balance Sheets, February 28, 2026 | 1,120,273</t>
      </text>
    </comment>
    <comment ref="E14" authorId="0">
      <text>
        <t>d141573dex991.htm | Consolidated Balance Sheets, May 31, 2026 | 1,058,911</t>
      </text>
    </comment>
    <comment ref="B15" authorId="0">
      <text>
        <t>d911529dex991.htm | Consolidated Balance Sheets, August 31, 2025 | 365,271</t>
      </text>
    </comment>
    <comment ref="C15" authorId="0">
      <text>
        <t>d807675dex991.htm | Consolidated Balance Sheets, November 30, 2025 | 390,636</t>
      </text>
    </comment>
    <comment ref="D15" authorId="0">
      <text>
        <t>d131284dex991.htm | Consolidated Balance Sheets, February 28, 2026 | 415,566</t>
      </text>
    </comment>
    <comment ref="E15" authorId="0">
      <text>
        <t>d141573dex991.htm | Consolidated Balance Sheets, May 31, 2026 | 423,198</t>
      </text>
    </comment>
    <comment ref="B17" authorId="0">
      <text>
        <t>d911529dex991.htm | Consolidated Balance Sheets, August 31, 2025 | 2,805,421</t>
      </text>
    </comment>
    <comment ref="C17" authorId="0">
      <text>
        <t>d807675dex991.htm | Consolidated Balance Sheets, November 30, 2025 | 2,826,384</t>
      </text>
    </comment>
    <comment ref="D17" authorId="0">
      <text>
        <t>d131284dex991.htm | Consolidated Balance Sheets, February 28, 2026 | 2,885,364</t>
      </text>
    </comment>
    <comment ref="E17" authorId="0">
      <text>
        <t>d141573dex991.htm | Consolidated Balance Sheets, May 31, 2026 | 2,919,058</t>
      </text>
    </comment>
    <comment ref="B18" authorId="0">
      <text>
        <t>d911529dex991.htm | Consolidated Balance Sheets, August 31, 2025 | (1,306,637)</t>
      </text>
    </comment>
    <comment ref="C18" authorId="0">
      <text>
        <t>d807675dex991.htm | Consolidated Balance Sheets, November 30, 2025 | (1,328,094)</t>
      </text>
    </comment>
    <comment ref="D18" authorId="0">
      <text>
        <t>d131284dex991.htm | Consolidated Balance Sheets, February 28, 2026 | (1,365,007)</t>
      </text>
    </comment>
    <comment ref="E18" authorId="0">
      <text>
        <t>d141573dex991.htm | Consolidated Balance Sheets, May 31, 2026 | (1,362,540)</t>
      </text>
    </comment>
    <comment ref="B20" authorId="0">
      <text>
        <t>d911529dex991.htm | Consolidated Balance Sheets, August 31, 2025 | 1,657,612</t>
      </text>
    </comment>
    <comment ref="C20" authorId="0">
      <text>
        <t>d807675dex991.htm | Consolidated Balance Sheets, November 30, 2025 | 1,664,720</t>
      </text>
    </comment>
    <comment ref="D20" authorId="0">
      <text>
        <t>d131284dex991.htm | Consolidated Balance Sheets, February 28, 2026 | 1,680,867</t>
      </text>
    </comment>
    <comment ref="E20" authorId="0">
      <text>
        <t>d141573dex991.htm | Consolidated Balance Sheets, May 31, 2026 | 1,688,164</t>
      </text>
    </comment>
    <comment ref="B21" authorId="0">
      <text>
        <t>d911529dex991.htm | Consolidated Balance Sheets, August 31, 2025 | 832,195</t>
      </text>
    </comment>
    <comment ref="C21" authorId="0">
      <text>
        <t>d807675dex991.htm | Consolidated Balance Sheets, November 30, 2025 | 825,801</t>
      </text>
    </comment>
    <comment ref="D21" authorId="0">
      <text>
        <t>d131284dex991.htm | Consolidated Balance Sheets, February 28, 2026 | 821,466</t>
      </text>
    </comment>
    <comment ref="E21" authorId="0">
      <text>
        <t>d141573dex991.htm | Consolidated Balance Sheets, May 31, 2026 | 824,638</t>
      </text>
    </comment>
    <comment ref="B22" authorId="0">
      <text>
        <t>d911529dex991.htm | Consolidated Balance Sheets, August 31, 2025 | 394,831</t>
      </text>
    </comment>
    <comment ref="C22" authorId="0">
      <text>
        <t>d807675dex991.htm | Consolidated Balance Sheets, November 30, 2025 | 404,650</t>
      </text>
    </comment>
    <comment ref="D22" authorId="0">
      <text>
        <t>d131284dex991.htm | Consolidated Balance Sheets, February 28, 2026 | 398,726</t>
      </text>
    </comment>
    <comment ref="E22" authorId="0">
      <text>
        <t>d141573dex991.htm | Consolidated Balance Sheets, May 31, 2026 | 396,936</t>
      </text>
    </comment>
    <comment ref="B23" authorId="0">
      <text>
        <t>d911529dex991.htm | Consolidated Balance Sheets, August 31, 2025 | 147,436</t>
      </text>
    </comment>
    <comment ref="C23" authorId="0">
      <text>
        <t>d807675dex991.htm | Consolidated Balance Sheets, November 30, 2025 | 152,794</t>
      </text>
    </comment>
    <comment ref="D23" authorId="0">
      <text>
        <t>d131284dex991.htm | Consolidated Balance Sheets, February 28, 2026 | 161,144</t>
      </text>
    </comment>
    <comment ref="E23" authorId="0">
      <text>
        <t>d141573dex991.htm | Consolidated Balance Sheets, May 31, 2026 | 116,474</t>
      </text>
    </comment>
    <comment ref="B24" authorId="0">
      <text>
        <t>d911529dex991.htm | Consolidated Balance Sheets, August 31, 2025 | 210,165</t>
      </text>
    </comment>
    <comment ref="C24" authorId="0">
      <text>
        <t>d807675dex991.htm | Consolidated Balance Sheets, November 30, 2025 | 202,813</t>
      </text>
    </comment>
    <comment ref="D24" authorId="0">
      <text>
        <t>d131284dex991.htm | Consolidated Balance Sheets, February 28, 2026 | 248,654</t>
      </text>
    </comment>
    <comment ref="E24" authorId="0">
      <text>
        <t>d141573dex991.htm | Consolidated Balance Sheets, May 31, 2026 | 303,040</t>
      </text>
    </comment>
    <comment ref="B28" authorId="0">
      <text>
        <t>d911529dex991.htm | Consolidated Balance Sheets, August 31, 2025 | 762,013</t>
      </text>
    </comment>
    <comment ref="C28" authorId="0">
      <text>
        <t>d807675dex991.htm | Consolidated Balance Sheets, November 30, 2025 | 741,172</t>
      </text>
    </comment>
    <comment ref="D28" authorId="0">
      <text>
        <t>d131284dex991.htm | Consolidated Balance Sheets, February 28, 2026 | 675,445</t>
      </text>
    </comment>
    <comment ref="E28" authorId="0">
      <text>
        <t>d141573dex991.htm | Consolidated Balance Sheets, May 31, 2026 | 853,524</t>
      </text>
    </comment>
    <comment ref="B29" authorId="0">
      <text>
        <t>d911529dex991.htm | Consolidated Balance Sheets, August 31, 2025 | 7,434</t>
      </text>
    </comment>
    <comment ref="C29" authorId="0">
      <text>
        <t>d807675dex991.htm | Consolidated Balance Sheets, November 30, 2025 | 8,287</t>
      </text>
    </comment>
    <comment ref="D29" authorId="0">
      <text>
        <t>d131284dex991.htm | Consolidated Balance Sheets, February 28, 2026 | 8,383</t>
      </text>
    </comment>
    <comment ref="E29" authorId="0">
      <text>
        <t>d141573dex991.htm | Consolidated Balance Sheets, May 31, 2026 | 407,834</t>
      </text>
    </comment>
    <comment ref="B30" authorId="0">
      <text>
        <t>d911529dex991.htm | Consolidated Balance Sheets, August 31, 2025 | 189,846</t>
      </text>
    </comment>
    <comment ref="C30" authorId="0">
      <text>
        <t>d807675dex991.htm | Consolidated Balance Sheets, November 30, 2025 | 230,480</t>
      </text>
    </comment>
    <comment ref="D30" authorId="0">
      <text>
        <t>d131284dex991.htm | Consolidated Balance Sheets, February 28, 2026 | 230,559</t>
      </text>
    </comment>
    <comment ref="E30" authorId="0">
      <text>
        <t>d141573dex991.htm | Consolidated Balance Sheets, May 31, 2026 | 307,299</t>
      </text>
    </comment>
    <comment ref="B31" authorId="0">
      <text>
        <t>d911529dex991.htm | Consolidated Balance Sheets, August 31, 2025 | 30,749</t>
      </text>
    </comment>
    <comment ref="C31" authorId="0">
      <text>
        <t>d807675dex991.htm | Consolidated Balance Sheets, November 30, 2025 | 32,517</t>
      </text>
    </comment>
    <comment ref="D31" authorId="0">
      <text>
        <t>d131284dex991.htm | Consolidated Balance Sheets, February 28, 2026 | 32,995</t>
      </text>
    </comment>
    <comment ref="E31" authorId="0">
      <text>
        <t>d141573dex991.htm | Consolidated Balance Sheets, May 31, 2026 | 51,258</t>
      </text>
    </comment>
    <comment ref="B32" authorId="0">
      <text>
        <t>d911529dex991.htm | Consolidated Balance Sheets, August 31, 2025 | 424,834</t>
      </text>
    </comment>
    <comment ref="C32" authorId="0">
      <text>
        <t>d807675dex991.htm | Consolidated Balance Sheets, November 30, 2025 | 393,870</t>
      </text>
    </comment>
    <comment ref="D32" authorId="0">
      <text>
        <t>d131284dex991.htm | Consolidated Balance Sheets, February 28, 2026 | 391,052</t>
      </text>
    </comment>
    <comment ref="E32" authorId="0">
      <text>
        <t>d141573dex991.htm | Consolidated Balance Sheets, May 31, 2026 | 441,148</t>
      </text>
    </comment>
    <comment ref="B34" authorId="0">
      <text>
        <t>d911529dex991.htm | Consolidated Balance Sheets, August 31, 2025 | 2,661,990</t>
      </text>
    </comment>
    <comment ref="C34" authorId="0">
      <text>
        <t>d807675dex991.htm | Consolidated Balance Sheets, November 30, 2025 | 2,511,588</t>
      </text>
    </comment>
    <comment ref="D34" authorId="0">
      <text>
        <t>d131284dex991.htm | Consolidated Balance Sheets, February 28, 2026 | 2,547,104</t>
      </text>
    </comment>
    <comment ref="E34" authorId="0">
      <text>
        <t>d141573dex991.htm | Consolidated Balance Sheets, May 31, 2026 | 2,125,690</t>
      </text>
    </comment>
    <comment ref="B35" authorId="0">
      <text>
        <t>d911529dex991.htm | Consolidated Balance Sheets, August 31, 2025 | 340,420</t>
      </text>
    </comment>
    <comment ref="C35" authorId="0">
      <text>
        <t>d807675dex991.htm | Consolidated Balance Sheets, November 30, 2025 | 348,248</t>
      </text>
    </comment>
    <comment ref="D35" authorId="0">
      <text>
        <t>d131284dex991.htm | Consolidated Balance Sheets, February 28, 2026 | 342,845</t>
      </text>
    </comment>
    <comment ref="E35" authorId="0">
      <text>
        <t>d141573dex991.htm | Consolidated Balance Sheets, May 31, 2026 | 341,283</t>
      </text>
    </comment>
    <comment ref="B36" authorId="0">
      <text>
        <t>d911529dex991.htm | Consolidated Balance Sheets, August 31, 2025 | 243,524</t>
      </text>
    </comment>
    <comment ref="C36" authorId="0">
      <text>
        <t>d807675dex991.htm | Consolidated Balance Sheets, November 30, 2025 | 242,297</t>
      </text>
    </comment>
    <comment ref="D36" authorId="0">
      <text>
        <t>d131284dex991.htm | Consolidated Balance Sheets, February 28, 2026 | 245,022</t>
      </text>
    </comment>
    <comment ref="E36" authorId="0">
      <text>
        <t>d141573dex991.htm | Consolidated Balance Sheets, May 31, 2026 | 258,641</t>
      </text>
    </comment>
    <comment ref="B37" authorId="0">
      <text>
        <t>d911529dex991.htm | Consolidated Balance Sheets, August 31, 2025 | 227,141</t>
      </text>
    </comment>
    <comment ref="C37" authorId="0">
      <text>
        <t>d807675dex991.htm | Consolidated Balance Sheets, November 30, 2025 | 230,968</t>
      </text>
    </comment>
    <comment ref="D37" authorId="0">
      <text>
        <t>d131284dex991.htm | Consolidated Balance Sheets, February 28, 2026 | 263,129</t>
      </text>
    </comment>
    <comment ref="E37" authorId="0">
      <text>
        <t>d141573dex991.htm | Consolidated Balance Sheets, May 31, 2026 | 244,823</t>
      </text>
    </comment>
    <comment ref="B41" authorId="0">
      <text>
        <t>d911529dex991.htm | Consolidated Balance Sheets, August 31, 2025 | 1,282</t>
      </text>
    </comment>
    <comment ref="C41" authorId="0">
      <text>
        <t>d807675dex991.htm | Consolidated Balance Sheets, November 30, 2025 | 1,281</t>
      </text>
    </comment>
    <comment ref="D41" authorId="0">
      <text>
        <t>d131284dex991.htm | Consolidated Balance Sheets, February 28, 2026 | 1,279</t>
      </text>
    </comment>
    <comment ref="E41" authorId="0">
      <text>
        <t>d141573dex991.htm | Consolidated Balance Sheets, May 31, 2026 | 1,276</t>
      </text>
    </comment>
    <comment ref="B42" authorId="0">
      <text>
        <t>d911529dex991.htm | Consolidated Balance Sheets, August 31, 2025 | 1,183,272</t>
      </text>
    </comment>
    <comment ref="C42" authorId="0">
      <text>
        <t>d807675dex991.htm | Consolidated Balance Sheets, November 30, 2025 | 1,192,372</t>
      </text>
    </comment>
    <comment ref="D42" authorId="0">
      <text>
        <t>d131284dex991.htm | Consolidated Balance Sheets, February 28, 2026 | 1,202,259</t>
      </text>
    </comment>
    <comment ref="E42" authorId="0">
      <text>
        <t>d141573dex991.htm | Consolidated Balance Sheets, May 31, 2026 | 1,210,651</t>
      </text>
    </comment>
    <comment ref="B43" authorId="0">
      <text>
        <t>d911529dex991.htm | Consolidated Balance Sheets, August 31, 2025 | (973,372)</t>
      </text>
    </comment>
    <comment ref="C43" authorId="0">
      <text>
        <t>d807675dex991.htm | Consolidated Balance Sheets, November 30, 2025 | (991,176)</t>
      </text>
    </comment>
    <comment ref="D43" authorId="0">
      <text>
        <t>d131284dex991.htm | Consolidated Balance Sheets, February 28, 2026 | (1,009,239)</t>
      </text>
    </comment>
    <comment ref="E43" authorId="0">
      <text>
        <t>d141573dex991.htm | Consolidated Balance Sheets, May 31, 2026 | (1,036,645)</t>
      </text>
    </comment>
    <comment ref="B44" authorId="0">
      <text>
        <t>d911529dex991.htm | Consolidated Balance Sheets, August 31, 2025 | (512,832)</t>
      </text>
    </comment>
    <comment ref="C44" authorId="0">
      <text>
        <t>d807675dex991.htm | Consolidated Balance Sheets, November 30, 2025 | (521,915)</t>
      </text>
    </comment>
    <comment ref="D44" authorId="0">
      <text>
        <t>d131284dex991.htm | Consolidated Balance Sheets, February 28, 2026 | (478,803)</t>
      </text>
    </comment>
    <comment ref="E44" authorId="0">
      <text>
        <t>d141573dex991.htm | Consolidated Balance Sheets, May 31, 2026 | (447,200)</t>
      </text>
    </comment>
    <comment ref="B45" authorId="0">
      <text>
        <t>d911529dex991.htm | Consolidated Balance Sheets, August 31, 2025 | 3,356,848</t>
      </text>
    </comment>
    <comment ref="C45" authorId="0">
      <text>
        <t>d807675dex991.htm | Consolidated Balance Sheets, November 30, 2025 | 3,448,857</t>
      </text>
    </comment>
    <comment ref="D45" authorId="0">
      <text>
        <t>d131284dex991.htm | Consolidated Balance Sheets, February 28, 2026 | 3,431,151</t>
      </text>
    </comment>
    <comment ref="E45" authorId="0">
      <text>
        <t>d141573dex991.htm | Consolidated Balance Sheets, May 31, 2026 | 3,583,451</t>
      </text>
    </comment>
    <comment ref="B47" authorId="0">
      <text>
        <t>d911529dex991.htm | Consolidated Balance Sheets, August 31, 2025 | 1,396</t>
      </text>
    </comment>
    <comment ref="C47" authorId="0">
      <text>
        <t>d807675dex991.htm | Consolidated Balance Sheets, November 30, 2025 | 1,394</t>
      </text>
    </comment>
    <comment ref="D47" authorId="0">
      <text>
        <t>d131284dex991.htm | Consolidated Balance Sheets, February 28, 2026 | 1,473</t>
      </text>
    </comment>
    <comment ref="E47" authorId="0">
      <text>
        <t>d141573dex991.htm | Consolidated Balance Sheets, May 31, 2026 | 1,572</t>
      </text>
    </comment>
    <comment ref="B52" authorId="0">
      <text>
        <t>d911529dex991.htm | Consolidated Balance Sheets, August 31, 2025 | 7,944,545</t>
      </text>
    </comment>
    <comment ref="C52" authorId="0">
      <text>
        <t>d807675dex991.htm | Consolidated Balance Sheets, November 30, 2025 | 7,870,240</t>
      </text>
    </comment>
    <comment ref="D52" authorId="0">
      <text>
        <t>d131284dex991.htm | Consolidated Balance Sheets, February 28, 2026 | 7,884,654</t>
      </text>
    </comment>
    <comment ref="E52" authorId="0">
      <text>
        <t>d141573dex991.htm | Consolidated Balance Sheets, May 31, 2026 | 8,344,605</t>
      </text>
    </comment>
    <comment ref="B54" authorId="0">
      <text>
        <t>d911529dex991.htm | Consolidated Balance Sheets, August 31, 2025 | 4,887,951</t>
      </text>
    </comment>
    <comment ref="C54" authorId="0">
      <text>
        <t>d807675dex991.htm | Consolidated Balance Sheets, November 30, 2025 | 4,739,427</t>
      </text>
    </comment>
    <comment ref="D54" authorId="0">
      <text>
        <t>d131284dex991.htm | Consolidated Balance Sheets, February 28, 2026 | 4,736,534</t>
      </text>
    </comment>
    <comment ref="E54" authorId="0">
      <text>
        <t>d141573dex991.htm | Consolidated Balance Sheets, May 31, 2026 | 5,031,500</t>
      </text>
    </comment>
    <comment ref="B58" authorId="0">
      <text>
        <t>d911529dex991.htm | Consolidated Balance Sheets, August 31, 2025, Common stock (outstanding) | 128,219</t>
      </text>
    </comment>
    <comment ref="C58" authorId="0">
      <text>
        <t>d807675dex991.htm | Consolidated Balance Sheets, November 30, 2025, Common stock (outstanding) | 128,076</t>
      </text>
    </comment>
    <comment ref="D58" authorId="0">
      <text>
        <t>d131284dex991.htm | Consolidated Balance Sheets, February 28, 2026, Common stock (outstanding) | 127,873</t>
      </text>
    </comment>
    <comment ref="E58" authorId="0">
      <text>
        <t>d141573dex991.htm | Consolidated Balance Sheets, May 31, 2026, Common stock (outstanding) | 127,643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69" authorId="0">
      <text>
        <t>d911529dex991.htm | Consolidated Statements of Cash Flows, three months ended Aug 31, 2025 | 227,840</t>
      </text>
    </comment>
    <comment ref="C69" authorId="0">
      <text>
        <t>d807675dex991.htm | Consolidated Statements of Cash Flows, six months ended Nov 30, 2025 | 389,314</t>
      </text>
    </comment>
    <comment ref="D69" authorId="0">
      <text>
        <t>d131284dex991.htm | Consolidated Statements of Cash Flows, nine months ended Feb 28, 2026 | 440,928</t>
      </text>
    </comment>
    <comment ref="E69" authorId="0">
      <text>
        <t>rpm-20260531.htm R129/R130 + rpm-4q26-form-10-k.pdf | Consolidated Statements of Cash Flows, year ended May 31, 2026 | 662,483</t>
      </text>
    </comment>
    <comment ref="B70" authorId="0">
      <text>
        <t>d911529dex991.htm | Consolidated Statements of Cash Flows, three months ended Aug 31, 2025 | 51,464</t>
      </text>
    </comment>
    <comment ref="C70" authorId="0">
      <text>
        <t>d807675dex991.htm | Consolidated Statements of Cash Flows, six months ended Nov 30, 2025 | 103,507</t>
      </text>
    </comment>
    <comment ref="D70" authorId="0">
      <text>
        <t>d131284dex991.htm | Consolidated Statements of Cash Flows, nine months ended Feb 28, 2026 | 155,798</t>
      </text>
    </comment>
    <comment ref="E70" authorId="0">
      <text>
        <t>rpm-20260531.htm R129/R130 + rpm-4q26-form-10-k.pdf | Consolidated Statements of Cash Flows, year ended May 31, 2026 | 213,490</t>
      </text>
    </comment>
    <comment ref="B71" authorId="0">
      <text>
        <t>d911529dex991.htm | Consolidated Statements of Cash Flows, three months ended Aug 31, 2025 | 0</t>
      </text>
    </comment>
    <comment ref="C71" authorId="0">
      <text>
        <t>d807675dex991.htm | Consolidated Statements of Cash Flows, six months ended Nov 30, 2025 | (12,707)</t>
      </text>
    </comment>
    <comment ref="D71" authorId="0">
      <text>
        <t>d131284dex991.htm | Consolidated Statements of Cash Flows, nine months ended Feb 28, 2026 | (12,707)</t>
      </text>
    </comment>
    <comment ref="E71" authorId="0">
      <text>
        <t>rpm-20260531.htm R129/R130 + rpm-4q26-form-10-k.pdf | Consolidated Statements of Cash Flows, year ended May 31, 2026 | (14,418)</t>
      </text>
    </comment>
    <comment ref="B72" authorId="0">
      <text>
        <t>d911529dex991.htm | Consolidated Statements of Cash Flows, three months ended Aug 31, 2025 | 0</t>
      </text>
    </comment>
    <comment ref="C72" authorId="0">
      <text>
        <t>d807675dex991.htm | Consolidated Statements of Cash Flows, six months ended Nov 30, 2025 | 0</t>
      </text>
    </comment>
    <comment ref="D72" authorId="0">
      <text>
        <t>d131284dex991.htm | Consolidated Statements of Cash Flows, nine months ended Feb 28, 2026 | 0</t>
      </text>
    </comment>
    <comment ref="E72" authorId="0">
      <text>
        <t>rpm-20260531.htm R129/R130 + rpm-4q26-form-10-k.pdf | Consolidated Statements of Cash Flows, year ended May 31, 2026 | 9,721</t>
      </text>
    </comment>
    <comment ref="B73" authorId="0">
      <text>
        <t>d911529dex991.htm | Consolidated Statements of Cash Flows, three months ended Aug 31, 2025 | 0</t>
      </text>
    </comment>
    <comment ref="C73" authorId="0">
      <text>
        <t>d807675dex991.htm | Consolidated Statements of Cash Flows, six months ended Nov 30, 2025 | 0</t>
      </text>
    </comment>
    <comment ref="D73" authorId="0">
      <text>
        <t>d131284dex991.htm | Consolidated Statements of Cash Flows, nine months ended Feb 28, 2026 | 0</t>
      </text>
    </comment>
    <comment ref="E73" authorId="0">
      <text>
        <t>rpm-20260531.htm R129/R130 + rpm-4q26-form-10-k.pdf | Consolidated Statements of Cash Flows, year ended May 31, 2026 | 0</t>
      </text>
    </comment>
    <comment ref="B74" authorId="0">
      <text>
        <t>d911529dex991.htm | Consolidated Statements of Cash Flows, three months ended Aug 31, 2025 | 1,304</t>
      </text>
    </comment>
    <comment ref="C74" authorId="0">
      <text>
        <t>d807675dex991.htm | Consolidated Statements of Cash Flows, six months ended Nov 30, 2025 | (2,429)</t>
      </text>
    </comment>
    <comment ref="D74" authorId="0">
      <text>
        <t>d131284dex991.htm | Consolidated Statements of Cash Flows, nine months ended Feb 28, 2026 | 22,656</t>
      </text>
    </comment>
    <comment ref="E74" authorId="0">
      <text>
        <t>rpm-20260531.htm R129/R130 + rpm-4q26-form-10-k.pdf | Consolidated Statements of Cash Flows, year ended May 31, 2026 | 32,832</t>
      </text>
    </comment>
    <comment ref="B75" authorId="0">
      <text>
        <t>d911529dex991.htm | Consolidated Statements of Cash Flows, three months ended Aug 31, 2025 | 5,475</t>
      </text>
    </comment>
    <comment ref="C75" authorId="0">
      <text>
        <t>d807675dex991.htm | Consolidated Statements of Cash Flows, six months ended Nov 30, 2025 | 14,574</t>
      </text>
    </comment>
    <comment ref="D75" authorId="0">
      <text>
        <t>d131284dex991.htm | Consolidated Statements of Cash Flows, nine months ended Feb 28, 2026 | 24,459</t>
      </text>
    </comment>
    <comment ref="E75" authorId="0">
      <text>
        <t>rpm-20260531.htm R129/R130 + rpm-4q26-form-10-k.pdf | Consolidated Statements of Cash Flows, year ended May 31, 2026 | 32,848</t>
      </text>
    </comment>
    <comment ref="B76" authorId="0">
      <text>
        <t>d911529dex991.htm | Consolidated Statements of Cash Flows, three months ended Aug 31, 2025 | (8,673)</t>
      </text>
    </comment>
    <comment ref="C76" authorId="0">
      <text>
        <t>d807675dex991.htm | Consolidated Statements of Cash Flows, six months ended Nov 30, 2025 | (14,222)</t>
      </text>
    </comment>
    <comment ref="D76" authorId="0">
      <text>
        <t>d131284dex991.htm | Consolidated Statements of Cash Flows, nine months ended Feb 28, 2026 | (17,816)</t>
      </text>
    </comment>
    <comment ref="E76" authorId="0">
      <text>
        <t>rpm-20260531.htm R129/R130 + rpm-4q26-form-10-k.pdf | Consolidated Statements of Cash Flows, year ended May 31, 2026 | (25,422)</t>
      </text>
    </comment>
    <comment ref="B77" authorId="0">
      <text>
        <t>d911529dex991.htm | Consolidated Statements of Cash Flows, three months ended Aug 31, 2025 | 0</t>
      </text>
    </comment>
    <comment ref="C77" authorId="0">
      <text>
        <t>d807675dex991.htm | Consolidated Statements of Cash Flows, six months ended Nov 30, 2025 | (4,730)</t>
      </text>
    </comment>
    <comment ref="D77" authorId="0">
      <text>
        <t>d131284dex991.htm | Consolidated Statements of Cash Flows, nine months ended Feb 28, 2026 | (4,675)</t>
      </text>
    </comment>
    <comment ref="E77" authorId="0">
      <text>
        <t>rpm-20260531.htm R129/R130 + rpm-4q26-form-10-k.pdf | Consolidated Statements of Cash Flows, year ended May 31, 2026 | (6,093)</t>
      </text>
    </comment>
    <comment ref="B78" authorId="0">
      <text>
        <t>d911529dex991.htm | Consolidated Statements of Cash Flows, three months ended Aug 31, 2025 | (324)</t>
      </text>
    </comment>
    <comment ref="C78" authorId="0">
      <text>
        <t>d807675dex991.htm | Consolidated Statements of Cash Flows, six months ended Nov 30, 2025 | (290)</t>
      </text>
    </comment>
    <comment ref="D78" authorId="0">
      <text>
        <t>d131284dex991.htm | Consolidated Statements of Cash Flows, nine months ended Feb 28, 2026 | (466)</t>
      </text>
    </comment>
    <comment ref="E78" authorId="0">
      <text>
        <t>rpm-20260531.htm R129/R130 + rpm-4q26-form-10-k.pdf | Consolidated Statements of Cash Flows, year ended May 31, 2026 | (488)</t>
      </text>
    </comment>
    <comment ref="B79" authorId="0">
      <text>
        <t>d911529dex991.htm | Consolidated Statements of Cash Flows, three months ended Aug 31, 2025 | 49,331</t>
      </text>
    </comment>
    <comment ref="C79" authorId="0">
      <text>
        <t>d807675dex991.htm | Consolidated Statements of Cash Flows, six months ended Nov 30, 2025 | 190,741</t>
      </text>
    </comment>
    <comment ref="D79" authorId="0">
      <text>
        <t>d131284dex991.htm | Consolidated Statements of Cash Flows, nine months ended Feb 28, 2026 | 306,900</t>
      </text>
    </comment>
    <comment ref="E79" authorId="0">
      <text>
        <t>rpm-20260531.htm R129/R130 + rpm-4q26-form-10-k.pdf | Consolidated Statements of Cash Flows, year ended May 31, 2026 | (119,345)</t>
      </text>
    </comment>
    <comment ref="B80" authorId="0">
      <text>
        <t>d911529dex991.htm | Consolidated Statements of Cash Flows, three months ended Aug 31, 2025 | (16,005)</t>
      </text>
    </comment>
    <comment ref="C80" authorId="0">
      <text>
        <t>d807675dex991.htm | Consolidated Statements of Cash Flows, six months ended Nov 30, 2025 | (26,414)</t>
      </text>
    </comment>
    <comment ref="D80" authorId="0">
      <text>
        <t>d131284dex991.htm | Consolidated Statements of Cash Flows, nine months ended Feb 28, 2026 | (53,983)</t>
      </text>
    </comment>
    <comment ref="E80" authorId="0">
      <text>
        <t>rpm-20260531.htm R129/R130 + rpm-4q26-form-10-k.pdf | Consolidated Statements of Cash Flows, year ended May 31, 2026 | 18,523</t>
      </text>
    </comment>
    <comment ref="B81" authorId="0">
      <text>
        <t>d911529dex991.htm | Consolidated Statements of Cash Flows, three months ended Aug 31, 2025 | (18,051)</t>
      </text>
    </comment>
    <comment ref="C81" authorId="0">
      <text>
        <t>d807675dex991.htm | Consolidated Statements of Cash Flows, six months ended Nov 30, 2025 | 14,894</t>
      </text>
    </comment>
    <comment ref="D81" authorId="0">
      <text>
        <t>d131284dex991.htm | Consolidated Statements of Cash Flows, nine months ended Feb 28, 2026 | (1,460)</t>
      </text>
    </comment>
    <comment ref="E81" authorId="0">
      <text>
        <t>rpm-20260531.htm R129/R130 + rpm-4q26-form-10-k.pdf | Consolidated Statements of Cash Flows, year ended May 31, 2026 | (85,596)</t>
      </text>
    </comment>
    <comment ref="B82" authorId="0">
      <text>
        <t>d911529dex991.htm | Consolidated Statements of Cash Flows, three months ended Aug 31, 2025 | 7,810</t>
      </text>
    </comment>
    <comment ref="C82" authorId="0">
      <text>
        <t>d807675dex991.htm | Consolidated Statements of Cash Flows, six months ended Nov 30, 2025 | (13,555)</t>
      </text>
    </comment>
    <comment ref="D82" authorId="0">
      <text>
        <t>d131284dex991.htm | Consolidated Statements of Cash Flows, nine months ended Feb 28, 2026 | (85,142)</t>
      </text>
    </comment>
    <comment ref="E82" authorId="0">
      <text>
        <t>rpm-20260531.htm R129/R130 + rpm-4q26-form-10-k.pdf | Consolidated Statements of Cash Flows, year ended May 31, 2026 | 67,658</t>
      </text>
    </comment>
    <comment ref="B83" authorId="0">
      <text>
        <t>d911529dex991.htm | Consolidated Statements of Cash Flows, three months ended Aug 31, 2025 | (99,296)</t>
      </text>
    </comment>
    <comment ref="C83" authorId="0">
      <text>
        <t>d807675dex991.htm | Consolidated Statements of Cash Flows, six months ended Nov 30, 2025 | (58,267)</t>
      </text>
    </comment>
    <comment ref="D83" authorId="0">
      <text>
        <t>d131284dex991.htm | Consolidated Statements of Cash Flows, nine months ended Feb 28, 2026 | (60,180)</t>
      </text>
    </comment>
    <comment ref="E83" authorId="0">
      <text>
        <t>rpm-20260531.htm R129/R130 + rpm-4q26-form-10-k.pdf | Consolidated Statements of Cash Flows, year ended May 31, 2026 | 14,849</t>
      </text>
    </comment>
    <comment ref="B84" authorId="0">
      <text>
        <t>d911529dex991.htm | Consolidated Statements of Cash Flows, three months ended Aug 31, 2025 | (6,098)</t>
      </text>
    </comment>
    <comment ref="C84" authorId="0">
      <text>
        <t>d807675dex991.htm | Consolidated Statements of Cash Flows, six months ended Nov 30, 2025 | (4,248)</t>
      </text>
    </comment>
    <comment ref="D84" authorId="0">
      <text>
        <t>d131284dex991.htm | Consolidated Statements of Cash Flows, nine months ended Feb 28, 2026 | (4,327)</t>
      </text>
    </comment>
    <comment ref="E84" authorId="0">
      <text>
        <t>rpm-20260531.htm R129/R130 + rpm-4q26-form-10-k.pdf | Consolidated Statements of Cash Flows, year ended May 31, 2026 | 12,915</t>
      </text>
    </comment>
    <comment ref="B85" authorId="0">
      <text>
        <t>d911529dex991.htm | Consolidated Statements of Cash Flows, three months ended Aug 31, 2025 | 42,733</t>
      </text>
    </comment>
    <comment ref="C85" authorId="0">
      <text>
        <t>d807675dex991.htm | Consolidated Statements of Cash Flows, six months ended Nov 30, 2025 | 7,041</t>
      </text>
    </comment>
    <comment ref="D85" authorId="0">
      <text>
        <t>d131284dex991.htm | Consolidated Statements of Cash Flows, nine months ended Feb 28, 2026 | (53,313)</t>
      </text>
    </comment>
    <comment ref="E85" authorId="0">
      <text>
        <t>rpm-20260531.htm R129/R130 + rpm-4q26-form-10-k.pdf | Consolidated Statements of Cash Flows, year ended May 31, 2026 | 84,751</t>
      </text>
    </comment>
    <comment ref="B86" authorId="0">
      <text>
        <t>d911529dex991.htm | Consolidated Statements of Cash Flows, three months ended Aug 31, 2025 | 237,510</t>
      </text>
    </comment>
    <comment ref="C86" authorId="0">
      <text>
        <t>d807675dex991.htm | Consolidated Statements of Cash Flows, six months ended Nov 30, 2025 | 583,209</t>
      </text>
    </comment>
    <comment ref="D86" authorId="0">
      <text>
        <t>d131284dex991.htm | Consolidated Statements of Cash Flows, nine months ended Feb 28, 2026 | 656,672</t>
      </text>
    </comment>
    <comment ref="E86" authorId="0">
      <text>
        <t>rpm-20260531.htm R129/R130 + rpm-4q26-form-10-k.pdf | Consolidated Statements of Cash Flows, year ended May 31, 2026 | 898,708</t>
      </text>
    </comment>
    <comment ref="B87" authorId="0">
      <text>
        <t>d911529dex991.htm | Consolidated Statements of Cash Flows, three months ended Aug 31, 2025 | (62,461)</t>
      </text>
    </comment>
    <comment ref="C87" authorId="0">
      <text>
        <t>d807675dex991.htm | Consolidated Statements of Cash Flows, six months ended Nov 30, 2025 | (111,797)</t>
      </text>
    </comment>
    <comment ref="D87" authorId="0">
      <text>
        <t>d131284dex991.htm | Consolidated Statements of Cash Flows, nine months ended Feb 28, 2026 | (159,639)</t>
      </text>
    </comment>
    <comment ref="E87" authorId="0">
      <text>
        <t>rpm-20260531.htm R129/R130 + rpm-4q26-form-10-k.pdf | Consolidated Statements of Cash Flows, year ended May 31, 2026 | (223,507)</t>
      </text>
    </comment>
    <comment ref="B88" authorId="0">
      <text>
        <t>d911529dex991.htm | Consolidated Statements of Cash Flows, three months ended Aug 31, 2025 | (115,695)</t>
      </text>
    </comment>
    <comment ref="C88" authorId="0">
      <text>
        <t>d807675dex991.htm | Consolidated Statements of Cash Flows, six months ended Nov 30, 2025 | (161,633)</t>
      </text>
    </comment>
    <comment ref="D88" authorId="0">
      <text>
        <t>d131284dex991.htm | Consolidated Statements of Cash Flows, nine months ended Feb 28, 2026 | (161,553)</t>
      </text>
    </comment>
    <comment ref="E88" authorId="0">
      <text>
        <t>rpm-20260531.htm R129/R130 + rpm-4q26-form-10-k.pdf | Consolidated Statements of Cash Flows, year ended May 31, 2026 | (202,403)</t>
      </text>
    </comment>
    <comment ref="B89" authorId="0">
      <text>
        <t>d911529dex991.htm | Consolidated Statements of Cash Flows, three months ended Aug 31, 2025 | (6,283)</t>
      </text>
    </comment>
    <comment ref="C89" authorId="0">
      <text>
        <t>d807675dex991.htm | Consolidated Statements of Cash Flows, six months ended Nov 30, 2025 | (20,473)</t>
      </text>
    </comment>
    <comment ref="D89" authorId="0">
      <text>
        <t>d131284dex991.htm | Consolidated Statements of Cash Flows, nine months ended Feb 28, 2026 | (27,570)</t>
      </text>
    </comment>
    <comment ref="E89" authorId="0">
      <text>
        <t>rpm-20260531.htm R129/R130 + rpm-4q26-form-10-k.pdf | Consolidated Statements of Cash Flows, year ended May 31, 2026 | (34,272)</t>
      </text>
    </comment>
    <comment ref="B90" authorId="0">
      <text>
        <t>d911529dex991.htm | Consolidated Statements of Cash Flows, three months ended Aug 31, 2025 | 1,525</t>
      </text>
    </comment>
    <comment ref="C90" authorId="0">
      <text>
        <t>d807675dex991.htm | Consolidated Statements of Cash Flows, six months ended Nov 30, 2025 | 12,958</t>
      </text>
    </comment>
    <comment ref="D90" authorId="0">
      <text>
        <t>d131284dex991.htm | Consolidated Statements of Cash Flows, nine months ended Feb 28, 2026 | 16,918</t>
      </text>
    </comment>
    <comment ref="E90" authorId="0">
      <text>
        <t>rpm-20260531.htm R129/R130 + rpm-4q26-form-10-k.pdf | Consolidated Statements of Cash Flows, year ended May 31, 2026 | 19,781</t>
      </text>
    </comment>
    <comment ref="B91" authorId="0">
      <text>
        <t>d911529dex991.htm | Consolidated Statements of Cash Flows, three months ended Aug 31, 2025 | 0</t>
      </text>
    </comment>
    <comment ref="C91" authorId="0">
      <text>
        <t>d807675dex991.htm | Consolidated Statements of Cash Flows, six months ended Nov 30, 2025 | 3,866</t>
      </text>
    </comment>
    <comment ref="D91" authorId="0">
      <text>
        <t>d131284dex991.htm | Consolidated Statements of Cash Flows, nine months ended Feb 28, 2026 | 18,199</t>
      </text>
    </comment>
    <comment ref="E91" authorId="0">
      <text>
        <t>rpm-20260531.htm R129/R130 + rpm-4q26-form-10-k.pdf | Consolidated Statements of Cash Flows, year ended May 31, 2026 | 23,237</t>
      </text>
    </comment>
    <comment ref="B92" authorId="0">
      <text>
        <t>d911529dex991.htm | Consolidated Statements of Cash Flows, three months ended Aug 31, 2025 | 523</t>
      </text>
    </comment>
    <comment ref="C92" authorId="0">
      <text>
        <t>d807675dex991.htm | Consolidated Statements of Cash Flows, six months ended Nov 30, 2025 | 0</t>
      </text>
    </comment>
    <comment ref="D92" authorId="0">
      <text>
        <t>d131284dex991.htm | Consolidated Statements of Cash Flows, nine months ended Feb 28, 2026 | (10)</t>
      </text>
    </comment>
    <comment ref="E92" authorId="0">
      <text>
        <t>rpm-20260531.htm R129/R130 + rpm-4q26-form-10-k.pdf | Consolidated Statements of Cash Flows, year ended May 31, 2026 | (10)</t>
      </text>
    </comment>
    <comment ref="B93" authorId="0">
      <text>
        <t>d911529dex991.htm | Consolidated Statements of Cash Flows, three months ended Aug 31, 2025 | (182,391)</t>
      </text>
    </comment>
    <comment ref="C93" authorId="0">
      <text>
        <t>d807675dex991.htm | Consolidated Statements of Cash Flows, six months ended Nov 30, 2025 | (277,079)</t>
      </text>
    </comment>
    <comment ref="D93" authorId="0">
      <text>
        <t>d131284dex991.htm | Consolidated Statements of Cash Flows, nine months ended Feb 28, 2026 | (313,655)</t>
      </text>
    </comment>
    <comment ref="E93" authorId="0">
      <text>
        <t>rpm-20260531.htm R129/R130 + rpm-4q26-form-10-k.pdf | Consolidated Statements of Cash Flows, year ended May 31, 2026 | (417,174)</t>
      </text>
    </comment>
    <comment ref="B94" authorId="0">
      <text>
        <t>d911529dex991.htm | Consolidated Statements of Cash Flows, three months ended Aug 31, 2025 | 35,000</t>
      </text>
    </comment>
    <comment ref="C94" authorId="0">
      <text>
        <t>d807675dex991.htm | Consolidated Statements of Cash Flows, six months ended Nov 30, 2025 | 110,000</t>
      </text>
    </comment>
    <comment ref="D94" authorId="0">
      <text>
        <t>d131284dex991.htm | Consolidated Statements of Cash Flows, nine months ended Feb 28, 2026 | 49,000</t>
      </text>
    </comment>
    <comment ref="E94" authorId="0">
      <text>
        <t>rpm-20260531.htm R129/R130 + rpm-4q26-form-10-k.pdf | Consolidated Statements of Cash Flows, year ended May 31, 2026 | 84,000</t>
      </text>
    </comment>
    <comment ref="B95" authorId="0">
      <text>
        <t>d911529dex991.htm | Consolidated Statements of Cash Flows, three months ended Aug 31, 2025 | (14,972)</t>
      </text>
    </comment>
    <comment ref="C95" authorId="0">
      <text>
        <t>d807675dex991.htm | Consolidated Statements of Cash Flows, six months ended Nov 30, 2025 | (236,509)</t>
      </text>
    </comment>
    <comment ref="D95" authorId="0">
      <text>
        <t>d131284dex991.htm | Consolidated Statements of Cash Flows, nine months ended Feb 28, 2026 | (153,489)</t>
      </text>
    </comment>
    <comment ref="E95" authorId="0">
      <text>
        <t>rpm-20260531.htm R129/R130 + rpm-4q26-form-10-k.pdf | Consolidated Statements of Cash Flows, year ended May 31, 2026 | (208,862)</t>
      </text>
    </comment>
    <comment ref="B96" authorId="0">
      <text>
        <t>d911529dex991.htm | Consolidated Statements of Cash Flows, three months ended Aug 31, 2025 | (64,521)</t>
      </text>
    </comment>
    <comment ref="C96" authorId="0">
      <text>
        <t>d807675dex991.htm | Consolidated Statements of Cash Flows, six months ended Nov 30, 2025 | (133,719)</t>
      </text>
    </comment>
    <comment ref="D96" authorId="0">
      <text>
        <t>d131284dex991.htm | Consolidated Statements of Cash Flows, nine months ended Feb 28, 2026 | (202,789)</t>
      </text>
    </comment>
    <comment ref="E96" authorId="0">
      <text>
        <t>rpm-20260531.htm R129/R130 + rpm-4q26-form-10-k.pdf | Consolidated Statements of Cash Flows, year ended May 31, 2026 | (271,705)</t>
      </text>
    </comment>
    <comment ref="B97" authorId="0">
      <text>
        <t>d911529dex991.htm | Consolidated Statements of Cash Flows, three months ended Aug 31, 2025 | (17,500)</t>
      </text>
    </comment>
    <comment ref="C97" authorId="0">
      <text>
        <t>d807675dex991.htm | Consolidated Statements of Cash Flows, six months ended Nov 30, 2025 | (35,000)</t>
      </text>
    </comment>
    <comment ref="D97" authorId="0">
      <text>
        <t>d131284dex991.htm | Consolidated Statements of Cash Flows, nine months ended Feb 28, 2026 | (52,500)</t>
      </text>
    </comment>
    <comment ref="E97" authorId="0">
      <text>
        <t>rpm-20260531.htm R129/R130 + rpm-4q26-form-10-k.pdf | Consolidated Statements of Cash Flows, year ended May 31, 2026 | (77,497)</t>
      </text>
    </comment>
    <comment ref="B98" authorId="0">
      <text>
        <t>d911529dex991.htm | Consolidated Statements of Cash Flows, three months ended Aug 31, 2025 | (1,921)</t>
      </text>
    </comment>
    <comment ref="C98" authorId="0">
      <text>
        <t>d807675dex991.htm | Consolidated Statements of Cash Flows, six months ended Nov 30, 2025 | (2,167)</t>
      </text>
    </comment>
    <comment ref="D98" authorId="0">
      <text>
        <t>d131284dex991.htm | Consolidated Statements of Cash Flows, nine months ended Feb 28, 2026 | (3,336)</t>
      </text>
    </comment>
    <comment ref="E98" authorId="0">
      <text>
        <t>rpm-20260531.htm R129/R130 + rpm-4q26-form-10-k.pdf | Consolidated Statements of Cash Flows, year ended May 31, 2026 | (5,034)</t>
      </text>
    </comment>
    <comment ref="B99" authorId="0">
      <text>
        <t>d911529dex991.htm | Consolidated Statements of Cash Flows, three months ended Aug 31, 2025 | 0</t>
      </text>
    </comment>
    <comment ref="C99" authorId="0">
      <text>
        <t>d807675dex991.htm | Consolidated Statements of Cash Flows, six months ended Nov 30, 2025 | 0</t>
      </text>
    </comment>
    <comment ref="D99" authorId="0">
      <text>
        <t>d131284dex991.htm | Consolidated Statements of Cash Flows, nine months ended Feb 28, 2026 | 0</t>
      </text>
    </comment>
    <comment ref="E99" authorId="0">
      <text>
        <t>rpm-20260531.htm R129/R130 + rpm-4q26-form-10-k.pdf | Consolidated Statements of Cash Flows, year ended May 31, 2026 | 0</t>
      </text>
    </comment>
    <comment ref="B100" authorId="0">
      <text>
        <t>d911529dex991.htm | Consolidated Statements of Cash Flows, three months ended Aug 31, 2025 | (221)</t>
      </text>
    </comment>
    <comment ref="C100" authorId="0">
      <text>
        <t>d807675dex991.htm | Consolidated Statements of Cash Flows, six months ended Nov 30, 2025 | (438)</t>
      </text>
    </comment>
    <comment ref="D100" authorId="0">
      <text>
        <t>d131284dex991.htm | Consolidated Statements of Cash Flows, nine months ended Feb 28, 2026 | (2,891)</t>
      </text>
    </comment>
    <comment ref="E100" authorId="0">
      <text>
        <t>rpm-20260531.htm R129/R130 + rpm-4q26-form-10-k.pdf | Consolidated Statements of Cash Flows, year ended May 31, 2026 | (3,133)</t>
      </text>
    </comment>
    <comment ref="B101" authorId="0">
      <text>
        <t>d911529dex991.htm | Consolidated Statements of Cash Flows, three months ended Aug 31, 2025 | (64,135)</t>
      </text>
    </comment>
    <comment ref="C101" authorId="0">
      <text>
        <t>d807675dex991.htm | Consolidated Statements of Cash Flows, six months ended Nov 30, 2025 | (297,833)</t>
      </text>
    </comment>
    <comment ref="D101" authorId="0">
      <text>
        <t>d131284dex991.htm | Consolidated Statements of Cash Flows, nine months ended Feb 28, 2026 | (366,005)</t>
      </text>
    </comment>
    <comment ref="E101" authorId="0">
      <text>
        <t>rpm-20260531.htm R129/R130 + rpm-4q26-form-10-k.pdf | Consolidated Statements of Cash Flows, year ended May 31, 2026 | (482,231)</t>
      </text>
    </comment>
    <comment ref="B102" authorId="0">
      <text>
        <t>d911529dex991.htm | Consolidated Statements of Cash Flows, three months ended Aug 31, 2025 | 3,954</t>
      </text>
    </comment>
    <comment ref="C102" authorId="0">
      <text>
        <t>d807675dex991.htm | Consolidated Statements of Cash Flows, six months ended Nov 30, 2025 | 6,158</t>
      </text>
    </comment>
    <comment ref="D102" authorId="0">
      <text>
        <t>d131284dex991.htm | Consolidated Statements of Cash Flows, nine months ended Feb 28, 2026 | 15,057</t>
      </text>
    </comment>
    <comment ref="E102" authorId="0">
      <text>
        <t>rpm-20260531.htm R129/R130 + rpm-4q26-form-10-k.pdf | Consolidated Statements of Cash Flows, year ended May 31, 2026 | 13,748</t>
      </text>
    </comment>
    <comment ref="B103" authorId="0">
      <text>
        <t>d911529dex991.htm | Consolidated Statements of Cash Flows, three months ended Aug 31, 2025 | (5,062)</t>
      </text>
    </comment>
    <comment ref="C103" authorId="0">
      <text>
        <t>d807675dex991.htm | Consolidated Statements of Cash Flows, six months ended Nov 30, 2025 | 14,455</t>
      </text>
    </comment>
    <comment ref="D103" authorId="0">
      <text>
        <t>d131284dex991.htm | Consolidated Statements of Cash Flows, nine months ended Feb 28, 2026 | (7,931)</t>
      </text>
    </comment>
    <comment ref="E103" authorId="0">
      <text>
        <t>rpm-20260531.htm R129/R130 + rpm-4q26-form-10-k.pdf | Consolidated Statements of Cash Flows, year ended May 31, 2026 | 13,051</t>
      </text>
    </comment>
    <comment ref="B104" authorId="0">
      <text>
        <t>d911529dex991.htm | Consolidated Statements of Cash Flows, three months ended Aug 31, 2025 | 302,137</t>
      </text>
    </comment>
    <comment ref="C104" authorId="0">
      <text>
        <t>d807675dex991.htm | Consolidated Statements of Cash Flows, six months ended Nov 30, 2025 | 302,137</t>
      </text>
    </comment>
    <comment ref="D104" authorId="0">
      <text>
        <t>d131284dex991.htm | Consolidated Statements of Cash Flows, nine months ended Feb 28, 2026 | 302,137</t>
      </text>
    </comment>
    <comment ref="E104" authorId="0">
      <text>
        <t>rpm-20260531.htm R129/R130 + rpm-4q26-form-10-k.pdf | Consolidated Statements of Cash Flows, year ended May 31, 2026 | 302,137</t>
      </text>
    </comment>
    <comment ref="B108" authorId="0">
      <text>
        <t>d911529dex991.htm | Cash flows prior-year column, three months ended Aug 31, 2024 | 46,185</t>
      </text>
    </comment>
    <comment ref="C108" authorId="0">
      <text>
        <t>d807675dex991.htm | Cash flows prior-year column, six months ended Nov 30, 2024 | 92,743</t>
      </text>
    </comment>
    <comment ref="D108" authorId="0">
      <text>
        <t>d131284dex991.htm | Cash flows prior-year column, nine months ended Feb 28, 2025 | 140,092</t>
      </text>
    </comment>
    <comment ref="E108" authorId="0">
      <text>
        <t>rpm-20260531.htm R129/R130 + rpm-4q26-form-10-k.pdf | Cash flows, fiscal 2025 (prior-year column) | 193,840</t>
      </text>
    </comment>
    <comment ref="B109" authorId="0">
      <text>
        <t>d911529dex991.htm | Cash flows prior-year column, three months ended Aug 31, 2024 | 6,226</t>
      </text>
    </comment>
    <comment ref="C109" authorId="0">
      <text>
        <t>d807675dex991.htm | Cash flows prior-year column, six months ended Nov 30, 2024 | 13,549</t>
      </text>
    </comment>
    <comment ref="D109" authorId="0">
      <text>
        <t>d131284dex991.htm | Cash flows prior-year column, nine months ended Feb 28, 2025 | 21,494</t>
      </text>
    </comment>
    <comment ref="E109" authorId="0">
      <text>
        <t>rpm-20260531.htm R129/R130 + rpm-4q26-form-10-k.pdf | Cash flows, fiscal 2025 (prior-year column) | 27,042</t>
      </text>
    </comment>
    <comment ref="B110" authorId="0">
      <text>
        <t>d911529dex991.htm | Cash flows prior-year column, three months ended Aug 31, 2024 | (50,742)</t>
      </text>
    </comment>
    <comment ref="C110" authorId="0">
      <text>
        <t>d807675dex991.htm | Cash flows prior-year column, six months ended Nov 30, 2024 | (100,732)</t>
      </text>
    </comment>
    <comment ref="D110" authorId="0">
      <text>
        <t>d131284dex991.htm | Cash flows prior-year column, nine months ended Feb 28, 2025 | (158,924)</t>
      </text>
    </comment>
    <comment ref="E110" authorId="0">
      <text>
        <t>rpm-20260531.htm R129/R130 + rpm-4q26-form-10-k.pdf | Cash flows, fiscal 2025 (prior-year column) | (229,930)</t>
      </text>
    </comment>
    <comment ref="B111" authorId="0">
      <text>
        <t>d911529dex991.htm | Cash flows prior-year column, three months ended Aug 31, 2024 | (58,892)</t>
      </text>
    </comment>
    <comment ref="C111" authorId="0">
      <text>
        <t>d807675dex991.htm | Cash flows prior-year column, six months ended Nov 30, 2024 | (124,514)</t>
      </text>
    </comment>
    <comment ref="D111" authorId="0">
      <text>
        <t>d131284dex991.htm | Cash flows prior-year column, nine months ended Feb 28, 2025 | (190,064)</t>
      </text>
    </comment>
    <comment ref="E111" authorId="0">
      <text>
        <t>rpm-20260531.htm R129/R130 + rpm-4q26-form-10-k.pdf | Cash flows, fiscal 2025 (prior-year column) | (255,563)</t>
      </text>
    </comment>
    <comment ref="B112" authorId="0">
      <text>
        <t>d911529dex991.htm | Cash flows prior-year column, three months ended Aug 31, 2024 | (17,500)</t>
      </text>
    </comment>
    <comment ref="C112" authorId="0">
      <text>
        <t>d807675dex991.htm | Cash flows prior-year column, six months ended Nov 30, 2024 | (35,000)</t>
      </text>
    </comment>
    <comment ref="D112" authorId="0">
      <text>
        <t>d131284dex991.htm | Cash flows prior-year column, nine months ended Feb 28, 2025 | (52,499)</t>
      </text>
    </comment>
    <comment ref="E112" authorId="0">
      <text>
        <t>rpm-20260531.htm R129/R130 + rpm-4q26-form-10-k.pdf | Cash flows, fiscal 2025 (prior-year column) | (69,999)</t>
      </text>
    </comment>
    <comment ref="B113" authorId="0">
      <text>
        <t>d911529dex991.htm | Cash flows prior-year column, three months ended Aug 31, 2024 | (15,396)</t>
      </text>
    </comment>
    <comment ref="C113" authorId="0">
      <text>
        <t>d807675dex991.htm | Cash flows prior-year column, six months ended Nov 30, 2024 | (16,150)</t>
      </text>
    </comment>
    <comment ref="D113" authorId="0">
      <text>
        <t>d131284dex991.htm | Cash flows prior-year column, nine months ended Feb 28, 2025 | (17,140)</t>
      </text>
    </comment>
    <comment ref="E113" authorId="0">
      <text>
        <t>rpm-20260531.htm R129/R130 + rpm-4q26-form-10-k.pdf | Cash flows, fiscal 2025 (prior-year column) | (18,686)</t>
      </text>
    </comment>
    <comment ref="B114" authorId="0">
      <text>
        <t>d911529dex991.htm | Cash flows prior-year column, three months ended Aug 31, 2024 | 248,059</t>
      </text>
    </comment>
    <comment ref="C114" authorId="0">
      <text>
        <t>d807675dex991.htm | Cash flows prior-year column, six months ended Nov 30, 2024 | 527,508</t>
      </text>
    </comment>
    <comment ref="D114" authorId="0">
      <text>
        <t>d131284dex991.htm | Cash flows prior-year column, nine months ended Feb 28, 2025 | 619,012</t>
      </text>
    </comment>
    <comment ref="E114" authorId="0">
      <text>
        <t>rpm-20260531.htm R129/R130 + rpm-4q26-form-10-k.pdf | Cash flows, fiscal 2025 (prior-year column) | 768,190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E26" authorId="0">
      <text>
        <t>d141573dex991.htm | Increase to Share Repurchase Authorization | $700.0 million increase ... in addition to the $114.8 million</t>
      </text>
    </comment>
    <comment ref="B28" authorId="0">
      <text>
        <t>d911529dex991.htm | Prior-year column, three months ended Aug 31, 2024 | 127,691</t>
      </text>
    </comment>
    <comment ref="C28" authorId="0">
      <text>
        <t>d807675dex991.htm | Prior-year column, three months ended Nov 30, 2024 | 127,658</t>
      </text>
    </comment>
    <comment ref="D28" authorId="0">
      <text>
        <t>d131284dex991.htm | Prior-year column, three months ended Feb 28, 2025 | 127,536</t>
      </text>
    </comment>
    <comment ref="E28" authorId="0">
      <text>
        <t>d141573dex991.htm | Prior-year column, three months ended May 31, 2025 | 127,396</t>
      </text>
    </comment>
    <comment ref="F28" authorId="0">
      <text>
        <t>d141573dex991.htm | Prior-year column, year ended May 31, 2025 | 127,570</t>
      </text>
    </comment>
    <comment ref="B29" authorId="0">
      <text>
        <t>d911529dex991.htm | Prior-year column, three months ended Aug 31, 2024 | 128,420</t>
      </text>
    </comment>
    <comment ref="C29" authorId="0">
      <text>
        <t>d807675dex991.htm | Prior-year column, three months ended Nov 30, 2024 | 128,344</t>
      </text>
    </comment>
    <comment ref="D29" authorId="0">
      <text>
        <t>d131284dex991.htm | Prior-year column, three months ended Feb 28, 2025 | 128,154</t>
      </text>
    </comment>
    <comment ref="E29" authorId="0">
      <text>
        <t>d141573dex991.htm | Prior-year column, three months ended May 31, 2025 | 127,877</t>
      </text>
    </comment>
    <comment ref="F29" authorId="0">
      <text>
        <t>d141573dex991.htm | Prior-year column, year ended May 31, 2025 | 128,204</t>
      </text>
    </comment>
    <comment ref="B30" authorId="0">
      <text>
        <t>d911529dex991.htm | Balance sheet, August 31, 2024 (Common stock outstanding) | 128,702</t>
      </text>
    </comment>
    <comment ref="C30" authorId="0">
      <text>
        <t>d807675dex991.htm | Balance sheet, November 30, 2024 (Common stock outstanding) | 128,568</t>
      </text>
    </comment>
    <comment ref="D30" authorId="0">
      <text>
        <t>d131284dex991.htm | Balance sheet, February 28, 2025 (Common stock outstanding) | 128,423</t>
      </text>
    </comment>
    <comment ref="E30" authorId="0">
      <text>
        <t>d141573dex991.htm | Balance sheet, May 31, 2025 (Common stock outstanding) | 128,269</t>
      </text>
    </comment>
  </commentList>
</comments>
</file>

<file path=xl/sharedStrings.xml><?xml version="1.0" encoding="utf-8"?>
<sst xmlns="http://schemas.openxmlformats.org/spreadsheetml/2006/main" count="1934" uniqueCount="930">
  <si>
    <t>RPM International Inc. (NYSE: RPM)</t>
  </si>
  <si>
    <t>Company Model — built by Shortcut</t>
  </si>
  <si>
    <t>$ millions, except per share</t>
  </si>
  <si>
    <t>Period</t>
  </si>
  <si>
    <t>1Q27E</t>
  </si>
  <si>
    <t>Period end</t>
  </si>
  <si>
    <t>Days in period</t>
  </si>
  <si>
    <t>Company</t>
  </si>
  <si>
    <t>RPM International Inc.</t>
  </si>
  <si>
    <t>Ticker / exchange</t>
  </si>
  <si>
    <t>RPM / New York Stock Exchange</t>
  </si>
  <si>
    <t>Fiscal year end</t>
  </si>
  <si>
    <t>May 31</t>
  </si>
  <si>
    <t>Reporting currency</t>
  </si>
  <si>
    <t>USD</t>
  </si>
  <si>
    <t>EPS basis</t>
  </si>
  <si>
    <t>Normalized (company "adjusted") diluted EPS per common share, USD</t>
  </si>
  <si>
    <t>Information cutoff</t>
  </si>
  <si>
    <t>2026-10-04 22:22 UTC</t>
  </si>
  <si>
    <t>Expected report date</t>
  </si>
  <si>
    <t>2026-10-06 (before open; announced 2026-09-04)</t>
  </si>
  <si>
    <t>Forecast period</t>
  </si>
  <si>
    <t>1Q27E (three months ended 2026-08-31)</t>
  </si>
  <si>
    <t>Market cap at cutoff ($m)</t>
  </si>
  <si>
    <t>Index membership</t>
  </si>
  <si>
    <t>Headline: 1Q27E</t>
  </si>
  <si>
    <t>Shortcut estimate</t>
  </si>
  <si>
    <t>Consensus (CapIQ, 2026-10-04)</t>
  </si>
  <si>
    <t>Variance</t>
  </si>
  <si>
    <t>Variance %</t>
  </si>
  <si>
    <t>Guidance-implied (model)</t>
  </si>
  <si>
    <t>Est. vs guidance</t>
  </si>
  <si>
    <t>Revenue ($m)</t>
  </si>
  <si>
    <t>Adj. net income ($m)</t>
  </si>
  <si>
    <t>Normalized diluted EPS</t>
  </si>
  <si>
    <t>Net income - GAAP ($m)</t>
  </si>
  <si>
    <t>Not guided</t>
  </si>
  <si>
    <t>Diluted EPS - GAAP</t>
  </si>
  <si>
    <t>Adjusted EBITDA ($m)</t>
  </si>
  <si>
    <t>P(beat consensus EPS)</t>
  </si>
  <si>
    <t>Confidence</t>
  </si>
  <si>
    <t>Consensus EPS contributors (n)</t>
  </si>
  <si>
    <t>Consensus EPS high / low</t>
  </si>
  <si>
    <t>Overall model check</t>
  </si>
  <si>
    <t>Cover tie-outs (forecast identities; n.a.)</t>
  </si>
  <si>
    <t>n.a.</t>
  </si>
  <si>
    <t>Rationale: segment build gives revenue +4.6% Y/Y, inside the +MSD guide (small FX headwind),</t>
  </si>
  <si>
    <t>and adjusted EBIT +3.9%; lower interest and a stable tax rate lift normalized EPS ~2c above consensus.</t>
  </si>
  <si>
    <t>Revenue summary</t>
  </si>
  <si>
    <t>1Q26A</t>
  </si>
  <si>
    <t>2Q26A</t>
  </si>
  <si>
    <t>3Q26A</t>
  </si>
  <si>
    <t>4Q26A</t>
  </si>
  <si>
    <t>FY26A</t>
  </si>
  <si>
    <t>Notes / sources</t>
  </si>
  <si>
    <t>Net sales by reportable segment</t>
  </si>
  <si>
    <t>Construction Products Group (CPG)</t>
  </si>
  <si>
    <t>% Y/Y</t>
  </si>
  <si>
    <t>% Q/Q</t>
  </si>
  <si>
    <t>% of total revenue</t>
  </si>
  <si>
    <t>Mix change Q/Q (bp)</t>
  </si>
  <si>
    <t>Mix change Y/Y (bp)</t>
  </si>
  <si>
    <t>Performance Coatings Group (PCG)</t>
  </si>
  <si>
    <t>Consumer Group (Consumer)</t>
  </si>
  <si>
    <t>Sum of segments</t>
  </si>
  <si>
    <t>Total net sales (IS)</t>
  </si>
  <si>
    <t>Sequential change ($)</t>
  </si>
  <si>
    <t>Check: segments - total (=0)</t>
  </si>
  <si>
    <t>1Q27E total net sales is linked to the sum of segments, so the forecast check is an identity (n.a.).</t>
  </si>
  <si>
    <t>Consolidated growth decomposition</t>
  </si>
  <si>
    <t>Prior-year period net sales</t>
  </si>
  <si>
    <t>Organic growth %</t>
  </si>
  <si>
    <t>1Q27E = sum of segment organic $ / prior-year sales.</t>
  </si>
  <si>
    <t>Change Q/Q (bp)</t>
  </si>
  <si>
    <t>Change Y/Y (bp)</t>
  </si>
  <si>
    <t>M&amp;A / scope %</t>
  </si>
  <si>
    <t>Foreign currency translation %</t>
  </si>
  <si>
    <t>Total Y/Y %</t>
  </si>
  <si>
    <t>Organic % (derived)</t>
  </si>
  <si>
    <t>Organic (derived) = (1+Y/Y)/((1+M&amp;A)*(1+FX))-1.</t>
  </si>
  <si>
    <t>Derived less reported organic (bp)</t>
  </si>
  <si>
    <t>Geography: RPM discloses six regions (US, Canada, Europe, Latin America, Asia Pacific, Other Foreign) - see Geo tab.</t>
  </si>
  <si>
    <t>Tab check: segments = total</t>
  </si>
  <si>
    <t>Segment - Construction Products Group (CPG)</t>
  </si>
  <si>
    <t>Net sales build (prior-year base, organic, M&amp;A, FX)</t>
  </si>
  <si>
    <t>Reported organic per release text; 1Q27E assumption (guide: segment sales +MSD).</t>
  </si>
  <si>
    <t>Prior-year growth components not carried in this model (unavailable) except 1Q27E vs 1Q26A.</t>
  </si>
  <si>
    <t>of which price %</t>
  </si>
  <si>
    <t>Segment price/volume split not disclosed (unavailable); 1Q27E price per call: price ~ dollar-for-dollar vs 5-6% raw inflation.</t>
  </si>
  <si>
    <t>Price change Y/Y, Q/Q (bp)</t>
  </si>
  <si>
    <t>of which volume/mix % (derived)</t>
  </si>
  <si>
    <t>Volume change Y/Y, Q/Q (bp)</t>
  </si>
  <si>
    <t>1Q27E: Kalzip (closed 3/31/26) for CPG; residual stub for prior deals; Volteco closed 10/1/26, after quarter-end.</t>
  </si>
  <si>
    <t>1Q27E: EUR/USD Jun-Aug 2026 avg ~1.151 vs ~1.162 prior year; CAD ~2% weaker (S19).</t>
  </si>
  <si>
    <t>Organic change ($)</t>
  </si>
  <si>
    <t>Acquisition change ($)</t>
  </si>
  <si>
    <t>FX translation change ($)</t>
  </si>
  <si>
    <t>Rounding residual</t>
  </si>
  <si>
    <t>CPG net sales</t>
  </si>
  <si>
    <t>% Y/Y (total)</t>
  </si>
  <si>
    <t>Organic (derived) = (1+Y/Y)/((1+M&amp;A)*(1+FX))-1; differs from reported organic only by rounding of disclosed components.</t>
  </si>
  <si>
    <t>Net sales by geography (shipping location)</t>
  </si>
  <si>
    <t>United States</t>
  </si>
  <si>
    <t>4Q26 derived = FY26 less 1Q-3Q; 1Q27E = segment sales x 1Q26A mix.</t>
  </si>
  <si>
    <t>% of segment sales</t>
  </si>
  <si>
    <t>Canada</t>
  </si>
  <si>
    <t>Europe</t>
  </si>
  <si>
    <t>Latin America</t>
  </si>
  <si>
    <t>Asia Pacific</t>
  </si>
  <si>
    <t>Other Foreign</t>
  </si>
  <si>
    <t>Mix change measured against PY segment sales (row 117); CPG Asia Pacific / Other Foreign are disclosed nil ('-') in the 10-Q/10-K tables, so zero PY shares are genuine zeros (FY26 Other Foreign $0.4m falls in 4Q26).</t>
  </si>
  <si>
    <t>Total foreign</t>
  </si>
  <si>
    <t>Total net sales by geography</t>
  </si>
  <si>
    <t>Check: geography - sales (=0)</t>
  </si>
  <si>
    <t>Segment profit (as reported) and adjusted EBIT</t>
  </si>
  <si>
    <t>Net sales</t>
  </si>
  <si>
    <t>Cost of sales</t>
  </si>
  <si>
    <t>n.f.</t>
  </si>
  <si>
    <t>4Q26 derived = FY26 less 1Q-3Q. Segment cost lines not forecast (n.f.); 1Q27E builds adjusted EBIT from margin.</t>
  </si>
  <si>
    <t>Gross profit</t>
  </si>
  <si>
    <t>Gross margin %</t>
  </si>
  <si>
    <t>Selling, general &amp; administrative</t>
  </si>
  <si>
    <t>SG&amp;A % of sales</t>
  </si>
  <si>
    <t>Other segment items</t>
  </si>
  <si>
    <t>Segment pre-tax income</t>
  </si>
  <si>
    <t>Pre-tax margin %</t>
  </si>
  <si>
    <t>Segment IBT as reported (release)</t>
  </si>
  <si>
    <t>Check: IBT vs reported (=0)</t>
  </si>
  <si>
    <t>Interest income (expense), net</t>
  </si>
  <si>
    <t>Segment EBIT</t>
  </si>
  <si>
    <t>MAP initiatives</t>
  </si>
  <si>
    <t>Inventory step-up costs</t>
  </si>
  <si>
    <t>(Gain) on asset/business sales</t>
  </si>
  <si>
    <t>CPG adjusted EBIT</t>
  </si>
  <si>
    <t>Adjusted EBIT margin %</t>
  </si>
  <si>
    <t>Change vs prior quarter (bp)</t>
  </si>
  <si>
    <t>Assumed margin chg Y/Y (bp)</t>
  </si>
  <si>
    <t>Kalzip mix, Tremco roofing PO/MDI supply issue vs SG&amp;A savings and admixture volume.</t>
  </si>
  <si>
    <t>Adj. EBIT as reported</t>
  </si>
  <si>
    <t>Check: adj. EBIT vs reported</t>
  </si>
  <si>
    <t>Segment adjusted EBITDA</t>
  </si>
  <si>
    <t>Segment D&amp;A not disclosed in sources checked (S3-S10); unavailable.</t>
  </si>
  <si>
    <t>Prior-year comparatives (memo; each column = same period one year earlier)</t>
  </si>
  <si>
    <t>PY Net sales</t>
  </si>
  <si>
    <t>1Q27E column = 1Q26A actual (prior-year quarter).</t>
  </si>
  <si>
    <t>PY United States</t>
  </si>
  <si>
    <t>PY Canada</t>
  </si>
  <si>
    <t>PY Europe</t>
  </si>
  <si>
    <t>PY Latin America</t>
  </si>
  <si>
    <t>2Q25 Latin America = 2Q25 CPG total foreign (259,365) less Canada and Europe; flattened 10-Q table.</t>
  </si>
  <si>
    <t>PY Asia Pacific</t>
  </si>
  <si>
    <t>PY Other Foreign</t>
  </si>
  <si>
    <t>PY Total foreign</t>
  </si>
  <si>
    <t>Check: PY geography (=0)</t>
  </si>
  <si>
    <t>PY Cost of sales</t>
  </si>
  <si>
    <t>PY Gross margin %</t>
  </si>
  <si>
    <t>PY SG&amp;A</t>
  </si>
  <si>
    <t>PY SG&amp;A % of sales</t>
  </si>
  <si>
    <t>PY Other segment items</t>
  </si>
  <si>
    <t>PY Segment IBT</t>
  </si>
  <si>
    <t>PY Pre-tax margin %</t>
  </si>
  <si>
    <t>PY Adjusted EBIT</t>
  </si>
  <si>
    <t>PY Adjusted EBIT margin %</t>
  </si>
  <si>
    <t>Tab check: all check rows = 0</t>
  </si>
  <si>
    <t>Segment - Performance Coatings Group (PCG)</t>
  </si>
  <si>
    <t>1Q27E: residual stub of FY26 acquisitions only.</t>
  </si>
  <si>
    <t>PCG net sales</t>
  </si>
  <si>
    <t>(Gain) on earn-out FV adjustment</t>
  </si>
  <si>
    <t>Environmental (closed facility)</t>
  </si>
  <si>
    <t>PCG adjusted EBIT</t>
  </si>
  <si>
    <t>Q4 +80bp on volume leverage/SG&amp;A savings; tougher comp (+6.7% organic PY).</t>
  </si>
  <si>
    <t>2Q25 Other Foreign = PCG total foreign (174,933) less other regions; flattened 10-Q table.</t>
  </si>
  <si>
    <t>Segment - Consumer Group (Consumer)</t>
  </si>
  <si>
    <t>Consumer net sales</t>
  </si>
  <si>
    <t>PP&amp;E impairment</t>
  </si>
  <si>
    <t>Consumer adjusted EBIT</t>
  </si>
  <si>
    <t>Retail price lag vs 5-6% raw and steel-packaging inflation; ~half of SG&amp;A savings in Consumer.</t>
  </si>
  <si>
    <t>3Q25 Asia Pacific = Consumer total foreign (94,178) less other regions; flattened 10-Q table.</t>
  </si>
  <si>
    <t>Income Statement</t>
  </si>
  <si>
    <t>Income statement (as reported)</t>
  </si>
  <si>
    <t>1Q27E SG&amp;A is the residual that reconciles the segment-built adjusted EBIT to GAAP EBIT.</t>
  </si>
  <si>
    <t>Restructuring expense</t>
  </si>
  <si>
    <t>Goodwill impairment</t>
  </si>
  <si>
    <t>Other (income), net</t>
  </si>
  <si>
    <t>EBIT (GAAP)</t>
  </si>
  <si>
    <t>EBIT margin %</t>
  </si>
  <si>
    <t>Interest expense</t>
  </si>
  <si>
    <t>Investment (income), net</t>
  </si>
  <si>
    <t>Income before income taxes</t>
  </si>
  <si>
    <t>IBT as reported</t>
  </si>
  <si>
    <t>1Q27E: no reported figures (n.f.); as-reported checks in rows 50, 68, 79, 123 and 138 apply to history only (forecast versions are identities).</t>
  </si>
  <si>
    <t>Provision for income taxes</t>
  </si>
  <si>
    <t>Effective tax rate %</t>
  </si>
  <si>
    <t>Net income incl. NCI</t>
  </si>
  <si>
    <t>Less: noncontrolling interests</t>
  </si>
  <si>
    <t>Net income to RPM holders</t>
  </si>
  <si>
    <t>Net margin %</t>
  </si>
  <si>
    <t>Net income as reported</t>
  </si>
  <si>
    <t>Check: NI vs reported (=0)</t>
  </si>
  <si>
    <t>Basic shares (m, weighted)</t>
  </si>
  <si>
    <t>Diluted shares (m, weighted)</t>
  </si>
  <si>
    <t>Basic EPS</t>
  </si>
  <si>
    <t>Sequential change ($/share)</t>
  </si>
  <si>
    <t>EPS check: NI x (1-alloc) / sh.</t>
  </si>
  <si>
    <t>RPM uses the two-class method (participating restricted stock). Disclosed allocation (row 163) was 0.39% / 0.43% / 0.53% of NI in 1Q-3Q26; the 1Q27E assumption G163 is 0.35% (unchanged).</t>
  </si>
  <si>
    <t>Two-class alloc. % (hist. implied; 1Q27E assumption)</t>
  </si>
  <si>
    <t>B:F implied from cent-rounded reported GAAP EPS (1 - EPS x diluted shares / NI); G76 = G163 1Q27E assumption, so G77/G78 compare an assumption with rounding-implied history.</t>
  </si>
  <si>
    <t>Prior-year allocation not computed (prior-year basic EPS detail not carried); 1Q27E vs 1Q26A shown.</t>
  </si>
  <si>
    <t>Check: EPS within $0.006</t>
  </si>
  <si>
    <t>Adjusted EBIT build (segments + corporate)</t>
  </si>
  <si>
    <t>Corporate/Other adjusted EBIT</t>
  </si>
  <si>
    <t>Adjusted EBIT</t>
  </si>
  <si>
    <t>D&amp;A (Cash Flow Statement)</t>
  </si>
  <si>
    <t>Adjusted EBITDA</t>
  </si>
  <si>
    <t>Company FY27 primary metric; 8-K recast not retrieved - computed as adjusted EBIT + total D&amp;A (accelerated depreciation in MAP may differ slightly).</t>
  </si>
  <si>
    <t>% Y/Y (guide: +MSD)</t>
  </si>
  <si>
    <t>Adjusted EBITDA margin %</t>
  </si>
  <si>
    <t>GAAP EBIT to adjusted EBIT (one row per adjustment)</t>
  </si>
  <si>
    <t>MAP 2025 restructuring, net</t>
  </si>
  <si>
    <t>2026 restructuring action, net</t>
  </si>
  <si>
    <t>ERP consolidation plan</t>
  </si>
  <si>
    <t>Professional fees (MAP)</t>
  </si>
  <si>
    <t>(Gain) on closed facilities</t>
  </si>
  <si>
    <t>(Gain) on earn-out FV adjustments</t>
  </si>
  <si>
    <t>Legal contingency (divested)</t>
  </si>
  <si>
    <t>Goodwill/intangible impairment</t>
  </si>
  <si>
    <t>Memo: MAP initiatives total</t>
  </si>
  <si>
    <t>Total adjustments</t>
  </si>
  <si>
    <t>Adjusted EBIT (bridge)</t>
  </si>
  <si>
    <t>Adjusted EBIT as reported</t>
  </si>
  <si>
    <t>Check: recon vs segments (=0)</t>
  </si>
  <si>
    <t>1Q27E SG&amp;A is the residual that forces GAAP EBIT = adjusted EBIT - adjustments (H21), so the forecast reconciliation is an identity, not a check (n.a.).</t>
  </si>
  <si>
    <t>Check: recon vs reported (=0)</t>
  </si>
  <si>
    <t>GAAP diluted EPS to adjusted (normalized) diluted EPS - consensus basis</t>
  </si>
  <si>
    <t>(Gain) earn-out FV and asset sales</t>
  </si>
  <si>
    <t>Impairments and legal contingency</t>
  </si>
  <si>
    <t>Investment returns</t>
  </si>
  <si>
    <t>Income tax adjustments</t>
  </si>
  <si>
    <t>Adjusted diluted EPS (bridge)</t>
  </si>
  <si>
    <t>Adj. EPS reported / model</t>
  </si>
  <si>
    <t>Check: bridge vs reported (=0)</t>
  </si>
  <si>
    <t>1Q27E: with SG&amp;A as the residual (H21) the GAAP-to-adjusted bridge equals the adjusted build by construction (G134 - G150 = G133), so it is an identity, not a check (n.a.).</t>
  </si>
  <si>
    <t>CapIQ normalized EPS (act./cons.)</t>
  </si>
  <si>
    <t>History = CapIQ normalized actual; 1Q27E column = CapIQ consensus at the 2026-10-04 cutoff.</t>
  </si>
  <si>
    <t>Adjusted (normalized) earnings build</t>
  </si>
  <si>
    <t>Less: interest expense</t>
  </si>
  <si>
    <t>Plus: core investment income</t>
  </si>
  <si>
    <t>Historical = implied from reported adjusted EPS (adjusted NI grossed up at GAAP ETR); 1Q27E assumption.</t>
  </si>
  <si>
    <t>Adjusted pre-tax income</t>
  </si>
  <si>
    <t>Less: tax on adj. pre-tax</t>
  </si>
  <si>
    <t>Adj. net income (normalized)</t>
  </si>
  <si>
    <t>Before two-class allocation in every column. History = reported adjusted EPS x diluted shares / (1 - that period's allocation, row 163); FY26A = sum of quarters (not derived from rounded FY EPS); 1Q27E from the build above.</t>
  </si>
  <si>
    <t>% Y/Y vs 1Q26A derived adj. NI (not reported)</t>
  </si>
  <si>
    <t>Adjusted diluted EPS (model)</t>
  </si>
  <si>
    <t>1Q27E applies the two-class allocation to adjusted net income, consistent with reported EPS. FY26A = sum of each quarter's adj. NI available to common (row 148 x (1 - that quarter's row 163)) / FY weighted diluted shares = 5.54; reported FY adj. EPS 5.53 is in F137 - the gap is share weighting and cent rounding (quarterly EPS are not additive).</t>
  </si>
  <si>
    <t>Memo: implied adj. pre-tax</t>
  </si>
  <si>
    <t>1Q27E forecast assumptions</t>
  </si>
  <si>
    <t>Price ~= raw inflation in $ (5-6% raws) dilutes GM%; PY 42.3%; CapIQ consensus 42.2%.</t>
  </si>
  <si>
    <t>Restructuring expense ($m)</t>
  </si>
  <si>
    <t>Part of MAP charges below; remaining MAP 2025 + 2026 actions per 10-K.</t>
  </si>
  <si>
    <t>Other (income), net ($m)</t>
  </si>
  <si>
    <t>Run-rate ~$(2.6)-(3.1)m per quarter in FY26.</t>
  </si>
  <si>
    <t>Corporate/Other adjusted EBIT ($m)</t>
  </si>
  <si>
    <t>FY26 avg $(41.7)m/qtr; healthcare inflation vs SG&amp;A savings.</t>
  </si>
  <si>
    <t>Interest expense ($m)</t>
  </si>
  <si>
    <t>Total debt $2.53bn at May-26; 4Q26 $27.3m.</t>
  </si>
  <si>
    <t>Core investment income ($m)</t>
  </si>
  <si>
    <t>Implied core run-rate $2.8-9.0m/qtr in FY26 (avg $6.6m; row 144, low in 2Q26).</t>
  </si>
  <si>
    <t>Investment returns, GAAP ($m)</t>
  </si>
  <si>
    <t>Unpredictable mark-to-market gains; excluded from adjusted EPS; set to zero.</t>
  </si>
  <si>
    <t>FY26 23.9%; 1Q26 23.6%; CapIQ consensus 23.67%.</t>
  </si>
  <si>
    <t>Noncontrolling interests ($m)</t>
  </si>
  <si>
    <t>4Q26 $0.34m.</t>
  </si>
  <si>
    <t>Two-class allocation % of NI</t>
  </si>
  <si>
    <t>G163 = 1Q27E assumption (unchanged, 0.35%). B:D = disclosed 10-Q EPS note (NI attributable less NI available to common - diluted) / NI: 0.39%, 0.43%, 0.53%. E163 retains the 0.35% basis - 10-K EPS note not in preserved captures (unresolved). F163 = derived FY effective allocation on adjusted NI (sum of quarterly allocated amounts; not an input).</t>
  </si>
  <si>
    <t>MAP 2025 restructuring ($m)</t>
  </si>
  <si>
    <t>10-K: ~$5.3m remaining MAP 2025 charges.</t>
  </si>
  <si>
    <t>2026 restructuring and other ($m)</t>
  </si>
  <si>
    <t>10-K: ~$7.2m remaining for 2026 action.</t>
  </si>
  <si>
    <t>ERP consolidation ($m)</t>
  </si>
  <si>
    <t>FY26 avg $3.4m/qtr.</t>
  </si>
  <si>
    <t>Professional fees ($m)</t>
  </si>
  <si>
    <t>FY26 avg $4.3m/qtr; MAP 3.0 planning ahead of Nov-9 investor day.</t>
  </si>
  <si>
    <t>Inventory step-up ($m)</t>
  </si>
  <si>
    <t>Kalzip step-up largely amortized in 4Q26; Volteco closes after quarter-end.</t>
  </si>
  <si>
    <t>Prior-year comparatives (memo; same period one year earlier)</t>
  </si>
  <si>
    <t>PY Gross profit</t>
  </si>
  <si>
    <t>PY EBIT</t>
  </si>
  <si>
    <t>PY Income before taxes</t>
  </si>
  <si>
    <t>PY Income taxes</t>
  </si>
  <si>
    <t>PY Restructuring expense</t>
  </si>
  <si>
    <t>PY Other (income), net</t>
  </si>
  <si>
    <t>PY Interest expense</t>
  </si>
  <si>
    <t>PY Investment (income), net</t>
  </si>
  <si>
    <t>PY Noncontrolling interests</t>
  </si>
  <si>
    <t>PY Corporate/Other adj. EBIT</t>
  </si>
  <si>
    <t>PY total adjustments (adj. EBIT - EBIT)</t>
  </si>
  <si>
    <t>PY D&amp;A (Cash Flow memo block)</t>
  </si>
  <si>
    <t>PY Adjusted EBITDA</t>
  </si>
  <si>
    <t>PY Net income attributable</t>
  </si>
  <si>
    <t>PY Diluted EPS - GAAP</t>
  </si>
  <si>
    <t>PY Adjusted diluted EPS</t>
  </si>
  <si>
    <t>Cross-period and source checks</t>
  </si>
  <si>
    <t>Check: FY sales - qtrs (=0)</t>
  </si>
  <si>
    <t>Check: FY NI - qtrs (=0)</t>
  </si>
  <si>
    <t>Check: FY adj. EBIT - qtrs (=0)</t>
  </si>
  <si>
    <t>Check: CapIQ vs company EPS</t>
  </si>
  <si>
    <t>Confirms CapIQ "normalized" EPS = RPM adjusted diluted EPS for the four FY26 quarters.</t>
  </si>
  <si>
    <t>Check: CapIQ vs reported sales</t>
  </si>
  <si>
    <t>Tab check: all check rows pass</t>
  </si>
  <si>
    <t>Balance Sheet</t>
  </si>
  <si>
    <t>Assets</t>
  </si>
  <si>
    <t>Cash and cash equivalents</t>
  </si>
  <si>
    <t>Trade accounts receivable</t>
  </si>
  <si>
    <t>Allowance for doubtful accounts</t>
  </si>
  <si>
    <t>Net trade accounts receivable</t>
  </si>
  <si>
    <t>Days sales outstanding (days)</t>
  </si>
  <si>
    <t>Inventories</t>
  </si>
  <si>
    <t>Prepaid and other current assets</t>
  </si>
  <si>
    <t>Total current assets</t>
  </si>
  <si>
    <t>PP&amp;E, at cost</t>
  </si>
  <si>
    <t>Allowance for depreciation</t>
  </si>
  <si>
    <t>PP&amp;E, net</t>
  </si>
  <si>
    <t>Goodwill</t>
  </si>
  <si>
    <t>Other intangible assets, net</t>
  </si>
  <si>
    <t>Operating lease ROU assets</t>
  </si>
  <si>
    <t>Deferred income taxes</t>
  </si>
  <si>
    <t>Other</t>
  </si>
  <si>
    <t>Total other assets</t>
  </si>
  <si>
    <t>Total assets</t>
  </si>
  <si>
    <t>Liabilities</t>
  </si>
  <si>
    <t>Accounts payable</t>
  </si>
  <si>
    <t>Current portion of long-term debt</t>
  </si>
  <si>
    <t>Accrued compensation and benefits</t>
  </si>
  <si>
    <t>Accrued losses</t>
  </si>
  <si>
    <t>Other accrued liabilities</t>
  </si>
  <si>
    <t>Total current liabilities</t>
  </si>
  <si>
    <t>Long-term debt</t>
  </si>
  <si>
    <t>Operating lease liabilities</t>
  </si>
  <si>
    <t>Other long-term liabilities</t>
  </si>
  <si>
    <t>Total long-term liabilities</t>
  </si>
  <si>
    <t>Total liabilities</t>
  </si>
  <si>
    <t>Stockholders' equity</t>
  </si>
  <si>
    <t>Common stock</t>
  </si>
  <si>
    <t>Paid-in capital</t>
  </si>
  <si>
    <t>Treasury stock, at cost</t>
  </si>
  <si>
    <t>AOCI (loss)</t>
  </si>
  <si>
    <t>Retained earnings</t>
  </si>
  <si>
    <t>Total RPM stockholders' equity</t>
  </si>
  <si>
    <t>Noncontrolling interest</t>
  </si>
  <si>
    <t>Total equity</t>
  </si>
  <si>
    <t>Total liabilities and equity</t>
  </si>
  <si>
    <t>Check: A - L - E (=0)</t>
  </si>
  <si>
    <t>Total assets as reported</t>
  </si>
  <si>
    <t>Check: assets vs reported (=0)</t>
  </si>
  <si>
    <t>Total liabilities as reported</t>
  </si>
  <si>
    <t>Check: liabilities vs reported</t>
  </si>
  <si>
    <t>Memo</t>
  </si>
  <si>
    <t>Shares outstanding, end (m)</t>
  </si>
  <si>
    <t>Total debt</t>
  </si>
  <si>
    <t>Net debt</t>
  </si>
  <si>
    <t>Net debt / LTM adjusted EBITDA (x)</t>
  </si>
  <si>
    <t>Assumed intangible amort. ($m)</t>
  </si>
  <si>
    <t>FY26 intangible amortization $45.8m (10-K) ~ $11.5m/qtr plus Kalzip.</t>
  </si>
  <si>
    <t>Tab check: BS balances, ties</t>
  </si>
  <si>
    <t>Cash Flow Statement</t>
  </si>
  <si>
    <t>Operating activities (quarters derived from reported year-to-date)</t>
  </si>
  <si>
    <t>D&amp;A</t>
  </si>
  <si>
    <t>1Q27E: 4Q26 D&amp;A $57.7m; capex-driven growth.</t>
  </si>
  <si>
    <t>Earn-out FV adjustments</t>
  </si>
  <si>
    <t>Stock-based compensation</t>
  </si>
  <si>
    <t>FY26 $32.8m (~$8.2m/qtr).</t>
  </si>
  <si>
    <t>Net (gain) on securities</t>
  </si>
  <si>
    <t>Net (gain) on asset sales</t>
  </si>
  <si>
    <t>(Inc.) dec. in receivables</t>
  </si>
  <si>
    <t>1Q27E working-capital lines = 1Q26A seasonal pattern.</t>
  </si>
  <si>
    <t>(Inc.) dec. in inventory</t>
  </si>
  <si>
    <t>(Inc.) dec. in prepaid/other</t>
  </si>
  <si>
    <t>Inc. (dec.) in payables</t>
  </si>
  <si>
    <t>Inc. (dec.) in accrued comp.</t>
  </si>
  <si>
    <t>Inc. (dec.) in accrued losses</t>
  </si>
  <si>
    <t>Inc. (dec.) in other accruals</t>
  </si>
  <si>
    <t>Cash from operations</t>
  </si>
  <si>
    <t>Change Q/Q ($)</t>
  </si>
  <si>
    <t>Investing activities</t>
  </si>
  <si>
    <t>Capital expenditures</t>
  </si>
  <si>
    <t>FY27 capex guide ~$220-240m (call).</t>
  </si>
  <si>
    <t>Acquisitions, net of cash</t>
  </si>
  <si>
    <t>Volteco closed Oct 1, 2026 (after quarter-end).</t>
  </si>
  <si>
    <t>Purchases of securities</t>
  </si>
  <si>
    <t>Sales of securities</t>
  </si>
  <si>
    <t>Proceeds from asset sales</t>
  </si>
  <si>
    <t>Cash from investing</t>
  </si>
  <si>
    <t>Financing activities</t>
  </si>
  <si>
    <t>Debt additions</t>
  </si>
  <si>
    <t>Debt reductions</t>
  </si>
  <si>
    <t>Cash dividends</t>
  </si>
  <si>
    <t>1Q27E = CapIQ DPS $0.54 x 127.6m shares outstanding.</t>
  </si>
  <si>
    <t>Repurchases of common stock</t>
  </si>
  <si>
    <t>Call: ~$25m per quarter run-rate.</t>
  </si>
  <si>
    <t>Shares returned for taxes</t>
  </si>
  <si>
    <t>Contingent consideration paid</t>
  </si>
  <si>
    <t>Cash from financing</t>
  </si>
  <si>
    <t>FX effect on cash</t>
  </si>
  <si>
    <t>Net change in cash</t>
  </si>
  <si>
    <t>Cash at beginning of period</t>
  </si>
  <si>
    <t>Cash at end of period</t>
  </si>
  <si>
    <t>Cash per Balance Sheet</t>
  </si>
  <si>
    <t>Check: cash ties to BS (=0)</t>
  </si>
  <si>
    <t>1Q27E balance-sheet cash is built from this cash flow, so the forecast tie is an identity (n.a.).</t>
  </si>
  <si>
    <t>Free cash flow (CFO + capex)</t>
  </si>
  <si>
    <t>FCF / net income %</t>
  </si>
  <si>
    <t>Check: CFO/CFI/CFF vs reported</t>
  </si>
  <si>
    <t>Reported year-to-date inputs (B = 3M Aug-25, C = 6M Nov-25, D = 9M Feb-26, E = 12M May-26)</t>
  </si>
  <si>
    <t>YTD: Net income incl. NCI</t>
  </si>
  <si>
    <t>YTD: D&amp;A</t>
  </si>
  <si>
    <t>YTD: Earn-out FV adjustments</t>
  </si>
  <si>
    <t>YTD: PP&amp;E impairment</t>
  </si>
  <si>
    <t>YTD: Goodwill impairment</t>
  </si>
  <si>
    <t>YTD: Deferred income taxes</t>
  </si>
  <si>
    <t>YTD: Stock-based compensation</t>
  </si>
  <si>
    <t>YTD: Net (gain) on securities</t>
  </si>
  <si>
    <t>YTD: Net (gain) on asset sales</t>
  </si>
  <si>
    <t>YTD: Other</t>
  </si>
  <si>
    <t>YTD: (Inc.) dec. in receivables</t>
  </si>
  <si>
    <t>YTD: (Inc.) dec. in inventory</t>
  </si>
  <si>
    <t>YTD: (Inc.) dec. in prepaid/other</t>
  </si>
  <si>
    <t>YTD: Inc. (dec.) in payables</t>
  </si>
  <si>
    <t>YTD: Inc. (dec.) in accrued comp.</t>
  </si>
  <si>
    <t>YTD: Inc. (dec.) in accrued losses</t>
  </si>
  <si>
    <t>YTD: Inc. (dec.) in other accruals</t>
  </si>
  <si>
    <t>YTD: Cash from operations (rep.)</t>
  </si>
  <si>
    <t>YTD: Capital expenditures</t>
  </si>
  <si>
    <t>YTD: Acquisitions, net of cash</t>
  </si>
  <si>
    <t>YTD: Purchases of securities</t>
  </si>
  <si>
    <t>YTD: Sales of securities</t>
  </si>
  <si>
    <t>YTD: Proceeds from asset sales</t>
  </si>
  <si>
    <t>YTD: Cash from investing (rep.)</t>
  </si>
  <si>
    <t>YTD: Debt additions</t>
  </si>
  <si>
    <t>YTD: Debt reductions</t>
  </si>
  <si>
    <t>YTD: Cash dividends</t>
  </si>
  <si>
    <t>YTD: Repurchases of common stock</t>
  </si>
  <si>
    <t>YTD: Shares returned for taxes</t>
  </si>
  <si>
    <t>YTD: Contingent consideration paid</t>
  </si>
  <si>
    <t>YTD: Cash from financing (rep.)</t>
  </si>
  <si>
    <t>YTD: FX effect on cash</t>
  </si>
  <si>
    <t>YTD: Net change in cash (rep.)</t>
  </si>
  <si>
    <t>YTD: Cash, beginning of FY</t>
  </si>
  <si>
    <t>Check: YTD lines sum (=0)</t>
  </si>
  <si>
    <t>Prior-year comparatives (memo): YTD inputs and derived prior-year quarters</t>
  </si>
  <si>
    <t>PY YTD: D&amp;A</t>
  </si>
  <si>
    <t>PY YTD: Stock-based comp.</t>
  </si>
  <si>
    <t>PY YTD: Capex</t>
  </si>
  <si>
    <t>PY YTD: Cash dividends</t>
  </si>
  <si>
    <t>PY YTD: Share repurchases</t>
  </si>
  <si>
    <t>PY YTD: Shares returned for taxes</t>
  </si>
  <si>
    <t>PY YTD: Cash from operations</t>
  </si>
  <si>
    <t>PY quarter: D&amp;A</t>
  </si>
  <si>
    <t>PY quarter: Stock-based comp.</t>
  </si>
  <si>
    <t>PY quarter: Capex</t>
  </si>
  <si>
    <t>PY quarter: Cash dividends</t>
  </si>
  <si>
    <t>PY quarter: Share repurchases</t>
  </si>
  <si>
    <t>PY quarter: Shares returned for taxes</t>
  </si>
  <si>
    <t>PY quarter: Cash from operations</t>
  </si>
  <si>
    <t>Tab check: cash and CF tie</t>
  </si>
  <si>
    <t>Geo - net sales by region (shipping location)</t>
  </si>
  <si>
    <t>Consolidated net sales by region (sum of segment disclosures)</t>
  </si>
  <si>
    <t>Regional organic / M&amp;A / FX split not disclosed by RPM (unavailable); only total Y/Y is shown.</t>
  </si>
  <si>
    <t>Total net sales</t>
  </si>
  <si>
    <t>Total net sales (Revenue summary)</t>
  </si>
  <si>
    <t>Check: geography - total (=0)</t>
  </si>
  <si>
    <t>Prior-year period (memo)</t>
  </si>
  <si>
    <t>Tab check: geography = total</t>
  </si>
  <si>
    <t>Share Count</t>
  </si>
  <si>
    <t>Weighted average shares (m)</t>
  </si>
  <si>
    <t>Weighted average shares - basic</t>
  </si>
  <si>
    <t>1Q27E = 4Q26A less shares repurchased in the quarter plus net issuance assumption.</t>
  </si>
  <si>
    <t>Sequential change</t>
  </si>
  <si>
    <t>Dilutive securities</t>
  </si>
  <si>
    <t>Diluted shares (EPS basis)</t>
  </si>
  <si>
    <t>Assumption (timing convention): 1Q27E weighted diluted = 4Q26A weighted diluted less the full 1Q27E buyback (G24) plus net issuance G25 = 0; no explicit intra-quarter time-weighting.</t>
  </si>
  <si>
    <t>Period-end shares and capital returned</t>
  </si>
  <si>
    <t>Share repurchases ($m)</t>
  </si>
  <si>
    <t>Shares returned for taxes ($m)</t>
  </si>
  <si>
    <t>Cash dividends ($m)</t>
  </si>
  <si>
    <t>Average repurchase price ($/share)</t>
  </si>
  <si>
    <t>Share counts repurchased per quarter not extracted from 10-Q Item 2 (unavailable); 1Q27E price ~ Jun-Aug 2026 trading range.</t>
  </si>
  <si>
    <t>Shares repurchased (m)</t>
  </si>
  <si>
    <t>Net issuance from equity plans (m)</t>
  </si>
  <si>
    <t>Buyback authorization left ($m)</t>
  </si>
  <si>
    <t>Prior-year comparatives (memo)</t>
  </si>
  <si>
    <t>PY basic shares (m)</t>
  </si>
  <si>
    <t>PY diluted shares (m)</t>
  </si>
  <si>
    <t>PY shares outstanding, end (m)</t>
  </si>
  <si>
    <t>EPS share count behind the forecast</t>
  </si>
  <si>
    <t>Shares behind 1Q27E EPS (m)</t>
  </si>
  <si>
    <t>Check: IS vs Share Count (=0)</t>
  </si>
  <si>
    <t>Guidance</t>
  </si>
  <si>
    <t>Date</t>
  </si>
  <si>
    <t>Metric</t>
  </si>
  <si>
    <t>Low</t>
  </si>
  <si>
    <t>High</t>
  </si>
  <si>
    <t>Midpoint</t>
  </si>
  <si>
    <t>Actual</t>
  </si>
  <si>
    <t>Beat/miss vs mid</t>
  </si>
  <si>
    <t>Source</t>
  </si>
  <si>
    <t>4Q25</t>
  </si>
  <si>
    <t>Sales growth Y/Y (flat)</t>
  </si>
  <si>
    <t>Q3 FY25 release (S14); actual 4Q25 release (S13)</t>
  </si>
  <si>
    <t>Adjusted EBIT growth Y/Y (low-single-digit)</t>
  </si>
  <si>
    <t>S14; S13</t>
  </si>
  <si>
    <t>1Q26</t>
  </si>
  <si>
    <t>Sales growth Y/Y (low- to mid-single-digit)</t>
  </si>
  <si>
    <t>S13</t>
  </si>
  <si>
    <t>Adjusted EBIT growth Y/Y (low- to mid-single-digit)</t>
  </si>
  <si>
    <t>2Q26</t>
  </si>
  <si>
    <t>Sales growth Y/Y (mid-single-digit)</t>
  </si>
  <si>
    <t>S3</t>
  </si>
  <si>
    <t>Adjusted EBIT growth Y/Y (mid-single-digit)</t>
  </si>
  <si>
    <t>3Q26</t>
  </si>
  <si>
    <t>S4</t>
  </si>
  <si>
    <t>Adjusted EBIT growth Y/Y (mid- to high-single-digit)</t>
  </si>
  <si>
    <t>4Q26</t>
  </si>
  <si>
    <t>Sales growth Y/Y (mid-single-digit; reaffirmed)</t>
  </si>
  <si>
    <t>S4; S5</t>
  </si>
  <si>
    <t>Adjusted EBIT growth Y/Y (low- to high-single-digit)</t>
  </si>
  <si>
    <t>FY26</t>
  </si>
  <si>
    <t>Sales growth Y/Y (toward high end of low- to mid-single-digit)</t>
  </si>
  <si>
    <t>Adjusted EBIT growth Y/Y (toward low end of high-single- to low-double-digit)</t>
  </si>
  <si>
    <t>1Q27</t>
  </si>
  <si>
    <t>Consolidated sales growth Y/Y (mid-single-digit)</t>
  </si>
  <si>
    <t>S6; S12</t>
  </si>
  <si>
    <t>CPG sales growth Y/Y (mid-single-digit)</t>
  </si>
  <si>
    <t>S6</t>
  </si>
  <si>
    <t>PCG sales growth Y/Y (mid-single-digit)</t>
  </si>
  <si>
    <t>Consumer sales growth Y/Y (mid-single-digit)</t>
  </si>
  <si>
    <t>Adjusted EBITDA growth Y/Y (mid-single-digit)</t>
  </si>
  <si>
    <t>Raw material inflation (cost)</t>
  </si>
  <si>
    <t>S11; S12</t>
  </si>
  <si>
    <t>SG&amp;A-focused savings ($m)</t>
  </si>
  <si>
    <t>S11</t>
  </si>
  <si>
    <t>FY27</t>
  </si>
  <si>
    <t>Sales growth Y/Y</t>
  </si>
  <si>
    <t>Adjusted EBITDA growth Y/Y</t>
  </si>
  <si>
    <t>Capital expenditures ($m)</t>
  </si>
  <si>
    <t>Ranges: "low-single-digit" = 1-3%, "mid" = 4-6%, "high" = 7-9%, "low-double-digit" = 10-12% (Shortcut convention; company gives words, not numbers). CapIQ revenue guidance 2,198.3-2,240.6 = +4% to +6%.</t>
  </si>
  <si>
    <t>Guidance-implied 1Q27 (mid)</t>
  </si>
  <si>
    <t>Value</t>
  </si>
  <si>
    <t>Basis</t>
  </si>
  <si>
    <t>Sales growth midpoint</t>
  </si>
  <si>
    <t>Midpoint of +MSD</t>
  </si>
  <si>
    <t>Implied revenue ($m)</t>
  </si>
  <si>
    <t>1Q26A x (1 + mid)</t>
  </si>
  <si>
    <t>CapIQ guide range low/high ($m)</t>
  </si>
  <si>
    <t>S1 revenue_m_guidance_low/high</t>
  </si>
  <si>
    <t>Adjusted EBITDA growth midpoint</t>
  </si>
  <si>
    <t>Implied adjusted EBITDA ($m)</t>
  </si>
  <si>
    <t>Implied adjusted EBIT ($m)</t>
  </si>
  <si>
    <t>Less 1Q27E D&amp;A</t>
  </si>
  <si>
    <t>Implied adjusted pre-tax ($m)</t>
  </si>
  <si>
    <t>Model interest / investment income</t>
  </si>
  <si>
    <t>Implied adjusted net income ($m)</t>
  </si>
  <si>
    <t>Model tax rate and NCI</t>
  </si>
  <si>
    <t>Implied adjusted diluted EPS</t>
  </si>
  <si>
    <t>Model diluted shares</t>
  </si>
  <si>
    <t>Implied EPS less consensus</t>
  </si>
  <si>
    <t>vs CapIQ 1.95</t>
  </si>
  <si>
    <t>Adj. EBIT beats vs mid (last 5)</t>
  </si>
  <si>
    <t>Rows 4Q25-4Q26 EBIT</t>
  </si>
  <si>
    <t>Sources</t>
  </si>
  <si>
    <t>ID</t>
  </si>
  <si>
    <t>Published</t>
  </si>
  <si>
    <t>Retrieved (UTC)</t>
  </si>
  <si>
    <t>Publisher</t>
  </si>
  <si>
    <t>URL or file</t>
  </si>
  <si>
    <t>Feeds</t>
  </si>
  <si>
    <t>S1</t>
  </si>
  <si>
    <t>2026-10-04 22:25-22:40</t>
  </si>
  <si>
    <t>S&amp;P Capital IQ (attached)</t>
  </si>
  <si>
    <t>RPM_consensus.json</t>
  </si>
  <si>
    <t>Consensus EPS/revenue/NI, DPS, guidance range, price (Inputs, Cover)</t>
  </si>
  <si>
    <t>S2</t>
  </si>
  <si>
    <t>RPM_history.csv</t>
  </si>
  <si>
    <t>Six historical normalized EPS pairs; beat calibration; IS cross-checks</t>
  </si>
  <si>
    <t>RPM / SEC EDGAR 8-K EX-99.1</t>
  </si>
  <si>
    <t>https://www.sec.gov/Archives/edgar/data/110621/000119312525225841/d911529dex991.htm</t>
  </si>
  <si>
    <t>1Q26 IS, segments, adjustments, BS, CF; 2Q26 guidance</t>
  </si>
  <si>
    <t>https://www.sec.gov/Archives/edgar/data/110621/000119312526006976/d807675dex991.htm</t>
  </si>
  <si>
    <t>2Q26 IS, segments, BS, 6M CF; 3Q/4Q26 guidance</t>
  </si>
  <si>
    <t>S5</t>
  </si>
  <si>
    <t>https://www.sec.gov/Archives/edgar/data/110621/000119312526146312/d131284dex991.htm</t>
  </si>
  <si>
    <t>3Q26 IS, segments, BS, 9M CF; 4Q26 guidance reaffirmed; Kalzip close</t>
  </si>
  <si>
    <t>https://www.sec.gov/Archives/edgar/data/110621/000119312526311276/d141573dex991.htm</t>
  </si>
  <si>
    <t>4Q26/FY26 IS, segments, adjustments, BS; 1Q27/FY27 guidance; buyback authorization</t>
  </si>
  <si>
    <t>S7</t>
  </si>
  <si>
    <t>RPM Form 10-Q (rpminc.com)</t>
  </si>
  <si>
    <t>https://www.rpminc.com/media/1nndwcgr/1q26-10-q-filing.pdf</t>
  </si>
  <si>
    <t>Segment COGS/SG&amp;A and geography, 1Q26 and 1Q25</t>
  </si>
  <si>
    <t>S8</t>
  </si>
  <si>
    <t>RPM Form 10-Q (SEC EDGAR)</t>
  </si>
  <si>
    <t>https://www.sec.gov/Archives/edgar/data/110621/000119312526007515/rpm-20251130.htm</t>
  </si>
  <si>
    <t>Segment COGS/SG&amp;A and geography, 2Q26 and 2Q25</t>
  </si>
  <si>
    <t>S9</t>
  </si>
  <si>
    <t>https://www.sec.gov/Archives/edgar/data/110621/000119312526147191/rpm-20260228.htm</t>
  </si>
  <si>
    <t>Segment COGS/SG&amp;A and geography, 3Q26 and 3Q25</t>
  </si>
  <si>
    <t>S10</t>
  </si>
  <si>
    <t>RPM Form 10-K (SEC EDGAR / rpminc.com)</t>
  </si>
  <si>
    <t>https://www.sec.gov/Archives/edgar/data/110621/000119312526312142/R130.htm ; R129.htm ; https://www.rpminc.com/media/22qev0eb/rpm-4q26-form-10-k.pdf</t>
  </si>
  <si>
    <t>FY26/FY25 segment costs and geography; FY26 cash flow statement</t>
  </si>
  <si>
    <t>RPM / LSEG StreetEvents transcript</t>
  </si>
  <si>
    <t>https://www.rpminc.com/media/qffpsp3a/rpm-4q26-earnings-transcript.pdf</t>
  </si>
  <si>
    <t>Raw inflation 5-6%, $25m savings, Tremco supply issue, buyback pace, capex, price ~2%</t>
  </si>
  <si>
    <t>S12</t>
  </si>
  <si>
    <t>RPM supplemental slides</t>
  </si>
  <si>
    <t>https://www.rpminc.com/media/kbhj4vgo/rpm-q4-26-earnings-supplemental-slides-final.pdf</t>
  </si>
  <si>
    <t>1Q27 outlook table; regional mix; price vs inflation neutral in Q1</t>
  </si>
  <si>
    <t>Business Wire via Nasdaq</t>
  </si>
  <si>
    <t>https://www.nasdaq.com/press-release/rpm-reports-record-fiscal-2025-fourth-quarter-and-full-year-results-2025-07-24</t>
  </si>
  <si>
    <t>1Q26 guidance; 4Q25 actual growth (sales +3.7%, adj. EBIT +10.1%)</t>
  </si>
  <si>
    <t>S14</t>
  </si>
  <si>
    <t>RPM (rpminc.com)</t>
  </si>
  <si>
    <t>https://www.rpminc.com/media/rxice2gr/3q25-rpm-earnings-release-final.pdf</t>
  </si>
  <si>
    <t>4Q25 guidance (flat sales, adj. EBIT +LSD) - search excerpt</t>
  </si>
  <si>
    <t>S15</t>
  </si>
  <si>
    <t>Zacks via Yahoo Finance</t>
  </si>
  <si>
    <t>https://finance.yahoo.com/markets/stocks/articles/exploring-analyst-estimates-rpm-international-121502287.html</t>
  </si>
  <si>
    <t>Segment consensus; EPS revised -0.5% in 30 days; Zacks Rank #4</t>
  </si>
  <si>
    <t>S16</t>
  </si>
  <si>
    <t>Earnings Whispers</t>
  </si>
  <si>
    <t>https://secure.earningswhispers.com/article/RPM/20292</t>
  </si>
  <si>
    <t>Preview; whisper $1.98; Street revenue ~$2.22bn</t>
  </si>
  <si>
    <t>S17</t>
  </si>
  <si>
    <t>American Banking News (MarketBeat)</t>
  </si>
  <si>
    <t>https://www.americanbankingnews.com/2026/09/13/q1-earnings-estimate-for-rpm-international-issued-by-keycorp.html</t>
  </si>
  <si>
    <t>KeyBanc 1Q27 EPS $1.91</t>
  </si>
  <si>
    <t>S18</t>
  </si>
  <si>
    <t>Benzinga</t>
  </si>
  <si>
    <t>https://www.benzinga.com/news/26/09/62023733/morgan-stanley-maintains-equal-weight-rpm-international-lowers-price-target-114</t>
  </si>
  <si>
    <t>Morgan Stanley PT cut to $114</t>
  </si>
  <si>
    <t>S19</t>
  </si>
  <si>
    <t>Banque de France</t>
  </si>
  <si>
    <t>https://www.banque-france.fr/en/statistics/rates-and-prices/exchange-rates-average-month-2026-08</t>
  </si>
  <si>
    <t>EUR/USD and EUR/CAD Jun-Aug 2026 averages (FX assumption)</t>
  </si>
  <si>
    <t>S20</t>
  </si>
  <si>
    <t>marketcap.company</t>
  </si>
  <si>
    <t>https://marketcap.company/market-capitalization/nyse-rpm-rpm-international-inc/</t>
  </si>
  <si>
    <t>Market cap $12.66bn at cutoff</t>
  </si>
  <si>
    <t>S21</t>
  </si>
  <si>
    <t>Equibles (iShares IJH holdings)</t>
  </si>
  <si>
    <t>https://equibles.com/indexes/sp-400</t>
  </si>
  <si>
    <t>S&amp;P MidCap 400 membership (not S&amp;P 500)</t>
  </si>
  <si>
    <t>S22</t>
  </si>
  <si>
    <t>The Home Depot</t>
  </si>
  <si>
    <t>https://ir.homedepot.com/news-releases/2026/08-18-2026-110040463</t>
  </si>
  <si>
    <t>DIY demand context: US comps +1.3%</t>
  </si>
  <si>
    <t>S23</t>
  </si>
  <si>
    <t>Lowe's</t>
  </si>
  <si>
    <t>https://corporate.lowes.com/newsroom/press-releases/lowes-reports-second-quarter-2026-sales-and-earnings-results-08-19-26</t>
  </si>
  <si>
    <t>DIY demand context: comps +0.2%, DIY pressure</t>
  </si>
  <si>
    <t>S24</t>
  </si>
  <si>
    <t>Everchem</t>
  </si>
  <si>
    <t>https://everchem.com/po-force-majeure/</t>
  </si>
  <si>
    <t>LyondellBasell PO force majeure (Tremco roofing supply)</t>
  </si>
  <si>
    <t>S25</t>
  </si>
  <si>
    <t>https://www.nasdaq.com/press-release/rpm-completes-acquisition-kalzip-2026-04-01</t>
  </si>
  <si>
    <t>Kalzip closed (CPG M&amp;A in 1Q27E)</t>
  </si>
  <si>
    <t>S26</t>
  </si>
  <si>
    <t>Business Wire via Finviz</t>
  </si>
  <si>
    <t>https://finviz.com/news/397819/rpm-completes-acquisition-of-volteco</t>
  </si>
  <si>
    <t>Volteco closed after quarter-end (no 1Q27 contribution)</t>
  </si>
  <si>
    <t>S27</t>
  </si>
  <si>
    <t>drillr</t>
  </si>
  <si>
    <t>https://drillr.ai/article/rpm-international-q1-fiscal-2027-earnings-preview</t>
  </si>
  <si>
    <t>Preview context; FY26 amortization $45.8m</t>
  </si>
  <si>
    <t>S28</t>
  </si>
  <si>
    <t>Sika AG</t>
  </si>
  <si>
    <t>https://www.sika.com/en/media/media-releases/2026/half-year-report-2026.html</t>
  </si>
  <si>
    <t>Peer: construction chemicals +4.0% LC H1 2026</t>
  </si>
  <si>
    <t>S29</t>
  </si>
  <si>
    <t>https://www.nasdaq.com/press-release/rpm-announce-fiscal-2027-first-quarter-results-october-6-2026-2026-09-04</t>
  </si>
  <si>
    <t>Report date 2026-10-06</t>
  </si>
  <si>
    <t>Tabs omitted: none of the standard tabs were omitted. Inputs tab added (mandated raw CapIQ embedding and calibration). Segment D&amp;A and segment price/volume not disclosed in S3-S10 (shown as n.a.).</t>
  </si>
  <si>
    <t>Target-quarter (1Q27) actual results were not encountered. All sources carry publication dates on or before 2026-10-04 (date precision only for S1, S2 and S20; the CapIQ capture is date-only). Retrieval stamps (22:25-22:40 UTC) postdate the 22:22 UTC cutoff: pre-cutoff publications fetched after the cutoff, not frozen snapshots.</t>
  </si>
  <si>
    <t>Inputs - S&amp;P Capital IQ raw data and beat-probability calibration</t>
  </si>
  <si>
    <t>RPM_consensus.json top-level</t>
  </si>
  <si>
    <t>Raw text in file</t>
  </si>
  <si>
    <t>Used in model</t>
  </si>
  <si>
    <t>source</t>
  </si>
  <si>
    <t>S&amp;P Capital IQ</t>
  </si>
  <si>
    <t>"S&amp;P Capital IQ"</t>
  </si>
  <si>
    <t>ticker</t>
  </si>
  <si>
    <t>RPM</t>
  </si>
  <si>
    <t>"RPM"</t>
  </si>
  <si>
    <t>company</t>
  </si>
  <si>
    <t>"RPM International Inc."</t>
  </si>
  <si>
    <t>fiscal_period</t>
  </si>
  <si>
    <t>Q1 FY2027</t>
  </si>
  <si>
    <t>"Q1 FY2027"</t>
  </si>
  <si>
    <t>period_end_date</t>
  </si>
  <si>
    <t>"2026-08-31"</t>
  </si>
  <si>
    <t>as_of_date</t>
  </si>
  <si>
    <t>"2026-10-04"</t>
  </si>
  <si>
    <t>analyst_count</t>
  </si>
  <si>
    <t>15</t>
  </si>
  <si>
    <t>Cover contributors</t>
  </si>
  <si>
    <t>consensus_eps</t>
  </si>
  <si>
    <t>1.95</t>
  </si>
  <si>
    <t>Cover headline consensus EPS</t>
  </si>
  <si>
    <t>eps_basis</t>
  </si>
  <si>
    <t>Normalized diluted EPS per common share, USD; verify issuer adjustments</t>
  </si>
  <si>
    <t>"Normalized diluted EPS per common share, USD; verify issuer adjustments"</t>
  </si>
  <si>
    <t>consensus_revenue_m</t>
  </si>
  <si>
    <t>2222.57</t>
  </si>
  <si>
    <t>Cover headline consensus revenue</t>
  </si>
  <si>
    <t>currency</t>
  </si>
  <si>
    <t>"USD"</t>
  </si>
  <si>
    <t>summary_sha256</t>
  </si>
  <si>
    <t>dcd0ceefcbfabc05b4b93dc4d870480edb653ec275c18d538b8e064442f96004</t>
  </si>
  <si>
    <t>"dcd0ceefcbfabc05b4b93dc4d870480edb653ec275c18d538b8e064442f96004"</t>
  </si>
  <si>
    <t>captured_precision</t>
  </si>
  <si>
    <t>date only, user confirmed</t>
  </si>
  <si>
    <t>"date only, user confirmed"</t>
  </si>
  <si>
    <t>currency_units_status</t>
  </si>
  <si>
    <t>USD per common share inferred; verify filings</t>
  </si>
  <si>
    <t>"USD per common share inferred; verify filings"</t>
  </si>
  <si>
    <t>CapIQ summary_row (all fields)</t>
  </si>
  <si>
    <t>company_name</t>
  </si>
  <si>
    <t>exchange_ticker</t>
  </si>
  <si>
    <t>NYSE:RPM</t>
  </si>
  <si>
    <t>"NYSE:RPM"</t>
  </si>
  <si>
    <t>capiq_company_id</t>
  </si>
  <si>
    <t>"299095"</t>
  </si>
  <si>
    <t>sp500_member</t>
  </si>
  <si>
    <t>Y</t>
  </si>
  <si>
    <t>"Y"</t>
  </si>
  <si>
    <t>Shown; contradicted by S21 (see calibration)</t>
  </si>
  <si>
    <t>market_cap_usd_m</t>
  </si>
  <si>
    <t>""</t>
  </si>
  <si>
    <t>fiscal_quarter</t>
  </si>
  <si>
    <t>FQ1 2027 - Aug 2026</t>
  </si>
  <si>
    <t>"FQ1 2027 - Aug 2026"</t>
  </si>
  <si>
    <t>quarter_end_date</t>
  </si>
  <si>
    <t>expected_report_date</t>
  </si>
  <si>
    <t>"2026-10-06"</t>
  </si>
  <si>
    <t>fiscal_year_end</t>
  </si>
  <si>
    <t>May-31</t>
  </si>
  <si>
    <t>"May-31"</t>
  </si>
  <si>
    <t>analysts_covering</t>
  </si>
  <si>
    <t>"15"</t>
  </si>
  <si>
    <t>eps_normalized_mean</t>
  </si>
  <si>
    <t>"1.95"</t>
  </si>
  <si>
    <t>Primary consensus EPS (1.95)</t>
  </si>
  <si>
    <t>eps_normalized_median</t>
  </si>
  <si>
    <t>eps_normalized_high</t>
  </si>
  <si>
    <t>"1.99"</t>
  </si>
  <si>
    <t>Consensus range</t>
  </si>
  <si>
    <t>eps_normalized_low</t>
  </si>
  <si>
    <t>"1.89"</t>
  </si>
  <si>
    <t>eps_normalized_std_dev</t>
  </si>
  <si>
    <t>"0.03"</t>
  </si>
  <si>
    <t>eps_normalized_n_est</t>
  </si>
  <si>
    <t>Primary contributor count</t>
  </si>
  <si>
    <t>eps_normalized_guidance</t>
  </si>
  <si>
    <t>eps_normalized_guidance_low</t>
  </si>
  <si>
    <t>eps_normalized_guidance_high</t>
  </si>
  <si>
    <t>eps_gaap_mean</t>
  </si>
  <si>
    <t>"1.94"</t>
  </si>
  <si>
    <t>Consensus GAAP EPS</t>
  </si>
  <si>
    <t>eps_gaap_median</t>
  </si>
  <si>
    <t>"1.93"</t>
  </si>
  <si>
    <t>eps_gaap_high</t>
  </si>
  <si>
    <t>"1.98"</t>
  </si>
  <si>
    <t>eps_gaap_low</t>
  </si>
  <si>
    <t>"1.92"</t>
  </si>
  <si>
    <t>eps_gaap_std_dev</t>
  </si>
  <si>
    <t>eps_gaap_n_est</t>
  </si>
  <si>
    <t>"3"</t>
  </si>
  <si>
    <t>eps_gaap_guidance</t>
  </si>
  <si>
    <t>revenue_m_mean</t>
  </si>
  <si>
    <t>"2222.57"</t>
  </si>
  <si>
    <t>Consensus revenue</t>
  </si>
  <si>
    <t>revenue_m_median</t>
  </si>
  <si>
    <t>"2221.5"</t>
  </si>
  <si>
    <t>revenue_m_high</t>
  </si>
  <si>
    <t>"2252.0"</t>
  </si>
  <si>
    <t>revenue_m_low</t>
  </si>
  <si>
    <t>"2196.94"</t>
  </si>
  <si>
    <t>revenue_m_std_dev</t>
  </si>
  <si>
    <t>"15.1"</t>
  </si>
  <si>
    <t>revenue_m_n_est</t>
  </si>
  <si>
    <t>"14"</t>
  </si>
  <si>
    <t>revenue_m_guidance</t>
  </si>
  <si>
    <t>revenue_m_guidance_low</t>
  </si>
  <si>
    <t>"2198.29"</t>
  </si>
  <si>
    <t>Guidance range check</t>
  </si>
  <si>
    <t>revenue_m_guidance_high</t>
  </si>
  <si>
    <t>"2240.57"</t>
  </si>
  <si>
    <t>ebitda_m</t>
  </si>
  <si>
    <t>"407.1"</t>
  </si>
  <si>
    <t>Consensus EBITDA</t>
  </si>
  <si>
    <t>ebit_m</t>
  </si>
  <si>
    <t>"351.71"</t>
  </si>
  <si>
    <t>ebt_excl_excep_m</t>
  </si>
  <si>
    <t>"329.5"</t>
  </si>
  <si>
    <t>ebt_gaap_m</t>
  </si>
  <si>
    <t>net_income_excl_excep_m</t>
  </si>
  <si>
    <t>"247.0"</t>
  </si>
  <si>
    <t>Consensus adjusted NI</t>
  </si>
  <si>
    <t>net_income_gaap_m</t>
  </si>
  <si>
    <t>"247.97"</t>
  </si>
  <si>
    <t>Consensus GAAP NI</t>
  </si>
  <si>
    <t>gross_margin_pct</t>
  </si>
  <si>
    <t>"42.2"</t>
  </si>
  <si>
    <t>effective_tax_rate_pct</t>
  </si>
  <si>
    <t>"23.67"</t>
  </si>
  <si>
    <t>d_and_a_m</t>
  </si>
  <si>
    <t>"55.78"</t>
  </si>
  <si>
    <t>capex_m</t>
  </si>
  <si>
    <t>"-58.5"</t>
  </si>
  <si>
    <t>cfo_m</t>
  </si>
  <si>
    <t>"265.77"</t>
  </si>
  <si>
    <t>fcf_m</t>
  </si>
  <si>
    <t>"209.1"</t>
  </si>
  <si>
    <t>interest_expense_m</t>
  </si>
  <si>
    <t>net_debt_m</t>
  </si>
  <si>
    <t>cfps</t>
  </si>
  <si>
    <t>"2.6"</t>
  </si>
  <si>
    <t>bvps</t>
  </si>
  <si>
    <t>"28.03"</t>
  </si>
  <si>
    <t>dps</t>
  </si>
  <si>
    <t>"0.54"</t>
  </si>
  <si>
    <t>Dividend per share (cash flow)</t>
  </si>
  <si>
    <t>nav_m</t>
  </si>
  <si>
    <t>navps</t>
  </si>
  <si>
    <t>roe_pct</t>
  </si>
  <si>
    <t>adj_nii_per_share_consensus</t>
  </si>
  <si>
    <t>target_price_mean</t>
  </si>
  <si>
    <t>"129.8"</t>
  </si>
  <si>
    <t>NOT USED (malformed ranges per instructions)</t>
  </si>
  <si>
    <t>target_price_median</t>
  </si>
  <si>
    <t>"128.0"</t>
  </si>
  <si>
    <t>target_price_high</t>
  </si>
  <si>
    <t>"151.0"</t>
  </si>
  <si>
    <t>target_price_low</t>
  </si>
  <si>
    <t>"114.0"</t>
  </si>
  <si>
    <t>target_price_std_dev</t>
  </si>
  <si>
    <t>"9.96"</t>
  </si>
  <si>
    <t>target_price_n_est</t>
  </si>
  <si>
    <t>recommendation</t>
  </si>
  <si>
    <t>Buy</t>
  </si>
  <si>
    <t>"Buy"</t>
  </si>
  <si>
    <t>recommendation_score</t>
  </si>
  <si>
    <t>"1.27"</t>
  </si>
  <si>
    <t>last_close_price</t>
  </si>
  <si>
    <t>"99.19"</t>
  </si>
  <si>
    <t>Market cap</t>
  </si>
  <si>
    <t>wk52_high_low</t>
  </si>
  <si>
    <t>121.78/92.92</t>
  </si>
  <si>
    <t>"121.78/92.92"</t>
  </si>
  <si>
    <t>units</t>
  </si>
  <si>
    <t>per-share in USD; revenue and income in USD millions</t>
  </si>
  <si>
    <t>"per-share in USD; revenue and income in USD millions"</t>
  </si>
  <si>
    <t>estimates_captured_at</t>
  </si>
  <si>
    <t>notes</t>
  </si>
  <si>
    <t>History: 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</si>
  <si>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</si>
  <si>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</si>
  <si>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</si>
  <si>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</si>
  <si>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</si>
  <si>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</si>
  <si>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</si>
  <si>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surprise_usd (D-C)</t>
  </si>
  <si>
    <t>strict_beat (D&gt;C)</t>
  </si>
  <si>
    <t>Beat-probability calibration</t>
  </si>
  <si>
    <t>Basis / source</t>
  </si>
  <si>
    <t>Consensus EPS (scoring baseline)</t>
  </si>
  <si>
    <t>S1 eps_normalized_mean, captured 2026-10-04</t>
  </si>
  <si>
    <t>Contributors (n)</t>
  </si>
  <si>
    <t>Consensus EPS high</t>
  </si>
  <si>
    <t>Consensus EPS low</t>
  </si>
  <si>
    <t>Consensus revenue ($m)</t>
  </si>
  <si>
    <t>S1 revenue_m_mean</t>
  </si>
  <si>
    <t>Consensus adj. net income ($m)</t>
  </si>
  <si>
    <t>S1 net_income_excl_excep_m</t>
  </si>
  <si>
    <t>Consensus GAAP net income ($m)</t>
  </si>
  <si>
    <t>S1 net_income_gaap_m</t>
  </si>
  <si>
    <t>Consensus GAAP EPS (n=3)</t>
  </si>
  <si>
    <t>S1 eps_gaap_mean</t>
  </si>
  <si>
    <t>Consensus EBITDA ($m)</t>
  </si>
  <si>
    <t>S1 ebitda_m</t>
  </si>
  <si>
    <t>Dividend per share ($)</t>
  </si>
  <si>
    <t>S1 dps</t>
  </si>
  <si>
    <t>CapIQ revenue guidance low ($m)</t>
  </si>
  <si>
    <t>CapIQ revenue guidance high ($m)</t>
  </si>
  <si>
    <t>Last close price at cutoff ($)</t>
  </si>
  <si>
    <t>S1 last_close_price (Oct 2, 2026 close)</t>
  </si>
  <si>
    <t>Shares outstanding (m, May-26)</t>
  </si>
  <si>
    <t>S6 balance sheet parenthetical</t>
  </si>
  <si>
    <t>Price x shares; S20 marketcap.company $12.66bn (Oct 4, 2026)</t>
  </si>
  <si>
    <t>Size bucket</t>
  </si>
  <si>
    <t>Playbook rule 7: small $0.3-2bn, mid $2-10bn, large &gt;$10bn</t>
  </si>
  <si>
    <t>Index membership (verified)</t>
  </si>
  <si>
    <t>S&amp;P MidCap 400 (not S&amp;P 500)</t>
  </si>
  <si>
    <t>S21 iShares IJH holdings 2026-10-01; CVT S&amp;P MidCap 400 N-PORT 2026-03-31; CapIQ flag "Y" not confirmed</t>
  </si>
  <si>
    <t>S&amp;P 500 member? (TRUE/FALSE)</t>
  </si>
  <si>
    <t>Cohort prior</t>
  </si>
  <si>
    <t>Large OR S&amp;P 500 = 0.78 (applied once)</t>
  </si>
  <si>
    <t>Strict beats (b)</t>
  </si>
  <si>
    <t>S2: normalized actual &gt; consensus over six rows; 1Q26 1.88 = 1.88 is not a strict beat</t>
  </si>
  <si>
    <t>Valid pairs n (same basis)</t>
  </si>
  <si>
    <t>All six on company adjusted basis (IS check row)</t>
  </si>
  <si>
    <t>Pseudo-count</t>
  </si>
  <si>
    <t>Playbook fixed regularization</t>
  </si>
  <si>
    <t>Start p = (8*prior+b)/(8+n)</t>
  </si>
  <si>
    <t>Update: guidance-implied EPS</t>
  </si>
  <si>
    <t>Guidance-midpoint-implied EPS (Guidance tab) above 1.95 consensus</t>
  </si>
  <si>
    <t>Update: negative revisions</t>
  </si>
  <si>
    <t>Zacks EPS -0.5%/30d (S15), KeyBanc 1.91 (S17), Morgan Stanley PT cut (S18)</t>
  </si>
  <si>
    <t>Update: inflation/supply/DIY</t>
  </si>
  <si>
    <t>5-6% raw inflation, PO/MDI tightness, soft DIY (S11, S22-S24)</t>
  </si>
  <si>
    <t>Update: strict-beat rule</t>
  </si>
  <si>
    <t>Probability mass at exactly $1.95 (EPS reported to cents)</t>
  </si>
  <si>
    <t>Final P(beat consensus EPS)</t>
  </si>
  <si>
    <t>Linked to Cover and estimate.json</t>
  </si>
  <si>
    <t>medium</t>
  </si>
  <si>
    <t>Point estimate within ~1.5% of consensus; historical $ surprise s.d. ~$0.16</t>
  </si>
  <si>
    <t>Historical surprise mean ($/share)</t>
  </si>
  <si>
    <t>S2 actual less consensus</t>
  </si>
  <si>
    <t>Historical surprise s.d. ($/share)</t>
  </si>
</sst>
</file>

<file path=xl/styles.xml><?xml version="1.0" encoding="utf-8"?>
<styleSheet xmlns="http://schemas.openxmlformats.org/spreadsheetml/2006/main">
  <numFmts count="12">
    <numFmt numFmtId="164" formatCode="#,##0.0_);(#,##0.0);&quot;–&quot;_)"/>
    <numFmt numFmtId="165" formatCode="0.0%_);(0.0%);&quot;–&quot;_)"/>
    <numFmt numFmtId="166" formatCode="M/d/yyyy"/>
    <numFmt numFmtId="167" formatCode="$0.00_);($0.00);&quot;–&quot;_)"/>
    <numFmt numFmtId="168" formatCode="yyyy-mm-dd"/>
    <numFmt numFmtId="169" formatCode="#,##0_);(#,##0);&quot;–&quot;_)"/>
    <numFmt numFmtId="170" formatCode="0"/>
    <numFmt numFmtId="171" formatCode="0.0x"/>
    <numFmt numFmtId="172" formatCode="0.00"/>
    <numFmt numFmtId="173" formatCode="General"/>
    <numFmt numFmtId="174" formatCode="0.00%_);(0.00%);&quot;–&quot;_)"/>
    <numFmt numFmtId="175" formatCode="0.0%_);(0.0%);0.0%_)"/>
  </numFmts>
  <fonts count="23">
    <font>
      <sz val="11"/>
      <name val="Calibri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/>
      <i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3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general" vertical="top" wrapText="1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5" fillId="2" borderId="1" xfId="0" applyFont="1" applyFill="1" applyBorder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0" fontId="3" fillId="2" borderId="2" xfId="0" applyFont="1" applyFill="1" applyBorder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top" wrapText="1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top" wrapText="1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0" fontId="5" fillId="2" borderId="3" xfId="0" applyFont="1" applyFill="1" applyBorder="1" applyAlignment="1" applyProtection="1">
      <alignment horizontal="right" vertical="bottom"/>
      <protection locked="1" hidden="0"/>
    </xf>
    <xf numFmtId="164" fontId="5" fillId="3" borderId="1" xfId="0" applyNumberFormat="1" applyFont="1" applyFill="1" applyBorder="1" applyAlignment="1" applyProtection="1">
      <alignment horizontal="right" vertical="bottom"/>
      <protection locked="1" hidden="0"/>
    </xf>
    <xf numFmtId="167" fontId="3" fillId="0" borderId="0" xfId="0" applyNumberFormat="1" applyFont="1" applyFill="1" applyAlignment="1" applyProtection="1">
      <alignment horizontal="right" vertical="bottom"/>
      <protection locked="1" hidden="0"/>
    </xf>
    <xf numFmtId="0" fontId="5" fillId="2" borderId="1" xfId="0" applyFont="1" applyFill="1" applyBorder="1" applyAlignment="1" applyProtection="1">
      <alignment horizontal="general" vertical="bottom"/>
      <protection locked="1" hidden="0"/>
    </xf>
    <xf numFmtId="0" fontId="5" fillId="2" borderId="3" xfId="0" applyFont="1" applyFill="1" applyBorder="1" applyAlignment="1" applyProtection="1">
      <alignment horizontal="right" vertical="bottom" wrapText="1"/>
      <protection locked="1" hidden="0"/>
    </xf>
    <xf numFmtId="168" fontId="4" fillId="2" borderId="0" xfId="0" applyNumberFormat="1" applyFont="1" applyFill="1" applyAlignment="1" applyProtection="1">
      <alignment horizontal="righ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3" xfId="0" applyFont="1" applyFill="1" applyBorder="1" applyAlignment="1" applyProtection="1">
      <alignment horizontal="general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 indent="1"/>
      <protection locked="1" hidden="0"/>
    </xf>
    <xf numFmtId="164" fontId="5" fillId="0" borderId="1" xfId="0" applyNumberFormat="1" applyFont="1" applyFill="1" applyBorder="1" applyAlignment="1" applyProtection="1">
      <alignment horizontal="right" vertical="bottom"/>
      <protection locked="1" hidden="0"/>
    </xf>
    <xf numFmtId="0" fontId="8" fillId="0" borderId="1" xfId="0" applyFont="1" applyFill="1" applyBorder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4" fontId="2" fillId="0" borderId="1" xfId="0" applyNumberFormat="1" applyFont="1" applyFill="1" applyBorder="1" applyAlignment="1" applyProtection="1">
      <alignment horizontal="right" vertical="bottom"/>
      <protection locked="1" hidden="0"/>
    </xf>
    <xf numFmtId="167" fontId="6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3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69" fontId="7" fillId="0" borderId="0" xfId="0" applyNumberFormat="1" applyFont="1" applyFill="1" applyAlignment="1" applyProtection="1">
      <alignment horizontal="right" vertical="bottom"/>
      <protection locked="1" hidden="0"/>
    </xf>
    <xf numFmtId="0" fontId="3" fillId="3" borderId="0" xfId="0" applyFont="1" applyFill="1" applyAlignment="1" applyProtection="1">
      <alignment horizontal="general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5" fontId="7" fillId="3" borderId="0" xfId="0" applyNumberFormat="1" applyFont="1" applyFill="1" applyAlignment="1" applyProtection="1">
      <alignment horizontal="right" vertical="bottom"/>
      <protection locked="1" hidden="0"/>
    </xf>
    <xf numFmtId="170" fontId="4" fillId="3" borderId="2" xfId="0" applyNumberFormat="1" applyFont="1" applyFill="1" applyBorder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7" fontId="6" fillId="3" borderId="0" xfId="0" applyNumberFormat="1" applyFont="1" applyFill="1" applyAlignment="1" applyProtection="1">
      <alignment horizontal="right" vertical="bottom"/>
      <protection locked="1" hidden="0"/>
    </xf>
    <xf numFmtId="170" fontId="4" fillId="2" borderId="2" xfId="0" applyNumberFormat="1" applyFont="1" applyFill="1" applyBorder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165" fontId="7" fillId="0" borderId="0" xfId="0" applyNumberFormat="1" applyFont="1" applyFill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4" fontId="2" fillId="3" borderId="1" xfId="0" applyNumberFormat="1" applyFont="1" applyFill="1" applyBorder="1" applyAlignment="1" applyProtection="1">
      <alignment horizontal="right" vertical="bottom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65" fontId="8" fillId="0" borderId="1" xfId="0" applyNumberFormat="1" applyFont="1" applyFill="1" applyBorder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general" vertical="bottom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165" fontId="11" fillId="0" borderId="1" xfId="0" applyNumberFormat="1" applyFont="1" applyFill="1" applyBorder="1" applyAlignment="1" applyProtection="1">
      <alignment horizontal="right" vertical="bottom"/>
      <protection locked="1" hidden="0"/>
    </xf>
    <xf numFmtId="0" fontId="5" fillId="3" borderId="0" xfId="0" applyFont="1" applyFill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0" fontId="5" fillId="3" borderId="1" xfId="0" applyFont="1" applyFill="1" applyBorder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9" fontId="7" fillId="3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67" fontId="4" fillId="3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 indent="1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 indent="1"/>
      <protection locked="1" hidden="0"/>
    </xf>
    <xf numFmtId="165" fontId="8" fillId="3" borderId="1" xfId="0" applyNumberFormat="1" applyFont="1" applyFill="1" applyBorder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right" vertical="top" wrapText="1"/>
      <protection locked="1" hidden="0"/>
    </xf>
    <xf numFmtId="167" fontId="5" fillId="0" borderId="1" xfId="0" applyNumberFormat="1" applyFont="1" applyFill="1" applyBorder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top" wrapText="1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top" wrapText="1"/>
      <protection locked="1" hidden="0"/>
    </xf>
    <xf numFmtId="0" fontId="4" fillId="0" borderId="0" xfId="0" applyFont="1" applyFill="1" applyAlignment="1" applyProtection="1">
      <alignment horizontal="right" vertical="top" wrapText="1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5" fontId="9" fillId="3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164" fontId="12" fillId="0" borderId="1" xfId="0" applyNumberFormat="1" applyFont="1" applyFill="1" applyBorder="1" applyAlignment="1" applyProtection="1">
      <alignment horizontal="right" vertical="bottom"/>
      <protection locked="1" hidden="0"/>
    </xf>
    <xf numFmtId="167" fontId="9" fillId="0" borderId="0" xfId="0" applyNumberFormat="1" applyFont="1" applyFill="1" applyAlignment="1" applyProtection="1">
      <alignment horizontal="right" vertical="bottom"/>
      <protection locked="1" hidden="0"/>
    </xf>
    <xf numFmtId="167" fontId="3" fillId="0" borderId="0" xfId="0" applyNumberFormat="1" applyFont="1" applyFill="1" applyAlignment="1" applyProtection="1">
      <alignment horizontal="right" vertical="top" wrapText="1"/>
      <protection locked="1" hidden="0"/>
    </xf>
    <xf numFmtId="167" fontId="12" fillId="0" borderId="1" xfId="0" applyNumberFormat="1" applyFont="1" applyFill="1" applyBorder="1" applyAlignment="1" applyProtection="1">
      <alignment horizontal="right" vertical="bottom"/>
      <protection locked="1" hidden="0"/>
    </xf>
    <xf numFmtId="0" fontId="5" fillId="0" borderId="1" xfId="0" applyFont="1" applyFill="1" applyBorder="1" applyAlignment="1" applyProtection="1">
      <alignment horizontal="general" vertical="top" wrapText="1"/>
      <protection locked="1" hidden="0"/>
    </xf>
    <xf numFmtId="0" fontId="5" fillId="0" borderId="1" xfId="0" applyFont="1" applyFill="1" applyBorder="1" applyAlignment="1" applyProtection="1">
      <alignment horizontal="general" vertical="bottom"/>
      <protection locked="1" hidden="0"/>
    </xf>
    <xf numFmtId="0" fontId="5" fillId="2" borderId="3" xfId="0" applyFont="1" applyFill="1" applyBorder="1" applyAlignment="1" applyProtection="1">
      <alignment horizontal="right" vertical="top" wrapText="1"/>
      <protection locked="1" hidden="0"/>
    </xf>
    <xf numFmtId="164" fontId="3" fillId="0" borderId="0" xfId="0" applyNumberFormat="1" applyFont="1" applyFill="1" applyAlignment="1" applyProtection="1">
      <alignment horizontal="right" vertical="top" wrapText="1"/>
      <protection locked="1" hidden="0"/>
    </xf>
    <xf numFmtId="168" fontId="4" fillId="0" borderId="0" xfId="0" applyNumberFormat="1" applyFont="1" applyFill="1" applyAlignment="1" applyProtection="1">
      <alignment horizontal="right" vertical="top" wrapText="1"/>
      <protection locked="1" hidden="0"/>
    </xf>
    <xf numFmtId="168" fontId="4" fillId="0" borderId="0" xfId="0" applyNumberFormat="1" applyFont="1" applyFill="1" applyAlignment="1" applyProtection="1">
      <alignment horizontal="general" vertical="bottom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169" fontId="4" fillId="0" borderId="0" xfId="0" applyNumberFormat="1" applyFont="1" applyFill="1" applyAlignment="1" applyProtection="1">
      <alignment horizontal="right" vertical="top" wrapText="1"/>
      <protection locked="1" hidden="0"/>
    </xf>
    <xf numFmtId="165" fontId="9" fillId="0" borderId="0" xfId="0" applyNumberFormat="1" applyFont="1" applyFill="1" applyAlignment="1" applyProtection="1">
      <alignment horizontal="right" vertical="top" wrapText="1"/>
      <protection locked="1" hidden="0"/>
    </xf>
    <xf numFmtId="169" fontId="4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top" wrapText="1"/>
      <protection locked="1" hidden="0"/>
    </xf>
    <xf numFmtId="170" fontId="4" fillId="0" borderId="0" xfId="0" applyNumberFormat="1" applyFont="1" applyFill="1" applyAlignment="1" applyProtection="1">
      <alignment horizontal="right" vertical="top" wrapText="1"/>
      <protection locked="1" hidden="0"/>
    </xf>
    <xf numFmtId="169" fontId="3" fillId="0" borderId="0" xfId="0" applyNumberFormat="1" applyFont="1" applyFill="1" applyAlignment="1" applyProtection="1">
      <alignment horizontal="right" vertical="top" wrapText="1"/>
      <protection locked="1" hidden="0"/>
    </xf>
    <xf numFmtId="172" fontId="4" fillId="0" borderId="0" xfId="0" applyNumberFormat="1" applyFont="1" applyFill="1" applyAlignment="1" applyProtection="1">
      <alignment horizontal="right" vertical="top" wrapText="1"/>
      <protection locked="1" hidden="0"/>
    </xf>
    <xf numFmtId="167" fontId="5" fillId="3" borderId="1" xfId="0" applyNumberFormat="1" applyFont="1" applyFill="1" applyBorder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5" fontId="8" fillId="0" borderId="1" xfId="0" applyNumberFormat="1" applyFont="1" applyFill="1" applyBorder="1" applyAlignment="1" applyProtection="1">
      <alignment horizontal="right" vertical="top" wrapText="1"/>
      <protection locked="1" hidden="0"/>
    </xf>
    <xf numFmtId="164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4" fillId="2" borderId="3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3" fontId="15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4" fillId="2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4" fillId="2" borderId="3" xfId="0" applyNumberFormat="1" applyFont="1" applyFill="1" applyBorder="1" applyAlignment="1" applyProtection="1">
      <alignment horizontal="left" vertical="top" textRotation="0" wrapText="1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3" fontId="21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3" fontId="22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4" fontId="20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19050</xdr:colOff>
      <xdr:row>0</xdr:row>
      <xdr:rowOff>19050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showGridLines="0" tabSelected="1" workbookViewId="0"/>
  </sheetViews>
  <sheetFormatPr defaultRowHeight="15"/>
  <cols>
    <col min="1" max="1" width="32" customWidth="1"/>
    <col min="2" max="3" width="18" customWidth="1"/>
    <col min="4" max="5" width="12" customWidth="1"/>
    <col min="6" max="6" width="16" customWidth="1"/>
    <col min="7" max="7" width="14" customWidth="1"/>
  </cols>
  <sheetData>
    <row r="1">
      <c r="A1" s="4"/>
      <c r="B1" s="49" t="s">
        <v>0</v>
      </c>
      <c r="C1" s="4"/>
      <c r="D1" s="4"/>
      <c r="E1" s="4"/>
      <c r="F1" s="4"/>
      <c r="G1" s="4"/>
    </row>
    <row r="2">
      <c r="A2" s="4"/>
      <c r="B2" s="7" t="s">
        <v>1</v>
      </c>
      <c r="C2" s="4"/>
      <c r="D2" s="4"/>
      <c r="E2" s="4"/>
      <c r="F2" s="4"/>
      <c r="G2" s="4"/>
    </row>
    <row r="3">
      <c r="A3" s="4"/>
      <c r="B3" s="5" t="s">
        <v>2</v>
      </c>
      <c r="C3" s="4"/>
      <c r="D3" s="4"/>
      <c r="E3" s="4"/>
      <c r="F3" s="4"/>
      <c r="G3" s="4"/>
    </row>
    <row r="4">
      <c r="A4" s="21" t="s">
        <v>3</v>
      </c>
      <c r="B4" s="8" t="s">
        <v>4</v>
      </c>
      <c r="C4" s="21"/>
      <c r="D4" s="21"/>
      <c r="E4" s="21"/>
      <c r="F4" s="21"/>
      <c r="G4" s="21"/>
    </row>
    <row r="5">
      <c r="A5" s="15" t="s">
        <v>5</v>
      </c>
      <c r="B5" s="23">
        <v>46265</v>
      </c>
      <c r="C5" s="15"/>
      <c r="D5" s="15"/>
      <c r="E5" s="15"/>
      <c r="F5" s="15"/>
      <c r="G5" s="15"/>
    </row>
    <row r="6">
      <c r="A6" s="11" t="s">
        <v>6</v>
      </c>
      <c r="B6" s="46">
        <v>92</v>
      </c>
      <c r="C6" s="11"/>
      <c r="D6" s="11"/>
      <c r="E6" s="11"/>
      <c r="F6" s="11"/>
      <c r="G6" s="11"/>
    </row>
    <row r="7">
      <c r="A7" s="4"/>
      <c r="B7" s="4"/>
      <c r="C7" s="4"/>
      <c r="D7" s="4"/>
      <c r="E7" s="4"/>
      <c r="F7" s="4"/>
      <c r="G7" s="4"/>
    </row>
    <row r="8">
      <c r="A8" s="4" t="s">
        <v>7</v>
      </c>
      <c r="B8" s="47" t="s">
        <v>8</v>
      </c>
      <c r="C8" s="4"/>
      <c r="D8" s="4"/>
      <c r="E8" s="4"/>
      <c r="F8" s="4"/>
      <c r="G8" s="4"/>
    </row>
    <row r="9">
      <c r="A9" s="4" t="s">
        <v>9</v>
      </c>
      <c r="B9" s="47" t="s">
        <v>10</v>
      </c>
      <c r="C9" s="4"/>
      <c r="D9" s="4"/>
      <c r="E9" s="4"/>
      <c r="F9" s="4"/>
      <c r="G9" s="4"/>
    </row>
    <row r="10">
      <c r="A10" s="4" t="s">
        <v>11</v>
      </c>
      <c r="B10" s="47" t="s">
        <v>12</v>
      </c>
      <c r="C10" s="4"/>
      <c r="D10" s="4"/>
      <c r="E10" s="4"/>
      <c r="F10" s="4"/>
      <c r="G10" s="4"/>
    </row>
    <row r="11">
      <c r="A11" s="4" t="s">
        <v>13</v>
      </c>
      <c r="B11" s="47" t="s">
        <v>14</v>
      </c>
      <c r="C11" s="4"/>
      <c r="D11" s="4"/>
      <c r="E11" s="4"/>
      <c r="F11" s="4"/>
      <c r="G11" s="4"/>
    </row>
    <row r="12">
      <c r="A12" s="4" t="s">
        <v>15</v>
      </c>
      <c r="B12" s="47" t="s">
        <v>16</v>
      </c>
      <c r="C12" s="4"/>
      <c r="D12" s="4"/>
      <c r="E12" s="4"/>
      <c r="F12" s="4"/>
      <c r="G12" s="4"/>
    </row>
    <row r="13">
      <c r="A13" s="4" t="s">
        <v>17</v>
      </c>
      <c r="B13" s="47" t="s">
        <v>18</v>
      </c>
      <c r="C13" s="4"/>
      <c r="D13" s="4"/>
      <c r="E13" s="4"/>
      <c r="F13" s="4"/>
      <c r="G13" s="4"/>
    </row>
    <row r="14">
      <c r="A14" s="4" t="s">
        <v>19</v>
      </c>
      <c r="B14" s="47" t="s">
        <v>20</v>
      </c>
      <c r="C14" s="4"/>
      <c r="D14" s="4"/>
      <c r="E14" s="4"/>
      <c r="F14" s="4"/>
      <c r="G14" s="4"/>
    </row>
    <row r="15">
      <c r="A15" s="4" t="s">
        <v>21</v>
      </c>
      <c r="B15" s="47" t="s">
        <v>22</v>
      </c>
      <c r="C15" s="4"/>
      <c r="D15" s="4"/>
      <c r="E15" s="4"/>
      <c r="F15" s="4"/>
      <c r="G15" s="4"/>
    </row>
    <row r="16">
      <c r="A16" s="4" t="s">
        <v>23</v>
      </c>
      <c r="B16" s="9">
        <f>Inputs!B120</f>
        <v>12660.909169999999</v>
      </c>
      <c r="C16" s="4"/>
      <c r="D16" s="4"/>
      <c r="E16" s="4"/>
      <c r="F16" s="4"/>
      <c r="G16" s="4"/>
    </row>
    <row r="17">
      <c r="A17" s="4" t="s">
        <v>24</v>
      </c>
      <c r="B17" s="44" t="str">
        <f>Inputs!B122</f>
        <v>S&amp;P MidCap 400 (not S&amp;P 500)</v>
      </c>
      <c r="C17" s="4"/>
      <c r="D17" s="4"/>
      <c r="E17" s="4"/>
      <c r="F17" s="4"/>
      <c r="G17" s="4"/>
    </row>
    <row r="18">
      <c r="A18" s="4"/>
      <c r="B18" s="4"/>
      <c r="C18" s="4"/>
      <c r="D18" s="4"/>
      <c r="E18" s="4"/>
      <c r="F18" s="4"/>
      <c r="G18" s="4"/>
    </row>
    <row r="19" ht="33">
      <c r="A19" s="25" t="s">
        <v>25</v>
      </c>
      <c r="B19" s="22" t="s">
        <v>26</v>
      </c>
      <c r="C19" s="22" t="s">
        <v>27</v>
      </c>
      <c r="D19" s="22" t="s">
        <v>28</v>
      </c>
      <c r="E19" s="22" t="s">
        <v>29</v>
      </c>
      <c r="F19" s="22" t="s">
        <v>30</v>
      </c>
      <c r="G19" s="22" t="s">
        <v>31</v>
      </c>
    </row>
    <row r="20">
      <c r="A20" s="4" t="s">
        <v>32</v>
      </c>
      <c r="B20" s="10">
        <f>'Income Statement'!G9</f>
        <v>2211.9018784024643</v>
      </c>
      <c r="C20" s="9">
        <f>Inputs!B110</f>
        <v>2222.57</v>
      </c>
      <c r="D20" s="13">
        <f>IF(ISNUMBER(C20),B20-C20,"n.a.")</f>
        <v>-10.668121597535901</v>
      </c>
      <c r="E20" s="3">
        <f>IF(ISNUMBER(C20),B20/C20-1,"n.a.")</f>
        <v>-0.00479990353398807</v>
      </c>
      <c r="F20" s="9">
        <f>Guidance!D37</f>
        <v>2219.43015</v>
      </c>
      <c r="G20" s="13">
        <f>IF(ISNUMBER(F20),B20-F20,"n.a.")</f>
        <v>-7.528271597535877</v>
      </c>
    </row>
    <row r="21">
      <c r="A21" s="4" t="s">
        <v>33</v>
      </c>
      <c r="B21" s="10">
        <f>'Income Statement'!G148</f>
        <v>251.4005679113113</v>
      </c>
      <c r="C21" s="9">
        <f>Inputs!B111</f>
        <v>247</v>
      </c>
      <c r="D21" s="13">
        <f>IF(ISNUMBER(C21),B21-C21,"n.a.")</f>
        <v>4.400567911311299</v>
      </c>
      <c r="E21" s="3">
        <f>IF(ISNUMBER(C21),B21/C21-1,"n.a.")</f>
        <v>0.017816064418264332</v>
      </c>
      <c r="F21" s="9">
        <f>Guidance!D43</f>
        <v>252.08872559999995</v>
      </c>
      <c r="G21" s="13">
        <f>IF(ISNUMBER(F21),B21-F21,"n.a.")</f>
        <v>-0.6881576886886478</v>
      </c>
    </row>
    <row r="22">
      <c r="A22" s="4" t="s">
        <v>34</v>
      </c>
      <c r="B22" s="45">
        <f>'Income Statement'!G150</f>
        <v>1.974731543877536</v>
      </c>
      <c r="C22" s="32">
        <f>Inputs!B106</f>
        <v>1.95</v>
      </c>
      <c r="D22" s="20">
        <f>IF(ISNUMBER(C22),B22-C22,"n.a.")</f>
        <v>0.024731543877535955</v>
      </c>
      <c r="E22" s="3">
        <f>IF(ISNUMBER(C22),B22/C22-1,"n.a.")</f>
        <v>0.012682843014121037</v>
      </c>
      <c r="F22" s="32">
        <f>Guidance!D44</f>
        <v>1.980136968003287</v>
      </c>
      <c r="G22" s="20">
        <f>IF(ISNUMBER(F22),B22-F22,"n.a.")</f>
        <v>-0.005405424125751068</v>
      </c>
    </row>
    <row r="23">
      <c r="A23" s="4" t="s">
        <v>35</v>
      </c>
      <c r="B23" s="10">
        <f>'Income Statement'!G61</f>
        <v>242.25656791131132</v>
      </c>
      <c r="C23" s="9">
        <f>Inputs!B112</f>
        <v>247.97</v>
      </c>
      <c r="D23" s="13">
        <f>IF(ISNUMBER(C23),B23-C23,"n.a.")</f>
        <v>-5.713432088688677</v>
      </c>
      <c r="E23" s="3">
        <f>IF(ISNUMBER(C23),B23/C23-1,"n.a.")</f>
        <v>-0.02304081981162509</v>
      </c>
      <c r="F23" s="17" t="s">
        <v>36</v>
      </c>
      <c r="G23" s="13" t="str">
        <f>IF(ISNUMBER(F23),B23-F23,"n.a.")</f>
        <v>n.a.</v>
      </c>
    </row>
    <row r="24">
      <c r="A24" s="4" t="s">
        <v>37</v>
      </c>
      <c r="B24" s="45">
        <f>'Income Statement'!G72</f>
        <v>1.902906148305692</v>
      </c>
      <c r="C24" s="32">
        <f>Inputs!B113</f>
        <v>1.94</v>
      </c>
      <c r="D24" s="20">
        <f>IF(ISNUMBER(C24),B24-C24,"n.a.")</f>
        <v>-0.03709385169430801</v>
      </c>
      <c r="E24" s="3">
        <f>IF(ISNUMBER(C24),B24/C24-1,"n.a.")</f>
        <v>-0.019120542110468097</v>
      </c>
      <c r="F24" s="62" t="s">
        <v>36</v>
      </c>
      <c r="G24" s="20" t="str">
        <f>IF(ISNUMBER(F24),B24-F24,"n.a.")</f>
        <v>n.a.</v>
      </c>
    </row>
    <row r="25">
      <c r="A25" s="4" t="s">
        <v>38</v>
      </c>
      <c r="B25" s="10">
        <f>'Income Statement'!G95</f>
        <v>407.81570592035604</v>
      </c>
      <c r="C25" s="9">
        <f>Inputs!B114</f>
        <v>407.1</v>
      </c>
      <c r="D25" s="13">
        <f>IF(ISNUMBER(C25),B25-C25,"n.a.")</f>
        <v>0.7157059203560152</v>
      </c>
      <c r="E25" s="3">
        <f>IF(ISNUMBER(C25),B25/C25-1,"n.a.")</f>
        <v>0.0017580592492163483</v>
      </c>
      <c r="F25" s="9">
        <f>Guidance!D40</f>
        <v>408.71879999999993</v>
      </c>
      <c r="G25" s="13">
        <f>IF(ISNUMBER(F25),B25-F25,"n.a.")</f>
        <v>-0.9030940796438927</v>
      </c>
    </row>
    <row r="26">
      <c r="A26" s="60" t="s">
        <v>39</v>
      </c>
      <c r="B26" s="57">
        <f>Inputs!B133</f>
        <v>0.57</v>
      </c>
      <c r="C26" s="29"/>
      <c r="D26" s="29"/>
      <c r="E26" s="29"/>
      <c r="F26" s="29"/>
      <c r="G26" s="29"/>
    </row>
    <row r="27">
      <c r="A27" s="7" t="s">
        <v>40</v>
      </c>
      <c r="B27" s="115" t="str">
        <f>Inputs!B134</f>
        <v>medium</v>
      </c>
      <c r="C27" s="7"/>
      <c r="D27" s="7"/>
      <c r="E27" s="7"/>
      <c r="F27" s="7"/>
      <c r="G27" s="7"/>
    </row>
    <row r="28">
      <c r="A28" s="4" t="s">
        <v>41</v>
      </c>
      <c r="B28" s="50">
        <f>Inputs!B107</f>
        <v>15</v>
      </c>
      <c r="C28" s="4"/>
      <c r="D28" s="4"/>
      <c r="E28" s="4"/>
      <c r="F28" s="4"/>
      <c r="G28" s="4"/>
    </row>
    <row r="29">
      <c r="A29" s="4" t="s">
        <v>42</v>
      </c>
      <c r="B29" s="32">
        <f>Inputs!B108</f>
        <v>1.99</v>
      </c>
      <c r="C29" s="32">
        <f>Inputs!B109</f>
        <v>1.89</v>
      </c>
      <c r="D29" s="4"/>
      <c r="E29" s="4"/>
      <c r="F29" s="4"/>
      <c r="G29" s="4"/>
    </row>
    <row r="30">
      <c r="A30" s="7" t="s">
        <v>43</v>
      </c>
      <c r="B30" s="114" t="str">
        <f>IF(AND('Revenue summary'!G51,'Segment - CPG'!G136,'Segment - PCG'!G137,'Segment - Consumer'!G137,'Income Statement'!G201,'Balance Sheet'!G64,'Cash Flow Statement'!G123,Geo!G49),"PASS","FAIL")</f>
        <v>PASS</v>
      </c>
      <c r="C30" s="7"/>
      <c r="D30" s="7"/>
      <c r="E30" s="7"/>
      <c r="F30" s="7"/>
      <c r="G30" s="7"/>
    </row>
    <row r="31">
      <c r="A31" s="5" t="s">
        <v>44</v>
      </c>
      <c r="B31" s="40" t="s">
        <v>45</v>
      </c>
      <c r="C31" s="40" t="s">
        <v>45</v>
      </c>
      <c r="D31" s="5"/>
      <c r="E31" s="5"/>
      <c r="F31" s="5"/>
      <c r="G31" s="5"/>
    </row>
    <row r="32">
      <c r="A32" s="4"/>
      <c r="B32" s="4"/>
      <c r="C32" s="4"/>
      <c r="D32" s="4"/>
      <c r="E32" s="4"/>
      <c r="F32" s="4"/>
      <c r="G32" s="4"/>
    </row>
    <row r="33">
      <c r="A33" s="5" t="s">
        <v>46</v>
      </c>
      <c r="B33" s="5"/>
      <c r="C33" s="5"/>
      <c r="D33" s="5"/>
      <c r="E33" s="5"/>
      <c r="F33" s="5"/>
      <c r="G33" s="5"/>
    </row>
    <row r="34">
      <c r="A34" s="5" t="s">
        <v>47</v>
      </c>
      <c r="B34" s="4"/>
      <c r="C34" s="4"/>
      <c r="D34" s="4"/>
      <c r="E34" s="4"/>
      <c r="F34" s="4"/>
      <c r="G34" s="4"/>
    </row>
    <row r="35">
      <c r="A35" s="4"/>
      <c r="B35" s="4"/>
      <c r="C35" s="4"/>
      <c r="D35" s="4"/>
      <c r="E35" s="4"/>
      <c r="F35" s="4"/>
      <c r="G35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48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55</v>
      </c>
      <c r="B8" s="4"/>
      <c r="C8" s="4"/>
      <c r="D8" s="4"/>
      <c r="E8" s="4"/>
      <c r="F8" s="4"/>
      <c r="G8" s="39"/>
      <c r="H8" s="5"/>
    </row>
    <row r="9">
      <c r="A9" s="27" t="s">
        <v>56</v>
      </c>
      <c r="B9" s="9">
        <f>'Segment - CPG'!B27</f>
        <v>881.446</v>
      </c>
      <c r="C9" s="9">
        <f>'Segment - CPG'!C27</f>
        <v>737.439</v>
      </c>
      <c r="D9" s="9">
        <f>'Segment - CPG'!D27</f>
        <v>546.665</v>
      </c>
      <c r="E9" s="9">
        <f>'Segment - CPG'!E27</f>
        <v>904.235</v>
      </c>
      <c r="F9" s="9">
        <f>'Segment - CPG'!F27</f>
        <v>3069.785</v>
      </c>
      <c r="G9" s="10">
        <f>'Segment - CPG'!G27</f>
        <v>938.4135588141442</v>
      </c>
      <c r="H9" s="5"/>
    </row>
    <row r="10">
      <c r="A10" s="16" t="s">
        <v>57</v>
      </c>
      <c r="B10" s="48">
        <f>'Segment - CPG'!B28</f>
        <v>0.0645405951164606</v>
      </c>
      <c r="C10" s="48">
        <f>'Segment - CPG'!C28</f>
        <v>0.02355694292729571</v>
      </c>
      <c r="D10" s="48">
        <f>'Segment - CPG'!D28</f>
        <v>0.10471965969141839</v>
      </c>
      <c r="E10" s="48">
        <f>'Segment - CPG'!E28</f>
        <v>0.08795332641908526</v>
      </c>
      <c r="F10" s="48">
        <f>'Segment - CPG'!F28</f>
        <v>0.06795486583181765</v>
      </c>
      <c r="G10" s="41">
        <f>'Segment - CPG'!G28</f>
        <v>0.06462966400000014</v>
      </c>
      <c r="H10" s="5"/>
    </row>
    <row r="11">
      <c r="A11" s="16" t="s">
        <v>58</v>
      </c>
      <c r="B11" s="48">
        <f>'Segment - CPG'!B30</f>
        <v>0.060534161759716154</v>
      </c>
      <c r="C11" s="48">
        <f>'Segment - CPG'!C30</f>
        <v>-0.16337586193595532</v>
      </c>
      <c r="D11" s="48">
        <f>'Segment - CPG'!D30</f>
        <v>-0.2586980075640155</v>
      </c>
      <c r="E11" s="48">
        <f>'Segment - CPG'!E30</f>
        <v>0.654093457602005</v>
      </c>
      <c r="F11" s="3"/>
      <c r="G11" s="41">
        <f>'Segment - CPG'!G30</f>
        <v>0.03779831439188275</v>
      </c>
      <c r="H11" s="5"/>
    </row>
    <row r="12">
      <c r="A12" s="16" t="s">
        <v>59</v>
      </c>
      <c r="B12" s="3">
        <f>B9/B28</f>
        <v>0.41700717636912343</v>
      </c>
      <c r="C12" s="3">
        <f>C9/C28</f>
        <v>0.3861149434916579</v>
      </c>
      <c r="D12" s="3">
        <f>D9/D28</f>
        <v>0.33997657885915533</v>
      </c>
      <c r="E12" s="3">
        <f>E9/E28</f>
        <v>0.40515315872365115</v>
      </c>
      <c r="F12" s="3">
        <f>F9/F28</f>
        <v>0.3903879252569683</v>
      </c>
      <c r="G12" s="30">
        <f>G9/G28</f>
        <v>0.4242564138929657</v>
      </c>
      <c r="H12" s="5"/>
    </row>
    <row r="13">
      <c r="A13" s="33" t="s">
        <v>60</v>
      </c>
      <c r="B13" s="36">
        <f>(B12-'Segment - CPG'!E117/E35)*10000</f>
        <v>178.02574969010553</v>
      </c>
      <c r="C13" s="36">
        <f>(C12-B12)*10000</f>
        <v>-308.9223287746551</v>
      </c>
      <c r="D13" s="36">
        <f>(D12-C12)*10000</f>
        <v>-461.38364632502595</v>
      </c>
      <c r="E13" s="36">
        <f>(E12-D12)*10000</f>
        <v>651.7657986449582</v>
      </c>
      <c r="F13" s="36"/>
      <c r="G13" s="35">
        <f>(G12-E12)*10000</f>
        <v>191.03255169314548</v>
      </c>
      <c r="H13" s="5"/>
    </row>
    <row r="14">
      <c r="A14" s="33" t="s">
        <v>61</v>
      </c>
      <c r="B14" s="38">
        <f>(B12-'Segment - CPG'!B117/B35)*10000</f>
        <v>-35.58968606290402</v>
      </c>
      <c r="C14" s="38">
        <f>(C12-'Segment - CPG'!C117/C35)*10000</f>
        <v>-43.147818998464096</v>
      </c>
      <c r="D14" s="38">
        <f>(D12-'Segment - CPG'!D117/D35)*10000</f>
        <v>48.43343681763479</v>
      </c>
      <c r="E14" s="38">
        <f>(E12-'Segment - CPG'!E117/E35)*10000</f>
        <v>59.48557323538273</v>
      </c>
      <c r="F14" s="38">
        <f>(F12-'Segment - CPG'!F117/F35)*10000</f>
        <v>5.071714866791144</v>
      </c>
      <c r="G14" s="67">
        <f>(G12-'Segment - CPG'!G117/G35)*10000</f>
        <v>72.49237523842267</v>
      </c>
      <c r="H14" s="5"/>
    </row>
    <row r="15">
      <c r="A15" s="27" t="s">
        <v>62</v>
      </c>
      <c r="B15" s="9">
        <f>'Segment - PCG'!B27</f>
        <v>538.478</v>
      </c>
      <c r="C15" s="9">
        <f>'Segment - PCG'!C27</f>
        <v>533.806</v>
      </c>
      <c r="D15" s="9">
        <f>'Segment - PCG'!D27</f>
        <v>496.829</v>
      </c>
      <c r="E15" s="9">
        <f>'Segment - PCG'!E27</f>
        <v>562.801</v>
      </c>
      <c r="F15" s="9">
        <f>'Segment - PCG'!F27</f>
        <v>2131.914</v>
      </c>
      <c r="G15" s="10">
        <f>'Segment - PCG'!G27</f>
        <v>562.27144737744</v>
      </c>
      <c r="H15" s="5"/>
    </row>
    <row r="16">
      <c r="A16" s="16" t="s">
        <v>57</v>
      </c>
      <c r="B16" s="48">
        <f>'Segment - PCG'!B28</f>
        <v>0.099024410155931</v>
      </c>
      <c r="C16" s="48">
        <f>'Segment - PCG'!C28</f>
        <v>0.04415812030178157</v>
      </c>
      <c r="D16" s="48">
        <f>'Segment - PCG'!D28</f>
        <v>0.0837856114480171</v>
      </c>
      <c r="E16" s="48">
        <f>'Segment - PCG'!E28</f>
        <v>0.04960043267034053</v>
      </c>
      <c r="F16" s="48">
        <f>'Segment - PCG'!F28</f>
        <v>0.06819165694633189</v>
      </c>
      <c r="G16" s="41">
        <f>'Segment - PCG'!G28</f>
        <v>0.04418648000000025</v>
      </c>
      <c r="H16" s="5"/>
    </row>
    <row r="17">
      <c r="A17" s="16" t="s">
        <v>58</v>
      </c>
      <c r="B17" s="48">
        <f>'Segment - PCG'!B30</f>
        <v>0.004239050363200381</v>
      </c>
      <c r="C17" s="48">
        <f>'Segment - PCG'!C30</f>
        <v>-0.008676306181496618</v>
      </c>
      <c r="D17" s="48">
        <f>'Segment - PCG'!D30</f>
        <v>-0.06927048403352531</v>
      </c>
      <c r="E17" s="48">
        <f>'Segment - PCG'!E30</f>
        <v>0.13278612963413972</v>
      </c>
      <c r="F17" s="3"/>
      <c r="G17" s="41">
        <f>'Segment - PCG'!G30</f>
        <v>-0.0009409233859926092</v>
      </c>
      <c r="H17" s="5"/>
    </row>
    <row r="18">
      <c r="A18" s="16" t="s">
        <v>59</v>
      </c>
      <c r="B18" s="3">
        <f>B15/B28</f>
        <v>0.25475093235081087</v>
      </c>
      <c r="C18" s="3">
        <f>C15/C28</f>
        <v>0.279494946057244</v>
      </c>
      <c r="D18" s="3">
        <f>D15/D28</f>
        <v>0.30898305854227964</v>
      </c>
      <c r="E18" s="3">
        <f>E15/E28</f>
        <v>0.25216962723498826</v>
      </c>
      <c r="F18" s="3">
        <f>F15/F28</f>
        <v>0.2711178415707564</v>
      </c>
      <c r="G18" s="30">
        <f>G15/G28</f>
        <v>0.2542027080258813</v>
      </c>
      <c r="H18" s="5"/>
    </row>
    <row r="19">
      <c r="A19" s="33" t="s">
        <v>60</v>
      </c>
      <c r="B19" s="36">
        <f>(B18-'Segment - PCG'!E118/E35)*10000</f>
        <v>-27.953878499600847</v>
      </c>
      <c r="C19" s="36">
        <f>(C18-B18)*10000</f>
        <v>247.44013706433142</v>
      </c>
      <c r="D19" s="36">
        <f>(D18-C18)*10000</f>
        <v>294.88112485035634</v>
      </c>
      <c r="E19" s="36">
        <f>(E18-D18)*10000</f>
        <v>-568.1343130729139</v>
      </c>
      <c r="F19" s="36"/>
      <c r="G19" s="35">
        <f>(G18-E18)*10000</f>
        <v>20.33080790893038</v>
      </c>
      <c r="H19" s="5"/>
    </row>
    <row r="20">
      <c r="A20" s="33" t="s">
        <v>61</v>
      </c>
      <c r="B20" s="38">
        <f>(B18-'Segment - PCG'!B118/B35)*10000</f>
        <v>58.87290792472216</v>
      </c>
      <c r="C20" s="38">
        <f>(C18-'Segment - PCG'!C118/C35)*10000</f>
        <v>24.52723524325573</v>
      </c>
      <c r="D20" s="38">
        <f>(D18-'Segment - PCG'!D118/D35)*10000</f>
        <v>-14.813852128759407</v>
      </c>
      <c r="E20" s="38">
        <f>(E18-'Segment - PCG'!E118/E35)*10000</f>
        <v>-53.76692965782692</v>
      </c>
      <c r="F20" s="38">
        <f>(F18-'Segment - PCG'!F118/F35)*10000</f>
        <v>4.122439588277738</v>
      </c>
      <c r="G20" s="67">
        <f>(G18-'Segment - PCG'!G118/G35)*10000</f>
        <v>-5.482243249295693</v>
      </c>
      <c r="H20" s="5"/>
    </row>
    <row r="21">
      <c r="A21" s="27" t="s">
        <v>63</v>
      </c>
      <c r="B21" s="9">
        <f>'Segment - Consumer'!B27</f>
        <v>693.819</v>
      </c>
      <c r="C21" s="9">
        <f>'Segment - Consumer'!C27</f>
        <v>638.65</v>
      </c>
      <c r="D21" s="9">
        <f>'Segment - Consumer'!D27</f>
        <v>564.455</v>
      </c>
      <c r="E21" s="9">
        <f>'Segment - Consumer'!E27</f>
        <v>764.799</v>
      </c>
      <c r="F21" s="9">
        <f>'Segment - Consumer'!F27</f>
        <v>2661.723</v>
      </c>
      <c r="G21" s="10">
        <f>'Segment - Consumer'!G27</f>
        <v>711.2168722108801</v>
      </c>
      <c r="H21" s="5"/>
    </row>
    <row r="22">
      <c r="A22" s="16" t="s">
        <v>57</v>
      </c>
      <c r="B22" s="48">
        <f>'Segment - Consumer'!B28</f>
        <v>0.06606404506294328</v>
      </c>
      <c r="C22" s="48">
        <f>'Segment - Consumer'!C28</f>
        <v>0.04079071738209317</v>
      </c>
      <c r="D22" s="48">
        <f>'Segment - Consumer'!D28</f>
        <v>0.0786513203782937</v>
      </c>
      <c r="E22" s="48">
        <f>'Segment - Consumer'!E28</f>
        <v>0.07019377697177309</v>
      </c>
      <c r="F22" s="48">
        <f>'Segment - Consumer'!F28</f>
        <v>0.06367828016253352</v>
      </c>
      <c r="G22" s="41">
        <f>'Segment - Consumer'!G28</f>
        <v>0.02507552000000013</v>
      </c>
      <c r="H22" s="5"/>
    </row>
    <row r="23">
      <c r="A23" s="16" t="s">
        <v>58</v>
      </c>
      <c r="B23" s="48">
        <f>'Segment - Consumer'!B30</f>
        <v>-0.029129514885899987</v>
      </c>
      <c r="C23" s="48">
        <f>'Segment - Consumer'!C30</f>
        <v>-0.07951497436651345</v>
      </c>
      <c r="D23" s="48">
        <f>'Segment - Consumer'!D30</f>
        <v>-0.11617474359978064</v>
      </c>
      <c r="E23" s="48">
        <f>'Segment - Consumer'!E30</f>
        <v>0.3549335199440167</v>
      </c>
      <c r="F23" s="3"/>
      <c r="G23" s="41">
        <f>'Segment - Consumer'!G30</f>
        <v>-0.07006040513797729</v>
      </c>
      <c r="H23" s="5"/>
    </row>
    <row r="24">
      <c r="A24" s="16" t="s">
        <v>59</v>
      </c>
      <c r="B24" s="3">
        <f>B21/B28</f>
        <v>0.32824189128006576</v>
      </c>
      <c r="C24" s="3">
        <f>C21/C28</f>
        <v>0.33439011045109807</v>
      </c>
      <c r="D24" s="3">
        <f>D21/D28</f>
        <v>0.351040362598565</v>
      </c>
      <c r="E24" s="3">
        <f>E21/E28</f>
        <v>0.3426772140413606</v>
      </c>
      <c r="F24" s="3">
        <f>F21/F28</f>
        <v>0.3384942331722754</v>
      </c>
      <c r="G24" s="30">
        <f>G21/G28</f>
        <v>0.321540878081153</v>
      </c>
      <c r="H24" s="5"/>
    </row>
    <row r="25">
      <c r="A25" s="33" t="s">
        <v>60</v>
      </c>
      <c r="B25" s="36">
        <f>(B24-'Segment - Consumer'!E118/E35)*10000</f>
        <v>-150.07187119050468</v>
      </c>
      <c r="C25" s="36">
        <f>(C24-B24)*10000</f>
        <v>61.4821917103231</v>
      </c>
      <c r="D25" s="36">
        <f>(D24-C24)*10000</f>
        <v>166.5025214746696</v>
      </c>
      <c r="E25" s="36">
        <f>(E24-D24)*10000</f>
        <v>-83.63148557204437</v>
      </c>
      <c r="F25" s="36"/>
      <c r="G25" s="35">
        <f>(G24-E24)*10000</f>
        <v>-211.36335960207586</v>
      </c>
      <c r="H25" s="5"/>
    </row>
    <row r="26">
      <c r="A26" s="33" t="s">
        <v>61</v>
      </c>
      <c r="B26" s="38">
        <f>(B24-'Segment - Consumer'!B118/B35)*10000</f>
        <v>-23.28322186181786</v>
      </c>
      <c r="C26" s="38">
        <f>(C24-'Segment - Consumer'!C118/C35)*10000</f>
        <v>18.620583755208365</v>
      </c>
      <c r="D26" s="38">
        <f>(D24-'Segment - Consumer'!D118/D35)*10000</f>
        <v>-33.61958468887649</v>
      </c>
      <c r="E26" s="38">
        <f>(E24-'Segment - Consumer'!E118/E35)*10000</f>
        <v>-5.718643577556359</v>
      </c>
      <c r="F26" s="38">
        <f>(F24-'Segment - Consumer'!F118/F35)*10000</f>
        <v>-9.194154455067771</v>
      </c>
      <c r="G26" s="67">
        <f>(G24-'Segment - Consumer'!G118/G35)*10000</f>
        <v>-67.01013198912753</v>
      </c>
      <c r="H26" s="5"/>
    </row>
    <row r="27">
      <c r="A27" s="7" t="s">
        <v>64</v>
      </c>
      <c r="B27" s="28">
        <f>B9+B15+B21</f>
        <v>2113.743</v>
      </c>
      <c r="C27" s="28">
        <f>C9+C15+C21</f>
        <v>1909.895</v>
      </c>
      <c r="D27" s="28">
        <f>D9+D15+D21</f>
        <v>1607.949</v>
      </c>
      <c r="E27" s="28">
        <f>E9+E15+E21</f>
        <v>2231.835</v>
      </c>
      <c r="F27" s="28">
        <f>F9+F15+F21</f>
        <v>7863.4220000000005</v>
      </c>
      <c r="G27" s="19">
        <f>G9+G15+G21</f>
        <v>2211.9018784024643</v>
      </c>
      <c r="H27" s="5"/>
    </row>
    <row r="28">
      <c r="A28" s="7" t="s">
        <v>65</v>
      </c>
      <c r="B28" s="31">
        <f>'Income Statement'!B9</f>
        <v>2113.743</v>
      </c>
      <c r="C28" s="31">
        <f>'Income Statement'!C9</f>
        <v>1909.895</v>
      </c>
      <c r="D28" s="31">
        <f>'Income Statement'!D9</f>
        <v>1607.949</v>
      </c>
      <c r="E28" s="31">
        <f>'Income Statement'!E9</f>
        <v>2231.835</v>
      </c>
      <c r="F28" s="31">
        <f>'Income Statement'!F9</f>
        <v>7863.422</v>
      </c>
      <c r="G28" s="52">
        <f>'Income Statement'!G9</f>
        <v>2211.9018784024643</v>
      </c>
      <c r="H28" s="5"/>
    </row>
    <row r="29">
      <c r="A29" s="66" t="s">
        <v>57</v>
      </c>
      <c r="B29" s="3">
        <f>IF(B35=0,"n.a.",B28/B35-1)</f>
        <v>0.07362597007602134</v>
      </c>
      <c r="C29" s="3">
        <f>IF(C35=0,"n.a.",C28/C35-1)</f>
        <v>0.03499505234328182</v>
      </c>
      <c r="D29" s="3">
        <f>IF(D35=0,"n.a.",D28/D35-1)</f>
        <v>0.08898170208904199</v>
      </c>
      <c r="E29" s="3">
        <f>IF(E35=0,"n.a.",E28/E35-1)</f>
        <v>0.07197973078447162</v>
      </c>
      <c r="F29" s="3">
        <f>IF(F35=0,"n.a.",F28/F35-1)</f>
        <v>0.06656743496634299</v>
      </c>
      <c r="G29" s="30">
        <f>IF(G35=0,"n.a.",G28/G35-1)</f>
        <v>0.04643841678125682</v>
      </c>
      <c r="H29" s="5"/>
    </row>
    <row r="30">
      <c r="A30" s="66" t="s">
        <v>58</v>
      </c>
      <c r="B30" s="3">
        <f>B28/E35-1</f>
        <v>0.015258588599767142</v>
      </c>
      <c r="C30" s="3">
        <f>C28/B28-1</f>
        <v>-0.09643934953303213</v>
      </c>
      <c r="D30" s="3">
        <f>D28/C28-1</f>
        <v>-0.15809560211425233</v>
      </c>
      <c r="E30" s="3">
        <f>E28/D28-1</f>
        <v>0.3880011119755664</v>
      </c>
      <c r="F30" s="3"/>
      <c r="G30" s="30">
        <f>G28/E28-1</f>
        <v>-0.008931270276492542</v>
      </c>
      <c r="H30" s="5"/>
    </row>
    <row r="31">
      <c r="A31" s="66" t="s">
        <v>66</v>
      </c>
      <c r="B31" s="1">
        <f>B28-E35</f>
        <v>31.76800000000003</v>
      </c>
      <c r="C31" s="1">
        <f>C28-B28</f>
        <v>-203.84799999999996</v>
      </c>
      <c r="D31" s="1">
        <f>D28-C28</f>
        <v>-301.9459999999999</v>
      </c>
      <c r="E31" s="1">
        <f>E28-D28</f>
        <v>623.886</v>
      </c>
      <c r="F31" s="1"/>
      <c r="G31" s="34">
        <f>G28-E28</f>
        <v>-19.933121597535774</v>
      </c>
      <c r="H31" s="5"/>
    </row>
    <row r="32">
      <c r="A32" s="5" t="s">
        <v>67</v>
      </c>
      <c r="B32" s="1">
        <f>ROUND(B27-B28,6)</f>
        <v>0</v>
      </c>
      <c r="C32" s="1">
        <f>ROUND(C27-C28,6)</f>
        <v>0</v>
      </c>
      <c r="D32" s="1">
        <f>ROUND(D27-D28,6)</f>
        <v>0</v>
      </c>
      <c r="E32" s="1">
        <f>ROUND(E27-E28,6)</f>
        <v>0</v>
      </c>
      <c r="F32" s="1">
        <f>ROUND(F27-F28,6)</f>
        <v>0</v>
      </c>
      <c r="G32" s="34" t="s">
        <v>45</v>
      </c>
      <c r="H32" s="5" t="s">
        <v>68</v>
      </c>
    </row>
    <row r="33">
      <c r="A33" s="4"/>
      <c r="B33" s="4"/>
      <c r="C33" s="4"/>
      <c r="D33" s="4"/>
      <c r="E33" s="4"/>
      <c r="F33" s="4"/>
      <c r="G33" s="39"/>
      <c r="H33" s="5"/>
    </row>
    <row r="34">
      <c r="A34" s="7" t="s">
        <v>69</v>
      </c>
      <c r="B34" s="4"/>
      <c r="C34" s="4"/>
      <c r="D34" s="4"/>
      <c r="E34" s="4"/>
      <c r="F34" s="4"/>
      <c r="G34" s="39"/>
      <c r="H34" s="5"/>
    </row>
    <row r="35">
      <c r="A35" s="27" t="s">
        <v>70</v>
      </c>
      <c r="B35" s="9">
        <f>'Income Statement'!B171</f>
        <v>1968.789</v>
      </c>
      <c r="C35" s="9">
        <f>'Income Statement'!C171</f>
        <v>1845.318</v>
      </c>
      <c r="D35" s="9">
        <f>'Income Statement'!D171</f>
        <v>1476.562</v>
      </c>
      <c r="E35" s="9">
        <f>'Income Statement'!E171</f>
        <v>2081.975</v>
      </c>
      <c r="F35" s="9">
        <f>'Income Statement'!F171</f>
        <v>7372.644</v>
      </c>
      <c r="G35" s="10">
        <f>'Income Statement'!G171</f>
        <v>2113.743</v>
      </c>
      <c r="H35" s="5"/>
    </row>
    <row r="36">
      <c r="A36" s="66" t="s">
        <v>71</v>
      </c>
      <c r="B36" s="37">
        <v>0.03</v>
      </c>
      <c r="C36" s="37">
        <v>-0.005</v>
      </c>
      <c r="D36" s="37">
        <v>0.03</v>
      </c>
      <c r="E36" s="37">
        <v>0.025</v>
      </c>
      <c r="F36" s="37">
        <v>0.02</v>
      </c>
      <c r="G36" s="41">
        <f>('Segment - CPG'!G23+'Segment - PCG'!G23+'Segment - Consumer'!G23)/G35</f>
        <v>0.03626171772065005</v>
      </c>
      <c r="H36" s="5" t="s">
        <v>72</v>
      </c>
    </row>
    <row r="37">
      <c r="A37" s="16" t="s">
        <v>73</v>
      </c>
      <c r="B37" s="36"/>
      <c r="C37" s="36">
        <f>(C36-B36)*10000</f>
        <v>-349.99999999999994</v>
      </c>
      <c r="D37" s="36">
        <f>(D36-C36)*10000</f>
        <v>349.99999999999994</v>
      </c>
      <c r="E37" s="36">
        <f>(E36-D36)*10000</f>
        <v>-49.99999999999997</v>
      </c>
      <c r="F37" s="36"/>
      <c r="G37" s="35">
        <f>(G36-E36)*10000</f>
        <v>112.61717720650051</v>
      </c>
      <c r="H37" s="5"/>
    </row>
    <row r="38">
      <c r="A38" s="16" t="s">
        <v>74</v>
      </c>
      <c r="B38" s="36" t="s">
        <v>45</v>
      </c>
      <c r="C38" s="36" t="s">
        <v>45</v>
      </c>
      <c r="D38" s="36" t="s">
        <v>45</v>
      </c>
      <c r="E38" s="36" t="s">
        <v>45</v>
      </c>
      <c r="F38" s="36" t="s">
        <v>45</v>
      </c>
      <c r="G38" s="35">
        <f>(G36-B36)*10000</f>
        <v>62.617177206500536</v>
      </c>
      <c r="H38" s="5"/>
    </row>
    <row r="39">
      <c r="A39" s="66" t="s">
        <v>75</v>
      </c>
      <c r="B39" s="37">
        <v>0.038</v>
      </c>
      <c r="C39" s="37">
        <v>0.034</v>
      </c>
      <c r="D39" s="37">
        <v>0.035</v>
      </c>
      <c r="E39" s="37">
        <v>0.035</v>
      </c>
      <c r="F39" s="37">
        <v>0.036000000000000004</v>
      </c>
      <c r="G39" s="41">
        <f>('Segment - CPG'!G24+'Segment - PCG'!G24+'Segment - Consumer'!G24)/(G35*(1+G36))</f>
        <v>0.014414588239223149</v>
      </c>
      <c r="H39" s="5"/>
    </row>
    <row r="40">
      <c r="A40" s="16" t="s">
        <v>73</v>
      </c>
      <c r="B40" s="36"/>
      <c r="C40" s="36">
        <f>(C39-B39)*10000</f>
        <v>-39.999999999999964</v>
      </c>
      <c r="D40" s="36">
        <f>(D39-C39)*10000</f>
        <v>10.000000000000009</v>
      </c>
      <c r="E40" s="36">
        <f>(E39-D39)*10000</f>
        <v>0</v>
      </c>
      <c r="F40" s="36"/>
      <c r="G40" s="35">
        <f>(G39-E39)*10000</f>
        <v>-205.85411760776856</v>
      </c>
      <c r="H40" s="5"/>
    </row>
    <row r="41">
      <c r="A41" s="16" t="s">
        <v>74</v>
      </c>
      <c r="B41" s="36" t="s">
        <v>45</v>
      </c>
      <c r="C41" s="36" t="s">
        <v>45</v>
      </c>
      <c r="D41" s="36" t="s">
        <v>45</v>
      </c>
      <c r="E41" s="36" t="s">
        <v>45</v>
      </c>
      <c r="F41" s="36" t="s">
        <v>45</v>
      </c>
      <c r="G41" s="35">
        <f>(G39-B39)*10000</f>
        <v>-235.85411760776853</v>
      </c>
      <c r="H41" s="5"/>
    </row>
    <row r="42">
      <c r="A42" s="66" t="s">
        <v>76</v>
      </c>
      <c r="B42" s="37">
        <v>0.006</v>
      </c>
      <c r="C42" s="37">
        <v>0.006</v>
      </c>
      <c r="D42" s="37">
        <v>0.024</v>
      </c>
      <c r="E42" s="37">
        <v>0.012</v>
      </c>
      <c r="F42" s="37">
        <v>0.011</v>
      </c>
      <c r="G42" s="41">
        <f>('Segment - CPG'!G25+'Segment - PCG'!G25+'Segment - Consumer'!G25)/(G35*(1+G36)*(1+G39))</f>
        <v>-0.004528720909834485</v>
      </c>
      <c r="H42" s="5"/>
    </row>
    <row r="43">
      <c r="A43" s="16" t="s">
        <v>73</v>
      </c>
      <c r="B43" s="36"/>
      <c r="C43" s="36">
        <f>(C42-B42)*10000</f>
        <v>0</v>
      </c>
      <c r="D43" s="36">
        <f>(D42-C42)*10000</f>
        <v>180.00000000000003</v>
      </c>
      <c r="E43" s="36">
        <f>(E42-D42)*10000</f>
        <v>-120</v>
      </c>
      <c r="F43" s="36"/>
      <c r="G43" s="35">
        <f>(G42-E42)*10000</f>
        <v>-165.28720909834485</v>
      </c>
      <c r="H43" s="5"/>
    </row>
    <row r="44">
      <c r="A44" s="16" t="s">
        <v>74</v>
      </c>
      <c r="B44" s="36" t="s">
        <v>45</v>
      </c>
      <c r="C44" s="36" t="s">
        <v>45</v>
      </c>
      <c r="D44" s="36" t="s">
        <v>45</v>
      </c>
      <c r="E44" s="36" t="s">
        <v>45</v>
      </c>
      <c r="F44" s="36" t="s">
        <v>45</v>
      </c>
      <c r="G44" s="35">
        <f>(G42-B42)*10000</f>
        <v>-105.28720909834485</v>
      </c>
      <c r="H44" s="5"/>
    </row>
    <row r="45">
      <c r="A45" s="70" t="s">
        <v>77</v>
      </c>
      <c r="B45" s="54">
        <f>B28/B35-1</f>
        <v>0.07362597007602134</v>
      </c>
      <c r="C45" s="54">
        <f>C28/C35-1</f>
        <v>0.03499505234328182</v>
      </c>
      <c r="D45" s="54">
        <f>D28/D35-1</f>
        <v>0.08898170208904199</v>
      </c>
      <c r="E45" s="54">
        <f>E28/E35-1</f>
        <v>0.07197973078447162</v>
      </c>
      <c r="F45" s="54">
        <f>F28/F35-1</f>
        <v>0.06656743496634299</v>
      </c>
      <c r="G45" s="74">
        <f>G28/G35-1</f>
        <v>0.04643841678125682</v>
      </c>
      <c r="H45" s="5"/>
    </row>
    <row r="46">
      <c r="A46" s="66" t="s">
        <v>78</v>
      </c>
      <c r="B46" s="3">
        <f>(1+B45)/((1+B39)*(1+B42))-1</f>
        <v>0.028152826850095458</v>
      </c>
      <c r="C46" s="3">
        <f>(1+C45)/((1+C39)*(1+C42))-1</f>
        <v>-0.00500762125190668</v>
      </c>
      <c r="D46" s="3">
        <f>(1+D45)/((1+D39)*(1+D42))-1</f>
        <v>0.027496322170367238</v>
      </c>
      <c r="E46" s="3">
        <f>(1+E45)/((1+E39)*(1+E42))-1</f>
        <v>0.023447834473727447</v>
      </c>
      <c r="F46" s="3">
        <f>(1+F45)/((1+F39)*(1+F42))-1</f>
        <v>0.018303903171620783</v>
      </c>
      <c r="G46" s="30">
        <f>(1+G45)/((1+G39)*(1+G42))-1</f>
        <v>0.0362617177206499</v>
      </c>
      <c r="H46" s="5" t="s">
        <v>79</v>
      </c>
    </row>
    <row r="47">
      <c r="A47" s="16" t="s">
        <v>80</v>
      </c>
      <c r="B47" s="36">
        <f>(B46-B36)*10000</f>
        <v>-18.471731499045408</v>
      </c>
      <c r="C47" s="36">
        <f>(C46-C36)*10000</f>
        <v>-0.07621251906679734</v>
      </c>
      <c r="D47" s="36">
        <f>(D46-D36)*10000</f>
        <v>-25.03677829632761</v>
      </c>
      <c r="E47" s="36">
        <f>(E46-E36)*10000</f>
        <v>-15.521655262725545</v>
      </c>
      <c r="F47" s="36">
        <f>(F46-F36)*10000</f>
        <v>-16.96096828379217</v>
      </c>
      <c r="G47" s="35">
        <f>(G46-G36)*10000</f>
        <v>0</v>
      </c>
      <c r="H47" s="5"/>
    </row>
    <row r="48">
      <c r="A48" s="4"/>
      <c r="B48" s="4"/>
      <c r="C48" s="4"/>
      <c r="D48" s="4"/>
      <c r="E48" s="4"/>
      <c r="F48" s="4"/>
      <c r="G48" s="39"/>
      <c r="H48" s="5"/>
    </row>
    <row r="49">
      <c r="A49" s="5" t="s">
        <v>81</v>
      </c>
      <c r="B49" s="51"/>
      <c r="C49" s="51"/>
      <c r="D49" s="51"/>
      <c r="E49" s="51"/>
      <c r="F49" s="51"/>
      <c r="G49" s="72"/>
      <c r="H49" s="5"/>
    </row>
    <row r="50">
      <c r="A50" s="4"/>
      <c r="B50" s="4"/>
      <c r="C50" s="4"/>
      <c r="D50" s="4"/>
      <c r="E50" s="4"/>
      <c r="F50" s="4"/>
      <c r="G50" s="39"/>
      <c r="H50" s="5"/>
    </row>
    <row r="51">
      <c r="A51" s="7" t="s">
        <v>82</v>
      </c>
      <c r="B51" s="43"/>
      <c r="C51" s="43"/>
      <c r="D51" s="43"/>
      <c r="E51" s="43"/>
      <c r="F51" s="43"/>
      <c r="G51" s="58" t="b">
        <f>MAX(ABS(B32),ABS(C32),ABS(D32),ABS(E32),ABS(F32))&lt;0.001</f>
        <v>1</v>
      </c>
      <c r="H51" s="5"/>
    </row>
    <row r="52">
      <c r="A52" s="4"/>
      <c r="B52" s="4"/>
      <c r="C52" s="4"/>
      <c r="D52" s="4"/>
      <c r="E52" s="4"/>
      <c r="F52" s="4"/>
      <c r="G52" s="39"/>
      <c r="H52" s="5"/>
    </row>
    <row r="53">
      <c r="A53" s="4"/>
      <c r="B53" s="4"/>
      <c r="C53" s="4"/>
      <c r="D53" s="4"/>
      <c r="E53" s="4"/>
      <c r="F53" s="4"/>
      <c r="G53" s="39"/>
      <c r="H53" s="5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8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83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84</v>
      </c>
      <c r="B8" s="4"/>
      <c r="C8" s="4"/>
      <c r="D8" s="4"/>
      <c r="E8" s="4"/>
      <c r="F8" s="4"/>
      <c r="G8" s="39"/>
      <c r="H8" s="5"/>
    </row>
    <row r="9">
      <c r="A9" s="27" t="s">
        <v>70</v>
      </c>
      <c r="B9" s="13">
        <f>B117</f>
        <v>828.006</v>
      </c>
      <c r="C9" s="13">
        <f>C117</f>
        <v>720.467</v>
      </c>
      <c r="D9" s="13">
        <f>D117</f>
        <v>494.845</v>
      </c>
      <c r="E9" s="13">
        <f>E117</f>
        <v>831.134</v>
      </c>
      <c r="F9" s="13">
        <f>F117</f>
        <v>2874.452</v>
      </c>
      <c r="G9" s="26">
        <f>G117</f>
        <v>881.446</v>
      </c>
      <c r="H9" s="5"/>
    </row>
    <row r="10">
      <c r="A10" s="66" t="s">
        <v>71</v>
      </c>
      <c r="B10" s="37">
        <v>0.054000000000000006</v>
      </c>
      <c r="C10" s="37">
        <v>0.008</v>
      </c>
      <c r="D10" s="37">
        <v>0.069</v>
      </c>
      <c r="E10" s="37">
        <v>0.057</v>
      </c>
      <c r="F10" s="37">
        <v>0.045</v>
      </c>
      <c r="G10" s="82">
        <v>0.048</v>
      </c>
      <c r="H10" s="5" t="s">
        <v>85</v>
      </c>
    </row>
    <row r="11">
      <c r="A11" s="16" t="s">
        <v>73</v>
      </c>
      <c r="B11" s="36"/>
      <c r="C11" s="36">
        <f>(C10-B10)*10000</f>
        <v>-460.00000000000006</v>
      </c>
      <c r="D11" s="36">
        <f>(D10-C10)*10000</f>
        <v>610</v>
      </c>
      <c r="E11" s="36">
        <f>(E10-D10)*10000</f>
        <v>-120.00000000000004</v>
      </c>
      <c r="F11" s="36"/>
      <c r="G11" s="35">
        <f>(G10-E10)*10000</f>
        <v>-90.00000000000001</v>
      </c>
      <c r="H11" s="5"/>
    </row>
    <row r="12">
      <c r="A12" s="16" t="s">
        <v>74</v>
      </c>
      <c r="B12" s="36" t="s">
        <v>45</v>
      </c>
      <c r="C12" s="36" t="s">
        <v>45</v>
      </c>
      <c r="D12" s="36" t="s">
        <v>45</v>
      </c>
      <c r="E12" s="36" t="s">
        <v>45</v>
      </c>
      <c r="F12" s="36" t="s">
        <v>45</v>
      </c>
      <c r="G12" s="35">
        <f>(G10-B10)*10000</f>
        <v>-60.00000000000006</v>
      </c>
      <c r="H12" s="5" t="s">
        <v>86</v>
      </c>
    </row>
    <row r="13">
      <c r="A13" s="16" t="s">
        <v>87</v>
      </c>
      <c r="B13" s="3" t="s">
        <v>45</v>
      </c>
      <c r="C13" s="3" t="s">
        <v>45</v>
      </c>
      <c r="D13" s="3" t="s">
        <v>45</v>
      </c>
      <c r="E13" s="3" t="s">
        <v>45</v>
      </c>
      <c r="F13" s="3" t="s">
        <v>45</v>
      </c>
      <c r="G13" s="82">
        <v>0.025</v>
      </c>
      <c r="H13" s="5" t="s">
        <v>88</v>
      </c>
    </row>
    <row r="14">
      <c r="A14" s="33" t="s">
        <v>89</v>
      </c>
      <c r="B14" s="36" t="s">
        <v>45</v>
      </c>
      <c r="C14" s="36" t="s">
        <v>45</v>
      </c>
      <c r="D14" s="36" t="s">
        <v>45</v>
      </c>
      <c r="E14" s="36" t="s">
        <v>45</v>
      </c>
      <c r="F14" s="36" t="s">
        <v>45</v>
      </c>
      <c r="G14" s="35" t="s">
        <v>45</v>
      </c>
      <c r="H14" s="5"/>
    </row>
    <row r="15">
      <c r="A15" s="16" t="s">
        <v>90</v>
      </c>
      <c r="B15" s="3" t="s">
        <v>45</v>
      </c>
      <c r="C15" s="3" t="s">
        <v>45</v>
      </c>
      <c r="D15" s="3" t="s">
        <v>45</v>
      </c>
      <c r="E15" s="3" t="s">
        <v>45</v>
      </c>
      <c r="F15" s="3" t="s">
        <v>45</v>
      </c>
      <c r="G15" s="30">
        <f>(1+G10)/(1+G13)-1</f>
        <v>0.022439024390243922</v>
      </c>
      <c r="H15" s="5"/>
    </row>
    <row r="16">
      <c r="A16" s="33" t="s">
        <v>91</v>
      </c>
      <c r="B16" s="36" t="s">
        <v>45</v>
      </c>
      <c r="C16" s="36" t="s">
        <v>45</v>
      </c>
      <c r="D16" s="36" t="s">
        <v>45</v>
      </c>
      <c r="E16" s="36" t="s">
        <v>45</v>
      </c>
      <c r="F16" s="36" t="s">
        <v>45</v>
      </c>
      <c r="G16" s="35" t="s">
        <v>45</v>
      </c>
      <c r="H16" s="5"/>
    </row>
    <row r="17">
      <c r="A17" s="66" t="s">
        <v>75</v>
      </c>
      <c r="B17" s="37">
        <v>0.005</v>
      </c>
      <c r="C17" s="37">
        <v>0.005</v>
      </c>
      <c r="D17" s="37">
        <v>0.002</v>
      </c>
      <c r="E17" s="37">
        <v>0.016</v>
      </c>
      <c r="F17" s="37">
        <v>0.008</v>
      </c>
      <c r="G17" s="82">
        <v>0.022</v>
      </c>
      <c r="H17" s="5" t="s">
        <v>92</v>
      </c>
    </row>
    <row r="18">
      <c r="A18" s="16" t="s">
        <v>73</v>
      </c>
      <c r="B18" s="36"/>
      <c r="C18" s="36">
        <f>(C17-B17)*10000</f>
        <v>0</v>
      </c>
      <c r="D18" s="36">
        <f>(D17-C17)*10000</f>
        <v>-30</v>
      </c>
      <c r="E18" s="36">
        <f>(E17-D17)*10000</f>
        <v>140</v>
      </c>
      <c r="F18" s="36"/>
      <c r="G18" s="35">
        <f>(G17-E17)*10000</f>
        <v>59.999999999999986</v>
      </c>
      <c r="H18" s="5"/>
    </row>
    <row r="19">
      <c r="A19" s="16" t="s">
        <v>74</v>
      </c>
      <c r="B19" s="36" t="s">
        <v>45</v>
      </c>
      <c r="C19" s="36" t="s">
        <v>45</v>
      </c>
      <c r="D19" s="36" t="s">
        <v>45</v>
      </c>
      <c r="E19" s="36" t="s">
        <v>45</v>
      </c>
      <c r="F19" s="36" t="s">
        <v>45</v>
      </c>
      <c r="G19" s="35">
        <f>(G17-B17)*10000</f>
        <v>169.99999999999997</v>
      </c>
      <c r="H19" s="5"/>
    </row>
    <row r="20">
      <c r="A20" s="66" t="s">
        <v>76</v>
      </c>
      <c r="B20" s="37">
        <v>0.006</v>
      </c>
      <c r="C20" s="37">
        <v>0.011</v>
      </c>
      <c r="D20" s="37">
        <v>0.034</v>
      </c>
      <c r="E20" s="37">
        <v>0.015</v>
      </c>
      <c r="F20" s="37">
        <v>0.015</v>
      </c>
      <c r="G20" s="82">
        <v>-0.006</v>
      </c>
      <c r="H20" s="5" t="s">
        <v>93</v>
      </c>
    </row>
    <row r="21">
      <c r="A21" s="16" t="s">
        <v>73</v>
      </c>
      <c r="B21" s="36"/>
      <c r="C21" s="36">
        <f>(C20-B20)*10000</f>
        <v>49.99999999999999</v>
      </c>
      <c r="D21" s="36">
        <f>(D20-C20)*10000</f>
        <v>230.00000000000003</v>
      </c>
      <c r="E21" s="36">
        <f>(E20-D20)*10000</f>
        <v>-190.00000000000003</v>
      </c>
      <c r="F21" s="36"/>
      <c r="G21" s="35">
        <f>(G20-E20)*10000</f>
        <v>-209.99999999999997</v>
      </c>
      <c r="H21" s="5"/>
    </row>
    <row r="22">
      <c r="A22" s="16" t="s">
        <v>74</v>
      </c>
      <c r="B22" s="36" t="s">
        <v>45</v>
      </c>
      <c r="C22" s="36" t="s">
        <v>45</v>
      </c>
      <c r="D22" s="36" t="s">
        <v>45</v>
      </c>
      <c r="E22" s="36" t="s">
        <v>45</v>
      </c>
      <c r="F22" s="36" t="s">
        <v>45</v>
      </c>
      <c r="G22" s="35">
        <f>(G20-B20)*10000</f>
        <v>-120</v>
      </c>
      <c r="H22" s="5"/>
    </row>
    <row r="23">
      <c r="A23" s="27" t="s">
        <v>94</v>
      </c>
      <c r="B23" s="13">
        <f>B9*B10</f>
        <v>44.712324</v>
      </c>
      <c r="C23" s="13">
        <f>C9*C10</f>
        <v>5.763736</v>
      </c>
      <c r="D23" s="13">
        <f>D9*D10</f>
        <v>34.144305</v>
      </c>
      <c r="E23" s="13">
        <f>E9*E10</f>
        <v>47.374638000000004</v>
      </c>
      <c r="F23" s="13">
        <f>F9*F10</f>
        <v>129.35034000000002</v>
      </c>
      <c r="G23" s="26">
        <f>G9*G10</f>
        <v>42.309408000000005</v>
      </c>
      <c r="H23" s="5"/>
    </row>
    <row r="24">
      <c r="A24" s="27" t="s">
        <v>95</v>
      </c>
      <c r="B24" s="13">
        <f>B9*(1+B10)*B17</f>
        <v>4.36359162</v>
      </c>
      <c r="C24" s="13">
        <f>C9*(1+C10)*C17</f>
        <v>3.63115368</v>
      </c>
      <c r="D24" s="13">
        <f>D9*(1+D10)*D17</f>
        <v>1.0579786100000002</v>
      </c>
      <c r="E24" s="13">
        <f>E9*(1+E10)*E17</f>
        <v>14.056138208</v>
      </c>
      <c r="F24" s="13">
        <f>F9*(1+F10)*F17</f>
        <v>24.030418720000004</v>
      </c>
      <c r="G24" s="26">
        <f>G9*(1+G10)*G17</f>
        <v>20.322618976</v>
      </c>
      <c r="H24" s="5"/>
    </row>
    <row r="25">
      <c r="A25" s="27" t="s">
        <v>96</v>
      </c>
      <c r="B25" s="13">
        <f>B9*(1+B10)*(1+B17)*B20</f>
        <v>5.26249149372</v>
      </c>
      <c r="C25" s="13">
        <f>C9*(1+C10)*(1+C17)*C20</f>
        <v>8.028480786479998</v>
      </c>
      <c r="D25" s="13">
        <f>D9*(1+D10)*(1+D17)*D20</f>
        <v>18.02160764274</v>
      </c>
      <c r="E25" s="13">
        <f>E9*(1+E10)*(1+E17)*E20</f>
        <v>13.388471643119999</v>
      </c>
      <c r="F25" s="13">
        <f>F9*(1+F10)*(1+F17)*F20</f>
        <v>45.4174913808</v>
      </c>
      <c r="G25" s="26">
        <f>G9*(1+G10)*(1+G17)*G20</f>
        <v>-5.664468161856001</v>
      </c>
      <c r="H25" s="5"/>
    </row>
    <row r="26">
      <c r="A26" s="66" t="s">
        <v>97</v>
      </c>
      <c r="B26" s="1">
        <f>B27-B9-B23-B24-B25</f>
        <v>-0.8984071137199479</v>
      </c>
      <c r="C26" s="1">
        <f>C27-C9-C23-C24-C25</f>
        <v>-0.451370466480018</v>
      </c>
      <c r="D26" s="1">
        <f>D27-D9-D23-D24-D25</f>
        <v>-1.4038912527400669</v>
      </c>
      <c r="E26" s="1">
        <f>E27-E9-E23-E24-E25</f>
        <v>-1.7182478511200046</v>
      </c>
      <c r="F26" s="1">
        <f>F27-F9-F23-F24-F25</f>
        <v>-3.4652501008003895</v>
      </c>
      <c r="G26" s="34">
        <f>G27-G9-G23-G24-G25</f>
        <v>0</v>
      </c>
      <c r="H26" s="5"/>
    </row>
    <row r="27">
      <c r="A27" s="7" t="s">
        <v>98</v>
      </c>
      <c r="B27" s="85">
        <v>881.446</v>
      </c>
      <c r="C27" s="85">
        <v>737.439</v>
      </c>
      <c r="D27" s="85">
        <v>546.665</v>
      </c>
      <c r="E27" s="85">
        <v>904.235</v>
      </c>
      <c r="F27" s="85">
        <v>3069.785</v>
      </c>
      <c r="G27" s="19">
        <f>G9*(1+G10)*(1+G17)*(1+G20)</f>
        <v>938.4135588141442</v>
      </c>
      <c r="H27" s="5"/>
    </row>
    <row r="28">
      <c r="A28" s="66" t="s">
        <v>99</v>
      </c>
      <c r="B28" s="3">
        <f>IF(B117=0,"n.a.",B27/B117-1)</f>
        <v>0.0645405951164606</v>
      </c>
      <c r="C28" s="3">
        <f>IF(C117=0,"n.a.",C27/C117-1)</f>
        <v>0.02355694292729571</v>
      </c>
      <c r="D28" s="3">
        <f>IF(D117=0,"n.a.",D27/D117-1)</f>
        <v>0.10471965969141839</v>
      </c>
      <c r="E28" s="3">
        <f>IF(E117=0,"n.a.",E27/E117-1)</f>
        <v>0.08795332641908526</v>
      </c>
      <c r="F28" s="3">
        <f>IF(F117=0,"n.a.",F27/F117-1)</f>
        <v>0.06795486583181765</v>
      </c>
      <c r="G28" s="30">
        <f>IF(G117=0,"n.a.",G27/G117-1)</f>
        <v>0.06462966400000014</v>
      </c>
      <c r="H28" s="5"/>
    </row>
    <row r="29">
      <c r="A29" s="66" t="s">
        <v>66</v>
      </c>
      <c r="B29" s="1">
        <f>B27-E117</f>
        <v>50.31200000000001</v>
      </c>
      <c r="C29" s="1">
        <f>C27-B27</f>
        <v>-144.00700000000006</v>
      </c>
      <c r="D29" s="1">
        <f>D27-C27</f>
        <v>-190.774</v>
      </c>
      <c r="E29" s="1">
        <f>E27-D27</f>
        <v>357.57000000000005</v>
      </c>
      <c r="F29" s="1"/>
      <c r="G29" s="34">
        <f>G27-E27</f>
        <v>34.17855881414414</v>
      </c>
      <c r="H29" s="5"/>
    </row>
    <row r="30">
      <c r="A30" s="66" t="s">
        <v>58</v>
      </c>
      <c r="B30" s="3">
        <f>B27/E117-1</f>
        <v>0.060534161759716154</v>
      </c>
      <c r="C30" s="3">
        <f>C27/B27-1</f>
        <v>-0.16337586193595532</v>
      </c>
      <c r="D30" s="3">
        <f>D27/C27-1</f>
        <v>-0.2586980075640155</v>
      </c>
      <c r="E30" s="3">
        <f>E27/D27-1</f>
        <v>0.654093457602005</v>
      </c>
      <c r="F30" s="3"/>
      <c r="G30" s="30">
        <f>G27/E27-1</f>
        <v>0.03779831439188275</v>
      </c>
      <c r="H30" s="5"/>
    </row>
    <row r="31">
      <c r="A31" s="66" t="s">
        <v>78</v>
      </c>
      <c r="B31" s="3">
        <f>(1+B28)/((1+B17)*(1+B20))-1</f>
        <v>0.05292681237595387</v>
      </c>
      <c r="C31" s="3">
        <f>(1+C28)/((1+C17)*(1+C20))-1</f>
        <v>0.007383402401736072</v>
      </c>
      <c r="D31" s="3">
        <f>(1+D28)/((1+D17)*(1+D20))-1</f>
        <v>0.06626173155759885</v>
      </c>
      <c r="E31" s="3">
        <f>(1+E28)/((1+E17)*(1+E20))-1</f>
        <v>0.05499527405752813</v>
      </c>
      <c r="F31" s="3">
        <f>(1+F28)/((1+F17)*(1+F20))-1</f>
        <v>0.04382170794414919</v>
      </c>
      <c r="G31" s="30">
        <f>(1+G28)/((1+G17)*(1+G20))-1</f>
        <v>0.04800000000000004</v>
      </c>
      <c r="H31" s="5" t="s">
        <v>100</v>
      </c>
    </row>
    <row r="32">
      <c r="A32" s="16" t="s">
        <v>80</v>
      </c>
      <c r="B32" s="36">
        <f>(B31-B10)*10000</f>
        <v>-10.731876240461375</v>
      </c>
      <c r="C32" s="36">
        <f>(C31-C10)*10000</f>
        <v>-6.16597598263928</v>
      </c>
      <c r="D32" s="36">
        <f>(D31-D10)*10000</f>
        <v>-27.382684424011593</v>
      </c>
      <c r="E32" s="36">
        <f>(E31-E10)*10000</f>
        <v>-20.047259424718703</v>
      </c>
      <c r="F32" s="36">
        <f>(F31-F10)*10000</f>
        <v>-11.782920558508076</v>
      </c>
      <c r="G32" s="35">
        <f>(G31-G10)*10000</f>
        <v>0</v>
      </c>
      <c r="H32" s="5"/>
    </row>
    <row r="33">
      <c r="A33" s="4"/>
      <c r="B33" s="4"/>
      <c r="C33" s="4"/>
      <c r="D33" s="4"/>
      <c r="E33" s="4"/>
      <c r="F33" s="4"/>
      <c r="G33" s="39"/>
      <c r="H33" s="5"/>
    </row>
    <row r="34">
      <c r="A34" s="7" t="s">
        <v>101</v>
      </c>
      <c r="B34" s="4"/>
      <c r="C34" s="4"/>
      <c r="D34" s="4"/>
      <c r="E34" s="4"/>
      <c r="F34" s="4"/>
      <c r="G34" s="39"/>
      <c r="H34" s="5"/>
    </row>
    <row r="35">
      <c r="A35" s="27" t="s">
        <v>102</v>
      </c>
      <c r="B35" s="17">
        <v>620.258</v>
      </c>
      <c r="C35" s="17">
        <v>470.927</v>
      </c>
      <c r="D35" s="17">
        <v>341.888</v>
      </c>
      <c r="E35" s="13">
        <f>F35-B35-C35-D35</f>
        <v>615.7699999999998</v>
      </c>
      <c r="F35" s="17">
        <v>2048.843</v>
      </c>
      <c r="G35" s="26">
        <f>G27*G38</f>
        <v>660.3450661333121</v>
      </c>
      <c r="H35" s="5" t="s">
        <v>103</v>
      </c>
    </row>
    <row r="36">
      <c r="A36" s="16" t="s">
        <v>57</v>
      </c>
      <c r="B36" s="3">
        <f>IF(B118=0,"n.a.",B35/B118-1)</f>
        <v>0.08406389821029103</v>
      </c>
      <c r="C36" s="3">
        <f>IF(C118=0,"n.a.",C35/C118-1)</f>
        <v>0.02130764993428791</v>
      </c>
      <c r="D36" s="3">
        <f>IF(D118=0,"n.a.",D35/D118-1)</f>
        <v>0.13331410709017444</v>
      </c>
      <c r="E36" s="3">
        <f>IF(E118=0,"n.a.",E35/E118-1)</f>
        <v>0.08984490457640248</v>
      </c>
      <c r="F36" s="3">
        <f>IF(F118=0,"n.a.",F35/F118-1)</f>
        <v>0.07837247492026056</v>
      </c>
      <c r="G36" s="30">
        <f>IF(G118=0,"n.a.",G35/G118-1)</f>
        <v>0.06462966400000014</v>
      </c>
      <c r="H36" s="5"/>
    </row>
    <row r="37">
      <c r="A37" s="16" t="s">
        <v>66</v>
      </c>
      <c r="B37" s="1">
        <f>B35-E118</f>
        <v>55.25099999999975</v>
      </c>
      <c r="C37" s="1">
        <f>C35-B35</f>
        <v>-149.33100000000002</v>
      </c>
      <c r="D37" s="1">
        <f>D35-C35</f>
        <v>-129.03900000000004</v>
      </c>
      <c r="E37" s="1">
        <f>E35-D35</f>
        <v>273.8819999999998</v>
      </c>
      <c r="F37" s="1"/>
      <c r="G37" s="34">
        <f>G35-E35</f>
        <v>44.57506613331236</v>
      </c>
      <c r="H37" s="5"/>
    </row>
    <row r="38">
      <c r="A38" s="16" t="s">
        <v>104</v>
      </c>
      <c r="B38" s="3">
        <f>IF(B27=0,"n.a.",B35/B27)</f>
        <v>0.7036823583066916</v>
      </c>
      <c r="C38" s="3">
        <f>IF(C27=0,"n.a.",C35/C27)</f>
        <v>0.6385979043690394</v>
      </c>
      <c r="D38" s="3">
        <f>IF(D27=0,"n.a.",D35/D27)</f>
        <v>0.6254067847767829</v>
      </c>
      <c r="E38" s="3">
        <f>IF(E27=0,"n.a.",E35/E27)</f>
        <v>0.6809844785924011</v>
      </c>
      <c r="F38" s="3">
        <f>IF(F27=0,"n.a.",F35/F27)</f>
        <v>0.6674223113345071</v>
      </c>
      <c r="G38" s="30">
        <f>B38</f>
        <v>0.7036823583066916</v>
      </c>
      <c r="H38" s="5"/>
    </row>
    <row r="39">
      <c r="A39" s="33" t="s">
        <v>61</v>
      </c>
      <c r="B39" s="36">
        <f>IF(B118=0,0,(B38-B118/B117)*10000)</f>
        <v>126.72872868180308</v>
      </c>
      <c r="C39" s="36">
        <f>IF(C118=0,0,(C38-C118/C117)*10000)</f>
        <v>-14.064261554675994</v>
      </c>
      <c r="D39" s="36">
        <f>IF(D118=0,0,(D38-D118/D117)*10000)</f>
        <v>157.79527756908053</v>
      </c>
      <c r="E39" s="36">
        <f>IF(E118=0,0,(E38-E118/E117)*10000)</f>
        <v>11.819437424246404</v>
      </c>
      <c r="F39" s="36">
        <f>IF(F118=0,0,(F38-F118/F117)*10000)</f>
        <v>64.47628160114238</v>
      </c>
      <c r="G39" s="35">
        <f>IF(G118=0,0,(G38-G118/G117)*10000)</f>
        <v>0</v>
      </c>
      <c r="H39" s="5"/>
    </row>
    <row r="40">
      <c r="A40" s="33" t="s">
        <v>60</v>
      </c>
      <c r="B40" s="36">
        <f>IF(E118=0,0,(B38-E118/E117)*10000)</f>
        <v>238.79823456715133</v>
      </c>
      <c r="C40" s="36">
        <f>(C38-B38)*10000</f>
        <v>-650.8445393765217</v>
      </c>
      <c r="D40" s="36">
        <f>(D38-C38)*10000</f>
        <v>-131.91119592256496</v>
      </c>
      <c r="E40" s="36">
        <f>(E38-D38)*10000</f>
        <v>555.7769381561817</v>
      </c>
      <c r="F40" s="36"/>
      <c r="G40" s="35">
        <f>(G38-E38)*10000</f>
        <v>226.9787971429049</v>
      </c>
      <c r="H40" s="5"/>
    </row>
    <row r="41">
      <c r="A41" s="27" t="s">
        <v>105</v>
      </c>
      <c r="B41" s="17">
        <v>82.47</v>
      </c>
      <c r="C41" s="17">
        <v>68.425</v>
      </c>
      <c r="D41" s="17">
        <v>39.137</v>
      </c>
      <c r="E41" s="13">
        <f>F41-B41-C41-D41</f>
        <v>75.14300000000001</v>
      </c>
      <c r="F41" s="17">
        <v>265.175</v>
      </c>
      <c r="G41" s="26">
        <f>G27*G44</f>
        <v>87.80000839008001</v>
      </c>
      <c r="H41" s="5"/>
    </row>
    <row r="42">
      <c r="A42" s="16" t="s">
        <v>57</v>
      </c>
      <c r="B42" s="3">
        <f>IF(B119=0,"n.a.",B41/B119-1)</f>
        <v>0.09478295499800882</v>
      </c>
      <c r="C42" s="3">
        <f>IF(C119=0,"n.a.",C41/C119-1)</f>
        <v>-0.04691265165127534</v>
      </c>
      <c r="D42" s="3">
        <f>IF(D119=0,"n.a.",D41/D119-1)</f>
        <v>0.03622018057136822</v>
      </c>
      <c r="E42" s="3">
        <f>IF(E119=0,"n.a.",E41/E119-1)</f>
        <v>-0.05877121563224108</v>
      </c>
      <c r="F42" s="3">
        <f>IF(F119=0,"n.a.",F41/F119-1)</f>
        <v>0.0016923094357583768</v>
      </c>
      <c r="G42" s="30">
        <f>IF(G119=0,"n.a.",G41/G119-1)</f>
        <v>0.06462966400000014</v>
      </c>
      <c r="H42" s="5"/>
    </row>
    <row r="43">
      <c r="A43" s="16" t="s">
        <v>66</v>
      </c>
      <c r="B43" s="1">
        <f>B41-E119</f>
        <v>2.6350000000000193</v>
      </c>
      <c r="C43" s="1">
        <f>C41-B41</f>
        <v>-14.045000000000002</v>
      </c>
      <c r="D43" s="1">
        <f>D41-C41</f>
        <v>-29.287999999999997</v>
      </c>
      <c r="E43" s="1">
        <f>E41-D41</f>
        <v>36.006000000000014</v>
      </c>
      <c r="F43" s="1"/>
      <c r="G43" s="34">
        <f>G41-E41</f>
        <v>12.657008390079994</v>
      </c>
      <c r="H43" s="5"/>
    </row>
    <row r="44">
      <c r="A44" s="16" t="s">
        <v>104</v>
      </c>
      <c r="B44" s="3">
        <f>IF(B27=0,"n.a.",B41/B27)</f>
        <v>0.09356216943522348</v>
      </c>
      <c r="C44" s="3">
        <f>IF(C27=0,"n.a.",C41/C27)</f>
        <v>0.09278733563047249</v>
      </c>
      <c r="D44" s="3">
        <f>IF(D27=0,"n.a.",D41/D27)</f>
        <v>0.07159229143991293</v>
      </c>
      <c r="E44" s="3">
        <f>IF(E27=0,"n.a.",E41/E27)</f>
        <v>0.08310118497956838</v>
      </c>
      <c r="F44" s="3">
        <f>IF(F27=0,"n.a.",F41/F27)</f>
        <v>0.08638227107110108</v>
      </c>
      <c r="G44" s="30">
        <f>B44</f>
        <v>0.09356216943522348</v>
      </c>
      <c r="H44" s="5"/>
    </row>
    <row r="45">
      <c r="A45" s="33" t="s">
        <v>61</v>
      </c>
      <c r="B45" s="36">
        <f>IF(B119=0,0,(B44-B119/B117)*10000)</f>
        <v>25.84567823640957</v>
      </c>
      <c r="C45" s="36">
        <f>IF(C119=0,0,(C44-C119/C117)*10000)</f>
        <v>-68.60531655607238</v>
      </c>
      <c r="D45" s="36">
        <f>IF(D119=0,0,(D44-D119/D117)*10000)</f>
        <v>-47.32618380333814</v>
      </c>
      <c r="E45" s="36">
        <f>IF(E119=0,0,(E44-E119/E117)*10000)</f>
        <v>-129.54324721635004</v>
      </c>
      <c r="F45" s="36">
        <f>IF(F119=0,0,(F44-F119/F117)*10000)</f>
        <v>-57.1423984645815</v>
      </c>
      <c r="G45" s="35">
        <f>IF(G119=0,0,(G44-G119/G117)*10000)</f>
        <v>0</v>
      </c>
      <c r="H45" s="5"/>
    </row>
    <row r="46">
      <c r="A46" s="33" t="s">
        <v>60</v>
      </c>
      <c r="B46" s="36">
        <f>IF(E119=0,0,(B44-E119/E117)*10000)</f>
        <v>-24.933402659799015</v>
      </c>
      <c r="C46" s="36">
        <f>(C44-B44)*10000</f>
        <v>-7.748338047509906</v>
      </c>
      <c r="D46" s="36">
        <f>(D44-C44)*10000</f>
        <v>-211.95044190559565</v>
      </c>
      <c r="E46" s="36">
        <f>(E44-D44)*10000</f>
        <v>115.08893539655452</v>
      </c>
      <c r="F46" s="36"/>
      <c r="G46" s="35">
        <f>(G44-E44)*10000</f>
        <v>104.60984455655104</v>
      </c>
      <c r="H46" s="5"/>
    </row>
    <row r="47">
      <c r="A47" s="27" t="s">
        <v>106</v>
      </c>
      <c r="B47" s="17">
        <v>122.631</v>
      </c>
      <c r="C47" s="17">
        <v>137.44</v>
      </c>
      <c r="D47" s="17">
        <v>109.057</v>
      </c>
      <c r="E47" s="13">
        <f>F47-B47-C47-D47</f>
        <v>143.32700000000006</v>
      </c>
      <c r="F47" s="17">
        <v>512.455</v>
      </c>
      <c r="G47" s="26">
        <f>G27*G50</f>
        <v>130.55660032598402</v>
      </c>
      <c r="H47" s="5"/>
    </row>
    <row r="48">
      <c r="A48" s="16" t="s">
        <v>57</v>
      </c>
      <c r="B48" s="3">
        <f>IF(B120=0,"n.a.",B47/B120-1)</f>
        <v>0.005683216060621055</v>
      </c>
      <c r="C48" s="3">
        <f>IF(C120=0,"n.a.",C47/C120-1)</f>
        <v>0.0689730267865476</v>
      </c>
      <c r="D48" s="3">
        <f>IF(D120=0,"n.a.",D47/D120-1)</f>
        <v>0.052206549215599196</v>
      </c>
      <c r="E48" s="3">
        <f>IF(E120=0,"n.a.",E47/E120-1)</f>
        <v>0.10547465523092647</v>
      </c>
      <c r="F48" s="3">
        <f>IF(F120=0,"n.a.",F47/F120-1)</f>
        <v>0.059211505390568187</v>
      </c>
      <c r="G48" s="30">
        <f>IF(G120=0,"n.a.",G47/G120-1)</f>
        <v>0.06462966400000014</v>
      </c>
      <c r="H48" s="5"/>
    </row>
    <row r="49">
      <c r="A49" s="16" t="s">
        <v>66</v>
      </c>
      <c r="B49" s="1">
        <f>B47-E120</f>
        <v>-7.020999999999987</v>
      </c>
      <c r="C49" s="1">
        <f>C47-B47</f>
        <v>14.808999999999997</v>
      </c>
      <c r="D49" s="1">
        <f>D47-C47</f>
        <v>-28.382999999999996</v>
      </c>
      <c r="E49" s="1">
        <f>E47-D47</f>
        <v>34.27000000000005</v>
      </c>
      <c r="F49" s="1"/>
      <c r="G49" s="34">
        <f>G47-E47</f>
        <v>-12.770399674016033</v>
      </c>
      <c r="H49" s="5"/>
    </row>
    <row r="50">
      <c r="A50" s="16" t="s">
        <v>104</v>
      </c>
      <c r="B50" s="3">
        <f>IF(B27=0,"n.a.",B47/B27)</f>
        <v>0.13912480174622155</v>
      </c>
      <c r="C50" s="3">
        <f>IF(C27=0,"n.a.",C47/C27)</f>
        <v>0.18637473743590996</v>
      </c>
      <c r="D50" s="3">
        <f>IF(D27=0,"n.a.",D47/D27)</f>
        <v>0.1994951204119525</v>
      </c>
      <c r="E50" s="3">
        <f>IF(E27=0,"n.a.",E47/E27)</f>
        <v>0.1585063617311872</v>
      </c>
      <c r="F50" s="3">
        <f>IF(F27=0,"n.a.",F47/F27)</f>
        <v>0.16693514366641315</v>
      </c>
      <c r="G50" s="30">
        <f>B50</f>
        <v>0.13912480174622155</v>
      </c>
      <c r="H50" s="5"/>
    </row>
    <row r="51">
      <c r="A51" s="33" t="s">
        <v>61</v>
      </c>
      <c r="B51" s="36">
        <f>IF(B120=0,0,(B50-B120/B117)*10000)</f>
        <v>-81.42247043279983</v>
      </c>
      <c r="C51" s="36">
        <f>IF(C120=0,0,(C50-C120/C117)*10000)</f>
        <v>79.18264065165687</v>
      </c>
      <c r="D51" s="36">
        <f>IF(D120=0,0,(D50-D120/D117)*10000)</f>
        <v>-99.56323979725707</v>
      </c>
      <c r="E51" s="36">
        <f>IF(E120=0,0,(E50-E120/E117)*10000)</f>
        <v>25.122621034497083</v>
      </c>
      <c r="F51" s="36">
        <f>IF(F120=0,0,(F50-F120/F117)*10000)</f>
        <v>-13.779817571458185</v>
      </c>
      <c r="G51" s="35">
        <f>IF(G120=0,0,(G50-G120/G117)*10000)</f>
        <v>0</v>
      </c>
      <c r="H51" s="5"/>
    </row>
    <row r="52">
      <c r="A52" s="33" t="s">
        <v>60</v>
      </c>
      <c r="B52" s="36">
        <f>IF(E120=0,0,(B50-E120/E117)*10000)</f>
        <v>-168.69297881515948</v>
      </c>
      <c r="C52" s="36">
        <f>(C50-B50)*10000</f>
        <v>472.4993568968841</v>
      </c>
      <c r="D52" s="36">
        <f>(D50-C50)*10000</f>
        <v>131.20382976042538</v>
      </c>
      <c r="E52" s="36">
        <f>(E50-D50)*10000</f>
        <v>-409.8875868076529</v>
      </c>
      <c r="F52" s="36"/>
      <c r="G52" s="35">
        <f>(G50-E50)*10000</f>
        <v>-193.81559984965656</v>
      </c>
      <c r="H52" s="5"/>
    </row>
    <row r="53">
      <c r="A53" s="27" t="s">
        <v>107</v>
      </c>
      <c r="B53" s="17">
        <v>56.087</v>
      </c>
      <c r="C53" s="17">
        <v>60.647</v>
      </c>
      <c r="D53" s="17">
        <v>56.583</v>
      </c>
      <c r="E53" s="13">
        <f>F53-B53-C53-D53</f>
        <v>69.559</v>
      </c>
      <c r="F53" s="17">
        <v>242.876</v>
      </c>
      <c r="G53" s="26">
        <f>G27*G56</f>
        <v>59.71188396476802</v>
      </c>
      <c r="H53" s="5"/>
    </row>
    <row r="54">
      <c r="A54" s="16" t="s">
        <v>57</v>
      </c>
      <c r="B54" s="3">
        <f>IF(B121=0,"n.a.",B53/B121-1)</f>
        <v>-0.04252449725152785</v>
      </c>
      <c r="C54" s="3">
        <f>IF(C121=0,"n.a.",C53/C121-1)</f>
        <v>0.027915254237288023</v>
      </c>
      <c r="D54" s="3">
        <f>IF(D121=0,"n.a.",D53/D121-1)</f>
        <v>0.0932011824030603</v>
      </c>
      <c r="E54" s="3">
        <f>IF(E121=0,"n.a.",E53/E121-1)</f>
        <v>0.22808968926553663</v>
      </c>
      <c r="F54" s="3">
        <f>IF(F121=0,"n.a.",F53/F121-1)</f>
        <v>0.07478194683529749</v>
      </c>
      <c r="G54" s="30">
        <f>IF(G121=0,"n.a.",G53/G121-1)</f>
        <v>0.06462966400000036</v>
      </c>
      <c r="H54" s="5"/>
    </row>
    <row r="55">
      <c r="A55" s="16" t="s">
        <v>66</v>
      </c>
      <c r="B55" s="1">
        <f>B53-E121</f>
        <v>-0.5529999999999973</v>
      </c>
      <c r="C55" s="1">
        <f>C53-B53</f>
        <v>4.559999999999995</v>
      </c>
      <c r="D55" s="1">
        <f>D53-C53</f>
        <v>-4.064</v>
      </c>
      <c r="E55" s="1">
        <f>E53-D53</f>
        <v>12.975999999999999</v>
      </c>
      <c r="F55" s="1"/>
      <c r="G55" s="34">
        <f>G53-E53</f>
        <v>-9.847116035231977</v>
      </c>
      <c r="H55" s="5"/>
    </row>
    <row r="56">
      <c r="A56" s="16" t="s">
        <v>104</v>
      </c>
      <c r="B56" s="3">
        <f>IF(B27=0,"n.a.",B53/B27)</f>
        <v>0.06363067051186347</v>
      </c>
      <c r="C56" s="3">
        <f>IF(C27=0,"n.a.",C53/C27)</f>
        <v>0.08224002256457823</v>
      </c>
      <c r="D56" s="3">
        <f>IF(D27=0,"n.a.",D53/D27)</f>
        <v>0.10350580337135175</v>
      </c>
      <c r="E56" s="3">
        <f>IF(E27=0,"n.a.",E53/E27)</f>
        <v>0.0769257991561928</v>
      </c>
      <c r="F56" s="3">
        <f>IF(F27=0,"n.a.",F53/F27)</f>
        <v>0.07911824443731402</v>
      </c>
      <c r="G56" s="30">
        <f>B56</f>
        <v>0.06363067051186347</v>
      </c>
      <c r="H56" s="5"/>
    </row>
    <row r="57">
      <c r="A57" s="33" t="s">
        <v>61</v>
      </c>
      <c r="B57" s="36">
        <f>IF(B121=0,0,(B56-B121/B117)*10000)</f>
        <v>-71.15193648541171</v>
      </c>
      <c r="C57" s="36">
        <f>IF(C121=0,0,(C56-C121/C117)*10000)</f>
        <v>3.4869374590922044</v>
      </c>
      <c r="D57" s="36">
        <f>IF(D121=0,0,(D56-D121/D117)*10000)</f>
        <v>-10.905853968483925</v>
      </c>
      <c r="E57" s="36">
        <f>IF(E121=0,0,(E56-E121/E117)*10000)</f>
        <v>87.77943335109798</v>
      </c>
      <c r="F57" s="36">
        <f>IF(F121=0,0,(F56-F121/F117)*10000)</f>
        <v>5.025639528251635</v>
      </c>
      <c r="G57" s="35">
        <f>IF(G121=0,0,(G56-G121/G117)*10000)</f>
        <v>0</v>
      </c>
      <c r="H57" s="5"/>
    </row>
    <row r="58">
      <c r="A58" s="33" t="s">
        <v>60</v>
      </c>
      <c r="B58" s="36">
        <f>IF(E121=0,0,(B56-E121/E117)*10000)</f>
        <v>-45.17185309219532</v>
      </c>
      <c r="C58" s="36">
        <f>(C56-B56)*10000</f>
        <v>186.09352052714758</v>
      </c>
      <c r="D58" s="36">
        <f>(D56-C56)*10000</f>
        <v>212.6578080677352</v>
      </c>
      <c r="E58" s="36">
        <f>(E56-D56)*10000</f>
        <v>-265.8000421515895</v>
      </c>
      <c r="F58" s="36"/>
      <c r="G58" s="35">
        <f>(G56-E56)*10000</f>
        <v>-132.9512864432933</v>
      </c>
      <c r="H58" s="5"/>
    </row>
    <row r="59">
      <c r="A59" s="27" t="s">
        <v>108</v>
      </c>
      <c r="B59" s="17">
        <v>0</v>
      </c>
      <c r="C59" s="17">
        <v>0</v>
      </c>
      <c r="D59" s="17">
        <v>0</v>
      </c>
      <c r="E59" s="13">
        <f>F59-B59-C59-D59</f>
        <v>0</v>
      </c>
      <c r="F59" s="17">
        <v>0</v>
      </c>
      <c r="G59" s="26">
        <f>G27*G62</f>
        <v>0</v>
      </c>
      <c r="H59" s="5"/>
    </row>
    <row r="60">
      <c r="A60" s="16" t="s">
        <v>57</v>
      </c>
      <c r="B60" s="3" t="str">
        <f>IF(B122=0,"n.a.",B59/B122-1)</f>
        <v>n.a.</v>
      </c>
      <c r="C60" s="3" t="str">
        <f>IF(C122=0,"n.a.",C59/C122-1)</f>
        <v>n.a.</v>
      </c>
      <c r="D60" s="3" t="str">
        <f>IF(D122=0,"n.a.",D59/D122-1)</f>
        <v>n.a.</v>
      </c>
      <c r="E60" s="3" t="str">
        <f>IF(E122=0,"n.a.",E59/E122-1)</f>
        <v>n.a.</v>
      </c>
      <c r="F60" s="3" t="str">
        <f>IF(F122=0,"n.a.",F59/F122-1)</f>
        <v>n.a.</v>
      </c>
      <c r="G60" s="30" t="str">
        <f>IF(G122=0,"n.a.",G59/G122-1)</f>
        <v>n.a.</v>
      </c>
      <c r="H60" s="5"/>
    </row>
    <row r="61">
      <c r="A61" s="16" t="s">
        <v>66</v>
      </c>
      <c r="B61" s="1">
        <f>B59-E122</f>
        <v>0</v>
      </c>
      <c r="C61" s="1">
        <f>C59-B59</f>
        <v>0</v>
      </c>
      <c r="D61" s="1">
        <f>D59-C59</f>
        <v>0</v>
      </c>
      <c r="E61" s="1">
        <f>E59-D59</f>
        <v>0</v>
      </c>
      <c r="F61" s="1"/>
      <c r="G61" s="34">
        <f>G59-E59</f>
        <v>0</v>
      </c>
      <c r="H61" s="5"/>
    </row>
    <row r="62">
      <c r="A62" s="16" t="s">
        <v>104</v>
      </c>
      <c r="B62" s="3">
        <f>IF(B27=0,"n.a.",B59/B27)</f>
        <v>0</v>
      </c>
      <c r="C62" s="3">
        <f>IF(C27=0,"n.a.",C59/C27)</f>
        <v>0</v>
      </c>
      <c r="D62" s="3">
        <f>IF(D27=0,"n.a.",D59/D27)</f>
        <v>0</v>
      </c>
      <c r="E62" s="3">
        <f>IF(E27=0,"n.a.",E59/E27)</f>
        <v>0</v>
      </c>
      <c r="F62" s="3">
        <f>IF(F27=0,"n.a.",F59/F27)</f>
        <v>0</v>
      </c>
      <c r="G62" s="30">
        <f>B62</f>
        <v>0</v>
      </c>
      <c r="H62" s="5"/>
    </row>
    <row r="63">
      <c r="A63" s="33" t="s">
        <v>61</v>
      </c>
      <c r="B63" s="36">
        <f>IF(B117=0,"n.a.",(B62-B122/B117)*10000)</f>
        <v>0</v>
      </c>
      <c r="C63" s="36">
        <f>IF(C117=0,"n.a.",(C62-C122/C117)*10000)</f>
        <v>0</v>
      </c>
      <c r="D63" s="36">
        <f>IF(D117=0,"n.a.",(D62-D122/D117)*10000)</f>
        <v>0</v>
      </c>
      <c r="E63" s="36">
        <f>IF(E117=0,"n.a.",(E62-E122/E117)*10000)</f>
        <v>0</v>
      </c>
      <c r="F63" s="36">
        <f>IF(F117=0,"n.a.",(F62-F122/F117)*10000)</f>
        <v>0</v>
      </c>
      <c r="G63" s="35">
        <f>IF(G117=0,"n.a.",(G62-G122/G117)*10000)</f>
        <v>0</v>
      </c>
      <c r="H63" s="5"/>
    </row>
    <row r="64">
      <c r="A64" s="33" t="s">
        <v>60</v>
      </c>
      <c r="B64" s="36">
        <f>IF(E122=0,0,(B62-E122/E117)*10000)</f>
        <v>0</v>
      </c>
      <c r="C64" s="36">
        <f>(C62-B62)*10000</f>
        <v>0</v>
      </c>
      <c r="D64" s="36">
        <f>(D62-C62)*10000</f>
        <v>0</v>
      </c>
      <c r="E64" s="36">
        <f>(E62-D62)*10000</f>
        <v>0</v>
      </c>
      <c r="F64" s="36"/>
      <c r="G64" s="35">
        <f>(G62-E62)*10000</f>
        <v>0</v>
      </c>
      <c r="H64" s="5"/>
    </row>
    <row r="65">
      <c r="A65" s="27" t="s">
        <v>109</v>
      </c>
      <c r="B65" s="17">
        <v>0</v>
      </c>
      <c r="C65" s="17">
        <v>0</v>
      </c>
      <c r="D65" s="17">
        <v>0</v>
      </c>
      <c r="E65" s="13">
        <f>F65-B65-C65-D65</f>
        <v>0.436</v>
      </c>
      <c r="F65" s="17">
        <v>0.436</v>
      </c>
      <c r="G65" s="26">
        <f>G27*G68</f>
        <v>0</v>
      </c>
      <c r="H65" s="5"/>
    </row>
    <row r="66">
      <c r="A66" s="16" t="s">
        <v>57</v>
      </c>
      <c r="B66" s="3" t="str">
        <f>IF(B123=0,"n.a.",B65/B123-1)</f>
        <v>n.a.</v>
      </c>
      <c r="C66" s="3" t="str">
        <f>IF(C123=0,"n.a.",C65/C123-1)</f>
        <v>n.a.</v>
      </c>
      <c r="D66" s="3" t="str">
        <f>IF(D123=0,"n.a.",D65/D123-1)</f>
        <v>n.a.</v>
      </c>
      <c r="E66" s="3" t="str">
        <f>IF(E123=0,"n.a.",E65/E123-1)</f>
        <v>n.a.</v>
      </c>
      <c r="F66" s="3" t="str">
        <f>IF(F123=0,"n.a.",F65/F123-1)</f>
        <v>n.a.</v>
      </c>
      <c r="G66" s="30" t="str">
        <f>IF(G123=0,"n.a.",G65/G123-1)</f>
        <v>n.a.</v>
      </c>
      <c r="H66" s="5"/>
    </row>
    <row r="67">
      <c r="A67" s="16" t="s">
        <v>66</v>
      </c>
      <c r="B67" s="1">
        <f>B65-E123</f>
        <v>0</v>
      </c>
      <c r="C67" s="1">
        <f>C65-B65</f>
        <v>0</v>
      </c>
      <c r="D67" s="1">
        <f>D65-C65</f>
        <v>0</v>
      </c>
      <c r="E67" s="1">
        <f>E65-D65</f>
        <v>0.436</v>
      </c>
      <c r="F67" s="1"/>
      <c r="G67" s="34">
        <f>G65-E65</f>
        <v>-0.436</v>
      </c>
      <c r="H67" s="5"/>
    </row>
    <row r="68">
      <c r="A68" s="16" t="s">
        <v>104</v>
      </c>
      <c r="B68" s="3">
        <f>IF(B27=0,"n.a.",B65/B27)</f>
        <v>0</v>
      </c>
      <c r="C68" s="3">
        <f>IF(C27=0,"n.a.",C65/C27)</f>
        <v>0</v>
      </c>
      <c r="D68" s="3">
        <f>IF(D27=0,"n.a.",D65/D27)</f>
        <v>0</v>
      </c>
      <c r="E68" s="3">
        <f>IF(E27=0,"n.a.",E65/E27)</f>
        <v>0.000482175540650384</v>
      </c>
      <c r="F68" s="3">
        <f>IF(F27=0,"n.a.",F65/F27)</f>
        <v>0.00014202949066465567</v>
      </c>
      <c r="G68" s="30">
        <f>B68</f>
        <v>0</v>
      </c>
      <c r="H68" s="5"/>
    </row>
    <row r="69">
      <c r="A69" s="33" t="s">
        <v>61</v>
      </c>
      <c r="B69" s="36">
        <f>IF(B117=0,"n.a.",(B68-B123/B117)*10000)</f>
        <v>0</v>
      </c>
      <c r="C69" s="36">
        <f>IF(C117=0,"n.a.",(C68-C123/C117)*10000)</f>
        <v>0</v>
      </c>
      <c r="D69" s="36">
        <f>IF(D117=0,"n.a.",(D68-D123/D117)*10000)</f>
        <v>0</v>
      </c>
      <c r="E69" s="36">
        <f>IF(E117=0,"n.a.",(E68-E123/E117)*10000)</f>
        <v>4.82175540650384</v>
      </c>
      <c r="F69" s="36">
        <f>IF(F117=0,"n.a.",(F68-F123/F117)*10000)</f>
        <v>1.4202949066465567</v>
      </c>
      <c r="G69" s="35">
        <f>IF(G117=0,"n.a.",(G68-G123/G117)*10000)</f>
        <v>0</v>
      </c>
      <c r="H69" s="5" t="s">
        <v>110</v>
      </c>
    </row>
    <row r="70">
      <c r="A70" s="33" t="s">
        <v>60</v>
      </c>
      <c r="B70" s="36">
        <f>IF(E123=0,0,(B68-E123/E117)*10000)</f>
        <v>0</v>
      </c>
      <c r="C70" s="36">
        <f>(C68-B68)*10000</f>
        <v>0</v>
      </c>
      <c r="D70" s="36">
        <f>(D68-C68)*10000</f>
        <v>0</v>
      </c>
      <c r="E70" s="36">
        <f>(E68-D68)*10000</f>
        <v>4.82175540650384</v>
      </c>
      <c r="F70" s="36"/>
      <c r="G70" s="35">
        <f>(G68-E68)*10000</f>
        <v>-4.82175540650384</v>
      </c>
      <c r="H70" s="5"/>
    </row>
    <row r="71">
      <c r="A71" s="7" t="s">
        <v>111</v>
      </c>
      <c r="B71" s="28">
        <f>B41+B47+B53+B59+B65</f>
        <v>261.188</v>
      </c>
      <c r="C71" s="28">
        <f>C41+C47+C53+C59+C65</f>
        <v>266.512</v>
      </c>
      <c r="D71" s="28">
        <f>D41+D47+D53+D59+D65</f>
        <v>204.77700000000002</v>
      </c>
      <c r="E71" s="28">
        <f>E41+E47+E53+E59+E65</f>
        <v>288.4650000000001</v>
      </c>
      <c r="F71" s="28">
        <f>F41+F47+F53+F59+F65</f>
        <v>1020.9420000000001</v>
      </c>
      <c r="G71" s="19">
        <f>G41+G47+G53+G59+G65</f>
        <v>278.06849268083204</v>
      </c>
      <c r="H71" s="5"/>
    </row>
    <row r="72">
      <c r="A72" s="66" t="s">
        <v>57</v>
      </c>
      <c r="B72" s="3">
        <f>IF(B124=0,"n.a.",B71/B124-1)</f>
        <v>0.020879747973390206</v>
      </c>
      <c r="C72" s="3">
        <f>IF(C124=0,"n.a.",C71/C124-1)</f>
        <v>0.02755576118597336</v>
      </c>
      <c r="D72" s="3">
        <f>IF(D124=0,"n.a.",D71/D124-1)</f>
        <v>0.060065019101949835</v>
      </c>
      <c r="E72" s="3">
        <f>IF(E124=0,"n.a.",E71/E124-1)</f>
        <v>0.08393736824899434</v>
      </c>
      <c r="F72" s="3">
        <f>IF(F124=0,"n.a.",F71/F124-1)</f>
        <v>0.04764435943323453</v>
      </c>
      <c r="G72" s="30">
        <f>IF(G124=0,"n.a.",G71/G124-1)</f>
        <v>0.06462966400000014</v>
      </c>
      <c r="H72" s="5"/>
    </row>
    <row r="73">
      <c r="A73" s="66" t="s">
        <v>66</v>
      </c>
      <c r="B73" s="1">
        <f>B71-E124</f>
        <v>-4.9389999999999645</v>
      </c>
      <c r="C73" s="1">
        <f>C71-B71</f>
        <v>5.324000000000012</v>
      </c>
      <c r="D73" s="1">
        <f>D71-C71</f>
        <v>-61.734999999999985</v>
      </c>
      <c r="E73" s="1">
        <f>E71-D71</f>
        <v>83.68800000000007</v>
      </c>
      <c r="F73" s="1"/>
      <c r="G73" s="34">
        <f>G71-E71</f>
        <v>-10.396507319168052</v>
      </c>
      <c r="H73" s="5"/>
    </row>
    <row r="74">
      <c r="A74" s="7" t="s">
        <v>112</v>
      </c>
      <c r="B74" s="28">
        <f>B35+B71</f>
        <v>881.446</v>
      </c>
      <c r="C74" s="28">
        <f>C35+C71</f>
        <v>737.4390000000001</v>
      </c>
      <c r="D74" s="28">
        <f>D35+D71</f>
        <v>546.665</v>
      </c>
      <c r="E74" s="28">
        <f>E35+E71</f>
        <v>904.2349999999999</v>
      </c>
      <c r="F74" s="28">
        <f>F35+F71</f>
        <v>3069.785</v>
      </c>
      <c r="G74" s="19">
        <f>G35+G71</f>
        <v>938.4135588141442</v>
      </c>
      <c r="H74" s="5"/>
    </row>
    <row r="75">
      <c r="A75" s="5" t="s">
        <v>113</v>
      </c>
      <c r="B75" s="1">
        <f>ROUND(B74-B27,6)</f>
        <v>0</v>
      </c>
      <c r="C75" s="1">
        <f>ROUND(C74-C27,6)</f>
        <v>0</v>
      </c>
      <c r="D75" s="1">
        <f>ROUND(D74-D27,6)</f>
        <v>0</v>
      </c>
      <c r="E75" s="1">
        <f>ROUND(E74-E27,6)</f>
        <v>0</v>
      </c>
      <c r="F75" s="1">
        <f>ROUND(F74-F27,6)</f>
        <v>0</v>
      </c>
      <c r="G75" s="34">
        <f>ROUND(G74-G27,6)</f>
        <v>0</v>
      </c>
      <c r="H75" s="5"/>
    </row>
    <row r="76">
      <c r="A76" s="4"/>
      <c r="B76" s="4"/>
      <c r="C76" s="4"/>
      <c r="D76" s="4"/>
      <c r="E76" s="4"/>
      <c r="F76" s="4"/>
      <c r="G76" s="39"/>
      <c r="H76" s="5"/>
    </row>
    <row r="77">
      <c r="A77" s="7" t="s">
        <v>114</v>
      </c>
      <c r="B77" s="4"/>
      <c r="C77" s="4"/>
      <c r="D77" s="4"/>
      <c r="E77" s="4"/>
      <c r="F77" s="4"/>
      <c r="G77" s="39"/>
      <c r="H77" s="5"/>
    </row>
    <row r="78">
      <c r="A78" s="27" t="s">
        <v>115</v>
      </c>
      <c r="B78" s="13">
        <f>B27</f>
        <v>881.446</v>
      </c>
      <c r="C78" s="13">
        <f>C27</f>
        <v>737.439</v>
      </c>
      <c r="D78" s="13">
        <f>D27</f>
        <v>546.665</v>
      </c>
      <c r="E78" s="13">
        <f>E27</f>
        <v>904.235</v>
      </c>
      <c r="F78" s="13">
        <f>F27</f>
        <v>3069.785</v>
      </c>
      <c r="G78" s="26">
        <f>G27</f>
        <v>938.4135588141442</v>
      </c>
      <c r="H78" s="5"/>
    </row>
    <row r="79">
      <c r="A79" s="27" t="s">
        <v>116</v>
      </c>
      <c r="B79" s="17">
        <v>499.91</v>
      </c>
      <c r="C79" s="17">
        <v>434.835</v>
      </c>
      <c r="D79" s="17">
        <v>335.226</v>
      </c>
      <c r="E79" s="13">
        <f>F79-B79-C79-D79</f>
        <v>483.9229999999999</v>
      </c>
      <c r="F79" s="17">
        <v>1753.894</v>
      </c>
      <c r="G79" s="26" t="s">
        <v>117</v>
      </c>
      <c r="H79" s="5" t="s">
        <v>118</v>
      </c>
    </row>
    <row r="80">
      <c r="A80" s="16" t="s">
        <v>57</v>
      </c>
      <c r="B80" s="3">
        <f>IF(B126=0,"n.a.",B79/B126-1)</f>
        <v>0.05854153300173848</v>
      </c>
      <c r="C80" s="3">
        <f>IF(C126=0,"n.a.",C79/C126-1)</f>
        <v>0.0256848749604901</v>
      </c>
      <c r="D80" s="3">
        <f>IF(D126=0,"n.a.",D79/D126-1)</f>
        <v>0.068895698283586</v>
      </c>
      <c r="E80" s="3">
        <f>IF(E126=0,"n.a.",E79/E126-1)</f>
        <v>0.07351652568974365</v>
      </c>
      <c r="F80" s="3">
        <f>IF(F126=0,"n.a.",F79/F126-1)</f>
        <v>0.05617390225645846</v>
      </c>
      <c r="G80" s="30" t="s">
        <v>117</v>
      </c>
      <c r="H80" s="5"/>
    </row>
    <row r="81">
      <c r="A81" s="16" t="s">
        <v>66</v>
      </c>
      <c r="B81" s="1">
        <f>B79-E126</f>
        <v>49.126999999999896</v>
      </c>
      <c r="C81" s="1">
        <f>C79-B79</f>
        <v>-65.07500000000005</v>
      </c>
      <c r="D81" s="1">
        <f>D79-C79</f>
        <v>-99.60899999999998</v>
      </c>
      <c r="E81" s="1">
        <f>E79-D79</f>
        <v>148.6969999999999</v>
      </c>
      <c r="F81" s="1"/>
      <c r="G81" s="34" t="s">
        <v>117</v>
      </c>
      <c r="H81" s="5"/>
    </row>
    <row r="82">
      <c r="A82" s="73" t="s">
        <v>119</v>
      </c>
      <c r="B82" s="28">
        <f>B78-B79</f>
        <v>381.536</v>
      </c>
      <c r="C82" s="28">
        <f>C78-C79</f>
        <v>302.604</v>
      </c>
      <c r="D82" s="28">
        <f>D78-D79</f>
        <v>211.43899999999996</v>
      </c>
      <c r="E82" s="28">
        <f>E78-E79</f>
        <v>420.3120000000001</v>
      </c>
      <c r="F82" s="28">
        <f>F78-F79</f>
        <v>1315.8909999999998</v>
      </c>
      <c r="G82" s="19" t="s">
        <v>117</v>
      </c>
      <c r="H82" s="5"/>
    </row>
    <row r="83">
      <c r="A83" s="16" t="s">
        <v>120</v>
      </c>
      <c r="B83" s="3">
        <f>IF(B78=0,"n.a.",B82/B78)</f>
        <v>0.43285238120089037</v>
      </c>
      <c r="C83" s="3">
        <f>IF(C78=0,"n.a.",C82/C78)</f>
        <v>0.4103444488289879</v>
      </c>
      <c r="D83" s="3">
        <f>IF(D78=0,"n.a.",D82/D78)</f>
        <v>0.38677983774340774</v>
      </c>
      <c r="E83" s="3">
        <f>IF(E78=0,"n.a.",E82/E78)</f>
        <v>0.46482606844459695</v>
      </c>
      <c r="F83" s="3">
        <f>IF(F78=0,"n.a.",F82/F78)</f>
        <v>0.4286590103215697</v>
      </c>
      <c r="G83" s="30" t="s">
        <v>117</v>
      </c>
      <c r="H83" s="5"/>
    </row>
    <row r="84">
      <c r="A84" s="33" t="s">
        <v>74</v>
      </c>
      <c r="B84" s="36">
        <f>(B83-B127)*10000</f>
        <v>32.14190173289111</v>
      </c>
      <c r="C84" s="36">
        <f>(C83-C127)*10000</f>
        <v>-12.23325961529853</v>
      </c>
      <c r="D84" s="36">
        <f>(D83-D127)*10000</f>
        <v>205.52029035630582</v>
      </c>
      <c r="E84" s="36">
        <f>(E83-E127)*10000</f>
        <v>71.97094055389152</v>
      </c>
      <c r="F84" s="36">
        <f>(F83-F127)*10000</f>
        <v>63.729537097355625</v>
      </c>
      <c r="G84" s="35" t="s">
        <v>117</v>
      </c>
      <c r="H84" s="5"/>
    </row>
    <row r="85">
      <c r="A85" s="33" t="s">
        <v>73</v>
      </c>
      <c r="B85" s="36">
        <f>(B83-E127)*10000</f>
        <v>-247.76593188317432</v>
      </c>
      <c r="C85" s="36">
        <f>(C83-B83)*10000</f>
        <v>-225.07932371902461</v>
      </c>
      <c r="D85" s="36">
        <f>(D83-C83)*10000</f>
        <v>-235.64611085580168</v>
      </c>
      <c r="E85" s="36">
        <f>(E83-D83)*10000</f>
        <v>780.4623070118921</v>
      </c>
      <c r="F85" s="36"/>
      <c r="G85" s="35" t="s">
        <v>117</v>
      </c>
      <c r="H85" s="5"/>
    </row>
    <row r="86">
      <c r="A86" s="27" t="s">
        <v>121</v>
      </c>
      <c r="B86" s="17">
        <v>215.4</v>
      </c>
      <c r="C86" s="17">
        <v>205.577</v>
      </c>
      <c r="D86" s="17">
        <v>182.151</v>
      </c>
      <c r="E86" s="13">
        <f>F86-B86-C86-D86</f>
        <v>246.402</v>
      </c>
      <c r="F86" s="17">
        <v>849.53</v>
      </c>
      <c r="G86" s="26" t="s">
        <v>117</v>
      </c>
      <c r="H86" s="5"/>
    </row>
    <row r="87">
      <c r="A87" s="16" t="s">
        <v>57</v>
      </c>
      <c r="B87" s="3">
        <f>IF(B128=0,"n.a.",B86/B128-1)</f>
        <v>0.11515502932847377</v>
      </c>
      <c r="C87" s="3">
        <f>IF(C128=0,"n.a.",C86/C128-1)</f>
        <v>0.10057818941056795</v>
      </c>
      <c r="D87" s="3">
        <f>IF(D128=0,"n.a.",D86/D128-1)</f>
        <v>0.060608354392053254</v>
      </c>
      <c r="E87" s="3">
        <f>IF(E128=0,"n.a.",E86/E128-1)</f>
        <v>0.07487414826512162</v>
      </c>
      <c r="F87" s="3">
        <f>IF(F128=0,"n.a.",F86/F128-1)</f>
        <v>0.0878481599432468</v>
      </c>
      <c r="G87" s="30" t="s">
        <v>117</v>
      </c>
      <c r="H87" s="5"/>
    </row>
    <row r="88">
      <c r="A88" s="16" t="s">
        <v>66</v>
      </c>
      <c r="B88" s="1">
        <f>B86-E128</f>
        <v>-13.838000000000022</v>
      </c>
      <c r="C88" s="1">
        <f>C86-B86</f>
        <v>-9.823000000000008</v>
      </c>
      <c r="D88" s="1">
        <f>D86-C86</f>
        <v>-23.425999999999988</v>
      </c>
      <c r="E88" s="1">
        <f>E86-D86</f>
        <v>64.25099999999998</v>
      </c>
      <c r="F88" s="1"/>
      <c r="G88" s="34" t="s">
        <v>117</v>
      </c>
      <c r="H88" s="5"/>
    </row>
    <row r="89">
      <c r="A89" s="16" t="s">
        <v>122</v>
      </c>
      <c r="B89" s="3">
        <f>IF(B78=0,"n.a.",B86/B78)</f>
        <v>0.24437118099123487</v>
      </c>
      <c r="C89" s="3">
        <f>IF(C78=0,"n.a.",C86/C78)</f>
        <v>0.2787715322894504</v>
      </c>
      <c r="D89" s="3">
        <f>IF(D78=0,"n.a.",D86/D78)</f>
        <v>0.3332040646465386</v>
      </c>
      <c r="E89" s="3">
        <f>IF(E78=0,"n.a.",E86/E78)</f>
        <v>0.27249774671407323</v>
      </c>
      <c r="F89" s="3">
        <f>IF(F78=0,"n.a.",F86/F78)</f>
        <v>0.27673925046868103</v>
      </c>
      <c r="G89" s="30" t="s">
        <v>117</v>
      </c>
      <c r="H89" s="5"/>
    </row>
    <row r="90">
      <c r="A90" s="33" t="s">
        <v>74</v>
      </c>
      <c r="B90" s="36">
        <f>(B89-B129)*10000</f>
        <v>110.91470457736285</v>
      </c>
      <c r="C90" s="36">
        <f>(C89-C129)*10000</f>
        <v>195.09137204040516</v>
      </c>
      <c r="D90" s="36">
        <f>(D89-D129)*10000</f>
        <v>-138.58146752990464</v>
      </c>
      <c r="E90" s="36">
        <f>(E89-E129)*10000</f>
        <v>-33.15780346545172</v>
      </c>
      <c r="F90" s="36">
        <f>(F89-F129)*10000</f>
        <v>50.60683562710777</v>
      </c>
      <c r="G90" s="35" t="s">
        <v>117</v>
      </c>
      <c r="H90" s="5"/>
    </row>
    <row r="91">
      <c r="A91" s="33" t="s">
        <v>73</v>
      </c>
      <c r="B91" s="36">
        <f>(B89-E129)*10000</f>
        <v>-314.42346069383535</v>
      </c>
      <c r="C91" s="36">
        <f>(C89-B89)*10000</f>
        <v>344.0035129821553</v>
      </c>
      <c r="D91" s="36">
        <f>(D89-C89)*10000</f>
        <v>544.3253235708822</v>
      </c>
      <c r="E91" s="36">
        <f>(E89-D89)*10000</f>
        <v>-607.0631793246539</v>
      </c>
      <c r="F91" s="36"/>
      <c r="G91" s="35" t="s">
        <v>117</v>
      </c>
      <c r="H91" s="5"/>
    </row>
    <row r="92">
      <c r="A92" s="27" t="s">
        <v>123</v>
      </c>
      <c r="B92" s="17">
        <v>2.76</v>
      </c>
      <c r="C92" s="17">
        <v>2.462</v>
      </c>
      <c r="D92" s="17">
        <v>6.404</v>
      </c>
      <c r="E92" s="13">
        <f>F92-B92-C92-D92</f>
        <v>6.407000000000002</v>
      </c>
      <c r="F92" s="17">
        <v>18.033</v>
      </c>
      <c r="G92" s="26" t="s">
        <v>117</v>
      </c>
      <c r="H92" s="5"/>
    </row>
    <row r="93">
      <c r="A93" s="7" t="s">
        <v>124</v>
      </c>
      <c r="B93" s="28">
        <f>B78-B79-B86-B92</f>
        <v>163.376</v>
      </c>
      <c r="C93" s="28">
        <f>C78-C79-C86-C92</f>
        <v>94.56499999999998</v>
      </c>
      <c r="D93" s="28">
        <f>D78-D79-D86-D92</f>
        <v>22.883999999999954</v>
      </c>
      <c r="E93" s="28">
        <f>E78-E79-E86-E92</f>
        <v>167.50300000000013</v>
      </c>
      <c r="F93" s="28">
        <f>F78-F79-F86-F92</f>
        <v>448.32799999999986</v>
      </c>
      <c r="G93" s="19" t="s">
        <v>117</v>
      </c>
      <c r="H93" s="5"/>
    </row>
    <row r="94">
      <c r="A94" s="16" t="s">
        <v>125</v>
      </c>
      <c r="B94" s="3">
        <f>IF(B78=0,"n.a.",B93/B78)</f>
        <v>0.18534998173455888</v>
      </c>
      <c r="C94" s="3">
        <f>IF(C78=0,"n.a.",C93/C78)</f>
        <v>0.12823433531451414</v>
      </c>
      <c r="D94" s="3">
        <f>IF(D78=0,"n.a.",D93/D78)</f>
        <v>0.04186110323507076</v>
      </c>
      <c r="E94" s="3">
        <f>IF(E78=0,"n.a.",E93/E78)</f>
        <v>0.1852427742788104</v>
      </c>
      <c r="F94" s="3">
        <f>IF(F78=0,"n.a.",F93/F78)</f>
        <v>0.14604540708877004</v>
      </c>
      <c r="G94" s="30" t="s">
        <v>117</v>
      </c>
      <c r="H94" s="5"/>
    </row>
    <row r="95">
      <c r="A95" s="33" t="s">
        <v>74</v>
      </c>
      <c r="B95" s="36">
        <f>(B94-B132)*10000</f>
        <v>-92.07787170497362</v>
      </c>
      <c r="C95" s="36">
        <f>(C94-C132)*10000</f>
        <v>-214.57461811516615</v>
      </c>
      <c r="D95" s="36">
        <f>(D94-D132)*10000</f>
        <v>255.6307051775524</v>
      </c>
      <c r="E95" s="36">
        <f>(E94-E132)*10000</f>
        <v>70.4888496613637</v>
      </c>
      <c r="F95" s="36">
        <f>(F94-F132)*10000</f>
        <v>-18.474782333713634</v>
      </c>
      <c r="G95" s="35" t="s">
        <v>117</v>
      </c>
      <c r="H95" s="5"/>
    </row>
    <row r="96">
      <c r="A96" s="33" t="s">
        <v>73</v>
      </c>
      <c r="B96" s="36">
        <f>(B94-E132)*10000</f>
        <v>71.56092421884863</v>
      </c>
      <c r="C96" s="36">
        <f>(C94-B94)*10000</f>
        <v>-571.1564642004474</v>
      </c>
      <c r="D96" s="36">
        <f>(D94-C94)*10000</f>
        <v>-863.7323207944339</v>
      </c>
      <c r="E96" s="36">
        <f>(E94-D94)*10000</f>
        <v>1433.8167104373963</v>
      </c>
      <c r="F96" s="36"/>
      <c r="G96" s="35" t="s">
        <v>117</v>
      </c>
      <c r="H96" s="5"/>
    </row>
    <row r="97">
      <c r="A97" s="16" t="s">
        <v>57</v>
      </c>
      <c r="B97" s="3">
        <f>IF(B131=0,"n.a.",B93/B131-1)</f>
        <v>0.014159346969179643</v>
      </c>
      <c r="C97" s="3">
        <f>IF(C131=0,"n.a.",C93/C131-1)</f>
        <v>-0.12316408278317648</v>
      </c>
      <c r="D97" s="3">
        <f>IF(D131=0,"n.a.",D93/D131-1)</f>
        <v>1.8374457532547992</v>
      </c>
      <c r="E97" s="3">
        <f>IF(E131=0,"n.a.",E93/E131-1)</f>
        <v>0.13098991917787028</v>
      </c>
      <c r="F97" s="3">
        <f>IF(F131=0,"n.a.",F93/F131-1)</f>
        <v>0.05461397140981972</v>
      </c>
      <c r="G97" s="30" t="s">
        <v>117</v>
      </c>
      <c r="H97" s="5"/>
    </row>
    <row r="98">
      <c r="A98" s="27" t="s">
        <v>126</v>
      </c>
      <c r="B98" s="17">
        <v>163.376</v>
      </c>
      <c r="C98" s="17">
        <v>94.565</v>
      </c>
      <c r="D98" s="17">
        <v>22.884</v>
      </c>
      <c r="E98" s="17">
        <v>167.503</v>
      </c>
      <c r="F98" s="17">
        <v>448.328</v>
      </c>
      <c r="G98" s="26" t="s">
        <v>117</v>
      </c>
      <c r="H98" s="5"/>
    </row>
    <row r="99">
      <c r="A99" s="5" t="s">
        <v>127</v>
      </c>
      <c r="B99" s="1">
        <f>ROUND(B93-B98,6)</f>
        <v>0</v>
      </c>
      <c r="C99" s="1">
        <f>ROUND(C93-C98,6)</f>
        <v>0</v>
      </c>
      <c r="D99" s="1">
        <f>ROUND(D93-D98,6)</f>
        <v>0</v>
      </c>
      <c r="E99" s="1">
        <f>ROUND(E93-E98,6)</f>
        <v>0</v>
      </c>
      <c r="F99" s="1">
        <f>ROUND(F93-F98,6)</f>
        <v>0</v>
      </c>
      <c r="G99" s="34" t="s">
        <v>117</v>
      </c>
      <c r="H99" s="5"/>
    </row>
    <row r="100">
      <c r="A100" s="27" t="s">
        <v>128</v>
      </c>
      <c r="B100" s="17">
        <v>-0.565</v>
      </c>
      <c r="C100" s="17">
        <v>-0.966</v>
      </c>
      <c r="D100" s="17">
        <v>-0.728</v>
      </c>
      <c r="E100" s="17">
        <v>-0.216</v>
      </c>
      <c r="F100" s="17">
        <v>-2.475</v>
      </c>
      <c r="G100" s="26" t="s">
        <v>117</v>
      </c>
      <c r="H100" s="5"/>
    </row>
    <row r="101">
      <c r="A101" s="7" t="s">
        <v>129</v>
      </c>
      <c r="B101" s="28">
        <f>B93-B100</f>
        <v>163.941</v>
      </c>
      <c r="C101" s="28">
        <f>C93-C100</f>
        <v>95.53099999999998</v>
      </c>
      <c r="D101" s="28">
        <f>D93-D100</f>
        <v>23.611999999999956</v>
      </c>
      <c r="E101" s="28">
        <f>E93-E100</f>
        <v>167.71900000000014</v>
      </c>
      <c r="F101" s="28">
        <f>F93-F100</f>
        <v>450.8029999999999</v>
      </c>
      <c r="G101" s="19" t="s">
        <v>117</v>
      </c>
      <c r="H101" s="5"/>
    </row>
    <row r="102">
      <c r="A102" s="27" t="s">
        <v>130</v>
      </c>
      <c r="B102" s="17">
        <v>5.18</v>
      </c>
      <c r="C102" s="17">
        <v>3.5</v>
      </c>
      <c r="D102" s="17">
        <v>6.7</v>
      </c>
      <c r="E102" s="17">
        <v>7.237</v>
      </c>
      <c r="F102" s="17">
        <v>22.617</v>
      </c>
      <c r="G102" s="26" t="s">
        <v>117</v>
      </c>
      <c r="H102" s="5"/>
    </row>
    <row r="103">
      <c r="A103" s="27" t="s">
        <v>131</v>
      </c>
      <c r="B103" s="17">
        <v>0</v>
      </c>
      <c r="C103" s="17">
        <v>0</v>
      </c>
      <c r="D103" s="17">
        <v>0</v>
      </c>
      <c r="E103" s="17">
        <v>0.102</v>
      </c>
      <c r="F103" s="17">
        <v>0.102</v>
      </c>
      <c r="G103" s="26" t="s">
        <v>117</v>
      </c>
      <c r="H103" s="5"/>
    </row>
    <row r="104">
      <c r="A104" s="27" t="s">
        <v>132</v>
      </c>
      <c r="B104" s="17">
        <v>0</v>
      </c>
      <c r="C104" s="17">
        <v>-0.4</v>
      </c>
      <c r="D104" s="17">
        <v>0</v>
      </c>
      <c r="E104" s="17">
        <v>0</v>
      </c>
      <c r="F104" s="17">
        <v>-0.4</v>
      </c>
      <c r="G104" s="26" t="s">
        <v>117</v>
      </c>
      <c r="H104" s="5"/>
    </row>
    <row r="105">
      <c r="A105" s="7" t="s">
        <v>133</v>
      </c>
      <c r="B105" s="28">
        <f>B101+B102+B103+B104</f>
        <v>169.121</v>
      </c>
      <c r="C105" s="28">
        <f>C101+C102+C103+C104</f>
        <v>98.63099999999997</v>
      </c>
      <c r="D105" s="28">
        <f>D101+D102+D103+D104</f>
        <v>30.311999999999955</v>
      </c>
      <c r="E105" s="28">
        <f>E101+E102+E103+E104</f>
        <v>175.05800000000013</v>
      </c>
      <c r="F105" s="28">
        <f>F101+F102+F103+F104</f>
        <v>473.1219999999999</v>
      </c>
      <c r="G105" s="19">
        <f>G78*G108</f>
        <v>180.98964696415817</v>
      </c>
      <c r="H105" s="5"/>
    </row>
    <row r="106">
      <c r="A106" s="66" t="s">
        <v>57</v>
      </c>
      <c r="B106" s="3">
        <f>IF(B133=0,"n.a.",B105/B133-1)</f>
        <v>0.03120674621805719</v>
      </c>
      <c r="C106" s="3">
        <f>IF(C133=0,"n.a.",C105/C133-1)</f>
        <v>-0.10949096227812005</v>
      </c>
      <c r="D106" s="3">
        <f>IF(D133=0,"n.a.",D105/D133-1)</f>
        <v>1.7878230479168544</v>
      </c>
      <c r="E106" s="3">
        <f>IF(E133=0,"n.a.",E105/E133-1)</f>
        <v>0.14602004543282399</v>
      </c>
      <c r="F106" s="3">
        <f>IF(F133=0,"n.a.",F105/F133-1)</f>
        <v>0.07923364515827314</v>
      </c>
      <c r="G106" s="30">
        <f>IF(G133=0,"n.a.",G105/G133-1)</f>
        <v>0.07017843416345793</v>
      </c>
      <c r="H106" s="5"/>
    </row>
    <row r="107">
      <c r="A107" s="66" t="s">
        <v>66</v>
      </c>
      <c r="B107" s="1">
        <f>B105-E133</f>
        <v>16.368000000000023</v>
      </c>
      <c r="C107" s="1">
        <f>C105-B105</f>
        <v>-70.49000000000004</v>
      </c>
      <c r="D107" s="1">
        <f>D105-C105</f>
        <v>-68.31900000000002</v>
      </c>
      <c r="E107" s="1">
        <f>E105-D105</f>
        <v>144.74600000000018</v>
      </c>
      <c r="F107" s="1"/>
      <c r="G107" s="34">
        <f>G105-E105</f>
        <v>5.931646964158034</v>
      </c>
      <c r="H107" s="5"/>
    </row>
    <row r="108">
      <c r="A108" s="66" t="s">
        <v>134</v>
      </c>
      <c r="B108" s="3">
        <f>IF(B78=0,"n.a.",B105/B78)</f>
        <v>0.19186768106043933</v>
      </c>
      <c r="C108" s="3">
        <f>IF(C78=0,"n.a.",C105/C78)</f>
        <v>0.13374801169995074</v>
      </c>
      <c r="D108" s="3">
        <f>IF(D78=0,"n.a.",D105/D78)</f>
        <v>0.05544894953948022</v>
      </c>
      <c r="E108" s="3">
        <f>IF(E78=0,"n.a.",E105/E78)</f>
        <v>0.19359790319994263</v>
      </c>
      <c r="F108" s="3">
        <f>IF(F78=0,"n.a.",F105/F78)</f>
        <v>0.15412219422532847</v>
      </c>
      <c r="G108" s="30">
        <f>G134+G111/10000</f>
        <v>0.19286768106043933</v>
      </c>
      <c r="H108" s="5"/>
    </row>
    <row r="109">
      <c r="A109" s="16" t="s">
        <v>74</v>
      </c>
      <c r="B109" s="36">
        <f>(B108-B134)*10000</f>
        <v>-62.02139689651831</v>
      </c>
      <c r="C109" s="36">
        <f>(C108-C134)*10000</f>
        <v>-199.8283232205167</v>
      </c>
      <c r="D109" s="36">
        <f>(D108-D134)*10000</f>
        <v>334.76412684505436</v>
      </c>
      <c r="E109" s="36">
        <f>(E108-E134)*10000</f>
        <v>98.09248181618297</v>
      </c>
      <c r="F109" s="36">
        <f>(F108-F134)*10000</f>
        <v>16.106894237175872</v>
      </c>
      <c r="G109" s="35">
        <f>(G108-G134)*10000</f>
        <v>10.000000000000009</v>
      </c>
      <c r="H109" s="5"/>
    </row>
    <row r="110">
      <c r="A110" s="16" t="s">
        <v>135</v>
      </c>
      <c r="B110" s="36">
        <f>(B108-E134)*10000</f>
        <v>80.79026042114995</v>
      </c>
      <c r="C110" s="36">
        <f>(C108-B108)*10000</f>
        <v>-581.1966936048859</v>
      </c>
      <c r="D110" s="36">
        <f>(D108-C108)*10000</f>
        <v>-782.9906216047051</v>
      </c>
      <c r="E110" s="36">
        <f>(E108-D108)*10000</f>
        <v>1381.4895366046242</v>
      </c>
      <c r="F110" s="36"/>
      <c r="G110" s="35">
        <f>(G108-E108)*10000</f>
        <v>-7.302221395033004</v>
      </c>
      <c r="H110" s="5"/>
    </row>
    <row r="111">
      <c r="A111" s="27" t="s">
        <v>136</v>
      </c>
      <c r="B111" s="53"/>
      <c r="C111" s="53"/>
      <c r="D111" s="53"/>
      <c r="E111" s="53"/>
      <c r="F111" s="53"/>
      <c r="G111" s="98">
        <v>10</v>
      </c>
      <c r="H111" s="5" t="s">
        <v>137</v>
      </c>
    </row>
    <row r="112">
      <c r="A112" s="27" t="s">
        <v>138</v>
      </c>
      <c r="B112" s="17">
        <v>169.121</v>
      </c>
      <c r="C112" s="17">
        <v>98.631</v>
      </c>
      <c r="D112" s="17">
        <v>30.312</v>
      </c>
      <c r="E112" s="17">
        <v>175.058</v>
      </c>
      <c r="F112" s="17">
        <v>473.122</v>
      </c>
      <c r="G112" s="26" t="s">
        <v>117</v>
      </c>
      <c r="H112" s="5"/>
    </row>
    <row r="113">
      <c r="A113" s="5" t="s">
        <v>139</v>
      </c>
      <c r="B113" s="1">
        <f>ROUND(B105-B112,6)</f>
        <v>0</v>
      </c>
      <c r="C113" s="1">
        <f>ROUND(C105-C112,6)</f>
        <v>0</v>
      </c>
      <c r="D113" s="1">
        <f>ROUND(D105-D112,6)</f>
        <v>0</v>
      </c>
      <c r="E113" s="1">
        <f>ROUND(E105-E112,6)</f>
        <v>0</v>
      </c>
      <c r="F113" s="1">
        <f>ROUND(F105-F112,6)</f>
        <v>0</v>
      </c>
      <c r="G113" s="34" t="s">
        <v>117</v>
      </c>
      <c r="H113" s="5"/>
    </row>
    <row r="114">
      <c r="A114" s="27" t="s">
        <v>140</v>
      </c>
      <c r="B114" s="13" t="s">
        <v>45</v>
      </c>
      <c r="C114" s="13" t="s">
        <v>45</v>
      </c>
      <c r="D114" s="13" t="s">
        <v>45</v>
      </c>
      <c r="E114" s="13" t="s">
        <v>45</v>
      </c>
      <c r="F114" s="13" t="s">
        <v>45</v>
      </c>
      <c r="G114" s="26" t="s">
        <v>45</v>
      </c>
      <c r="H114" s="5" t="s">
        <v>141</v>
      </c>
    </row>
    <row r="115">
      <c r="A115" s="4"/>
      <c r="B115" s="4"/>
      <c r="C115" s="4"/>
      <c r="D115" s="4"/>
      <c r="E115" s="4"/>
      <c r="F115" s="4"/>
      <c r="G115" s="39"/>
      <c r="H115" s="5"/>
    </row>
    <row r="116">
      <c r="A116" s="7" t="s">
        <v>142</v>
      </c>
      <c r="B116" s="4"/>
      <c r="C116" s="4"/>
      <c r="D116" s="4"/>
      <c r="E116" s="4"/>
      <c r="F116" s="4"/>
      <c r="G116" s="39"/>
      <c r="H116" s="5"/>
    </row>
    <row r="117">
      <c r="A117" s="7" t="s">
        <v>143</v>
      </c>
      <c r="B117" s="85">
        <v>828.006</v>
      </c>
      <c r="C117" s="85">
        <v>720.467</v>
      </c>
      <c r="D117" s="85">
        <v>494.845</v>
      </c>
      <c r="E117" s="85">
        <v>831.134</v>
      </c>
      <c r="F117" s="85">
        <v>2874.452</v>
      </c>
      <c r="G117" s="19">
        <f>B27</f>
        <v>881.446</v>
      </c>
      <c r="H117" s="5" t="s">
        <v>144</v>
      </c>
    </row>
    <row r="118">
      <c r="A118" s="27" t="s">
        <v>145</v>
      </c>
      <c r="B118" s="17">
        <v>572.16</v>
      </c>
      <c r="C118" s="17">
        <v>461.102</v>
      </c>
      <c r="D118" s="17">
        <v>301.671</v>
      </c>
      <c r="E118" s="13">
        <f>F118-B118-C118-D118</f>
        <v>565.0070000000003</v>
      </c>
      <c r="F118" s="17">
        <v>1899.94</v>
      </c>
      <c r="G118" s="26">
        <f>B35</f>
        <v>620.258</v>
      </c>
      <c r="H118" s="5"/>
    </row>
    <row r="119">
      <c r="A119" s="27" t="s">
        <v>146</v>
      </c>
      <c r="B119" s="17">
        <v>75.33</v>
      </c>
      <c r="C119" s="17">
        <v>71.793</v>
      </c>
      <c r="D119" s="17">
        <v>37.769</v>
      </c>
      <c r="E119" s="13">
        <f>F119-B119-C119-D119</f>
        <v>79.83499999999998</v>
      </c>
      <c r="F119" s="17">
        <v>264.727</v>
      </c>
      <c r="G119" s="26">
        <f>B41</f>
        <v>82.47</v>
      </c>
      <c r="H119" s="5"/>
    </row>
    <row r="120">
      <c r="A120" s="27" t="s">
        <v>147</v>
      </c>
      <c r="B120" s="17">
        <v>121.938</v>
      </c>
      <c r="C120" s="17">
        <v>128.572</v>
      </c>
      <c r="D120" s="17">
        <v>103.646</v>
      </c>
      <c r="E120" s="13">
        <f>F120-B120-C120-D120</f>
        <v>129.652</v>
      </c>
      <c r="F120" s="17">
        <v>483.808</v>
      </c>
      <c r="G120" s="26">
        <f>B47</f>
        <v>122.631</v>
      </c>
      <c r="H120" s="5"/>
    </row>
    <row r="121">
      <c r="A121" s="27" t="s">
        <v>148</v>
      </c>
      <c r="B121" s="17">
        <v>58.578</v>
      </c>
      <c r="C121" s="17">
        <v>59</v>
      </c>
      <c r="D121" s="17">
        <v>51.759</v>
      </c>
      <c r="E121" s="13">
        <f>F121-B121-C121-D121</f>
        <v>56.64</v>
      </c>
      <c r="F121" s="17">
        <v>225.977</v>
      </c>
      <c r="G121" s="26">
        <f>B53</f>
        <v>56.087</v>
      </c>
      <c r="H121" s="5" t="s">
        <v>149</v>
      </c>
    </row>
    <row r="122">
      <c r="A122" s="27" t="s">
        <v>150</v>
      </c>
      <c r="B122" s="17">
        <v>0</v>
      </c>
      <c r="C122" s="17">
        <v>0</v>
      </c>
      <c r="D122" s="17">
        <v>0</v>
      </c>
      <c r="E122" s="13">
        <f>F122-B122-C122-D122</f>
        <v>0</v>
      </c>
      <c r="F122" s="17">
        <v>0</v>
      </c>
      <c r="G122" s="26">
        <f>B59</f>
        <v>0</v>
      </c>
      <c r="H122" s="5"/>
    </row>
    <row r="123">
      <c r="A123" s="27" t="s">
        <v>151</v>
      </c>
      <c r="B123" s="17">
        <v>0</v>
      </c>
      <c r="C123" s="17">
        <v>0</v>
      </c>
      <c r="D123" s="17">
        <v>0</v>
      </c>
      <c r="E123" s="13">
        <f>F123-B123-C123-D123</f>
        <v>0</v>
      </c>
      <c r="F123" s="17">
        <v>0</v>
      </c>
      <c r="G123" s="26">
        <f>B65</f>
        <v>0</v>
      </c>
      <c r="H123" s="5"/>
    </row>
    <row r="124">
      <c r="A124" s="73" t="s">
        <v>152</v>
      </c>
      <c r="B124" s="28">
        <f>B119+B120+B121+B122+B123</f>
        <v>255.846</v>
      </c>
      <c r="C124" s="28">
        <f>C119+C120+C121+C122+C123</f>
        <v>259.365</v>
      </c>
      <c r="D124" s="28">
        <f>D119+D120+D121+D122+D123</f>
        <v>193.17399999999998</v>
      </c>
      <c r="E124" s="28">
        <f>E119+E120+E121+E122+E123</f>
        <v>266.12699999999995</v>
      </c>
      <c r="F124" s="28">
        <f>F119+F120+F121+F122+F123</f>
        <v>974.512</v>
      </c>
      <c r="G124" s="19">
        <f>G119+G120+G121+G122+G123</f>
        <v>261.188</v>
      </c>
      <c r="H124" s="5"/>
    </row>
    <row r="125">
      <c r="A125" s="5" t="s">
        <v>153</v>
      </c>
      <c r="B125" s="1">
        <f>ROUND(B118+B124-B117,6)</f>
        <v>0</v>
      </c>
      <c r="C125" s="1">
        <f>ROUND(C118+C124-C117,6)</f>
        <v>0</v>
      </c>
      <c r="D125" s="1">
        <f>ROUND(D118+D124-D117,6)</f>
        <v>0</v>
      </c>
      <c r="E125" s="1">
        <f>ROUND(E118+E124-E117,6)</f>
        <v>0</v>
      </c>
      <c r="F125" s="1">
        <f>ROUND(F118+F124-F117,6)</f>
        <v>0</v>
      </c>
      <c r="G125" s="34">
        <f>ROUND(G118+G124-G117,6)</f>
        <v>0</v>
      </c>
      <c r="H125" s="5"/>
    </row>
    <row r="126">
      <c r="A126" s="27" t="s">
        <v>154</v>
      </c>
      <c r="B126" s="17">
        <v>472.263</v>
      </c>
      <c r="C126" s="17">
        <v>423.946</v>
      </c>
      <c r="D126" s="17">
        <v>313.619</v>
      </c>
      <c r="E126" s="13">
        <f>F126-B126-C126-D126</f>
        <v>450.78300000000013</v>
      </c>
      <c r="F126" s="17">
        <v>1660.611</v>
      </c>
      <c r="G126" s="26">
        <f>B79</f>
        <v>499.91</v>
      </c>
      <c r="H126" s="5"/>
    </row>
    <row r="127">
      <c r="A127" s="16" t="s">
        <v>155</v>
      </c>
      <c r="B127" s="3">
        <f>1-B126/B117</f>
        <v>0.42963819102760126</v>
      </c>
      <c r="C127" s="3">
        <f>1-C126/C117</f>
        <v>0.41156777479051776</v>
      </c>
      <c r="D127" s="3">
        <f>1-D126/D117</f>
        <v>0.36622780870777716</v>
      </c>
      <c r="E127" s="3">
        <f>1-E126/E117</f>
        <v>0.4576289743892078</v>
      </c>
      <c r="F127" s="3">
        <f>1-F126/F117</f>
        <v>0.42228605661183416</v>
      </c>
      <c r="G127" s="30">
        <f>1-G126/G117</f>
        <v>0.4328523812008903</v>
      </c>
      <c r="H127" s="5"/>
    </row>
    <row r="128">
      <c r="A128" s="27" t="s">
        <v>156</v>
      </c>
      <c r="B128" s="17">
        <v>193.157</v>
      </c>
      <c r="C128" s="17">
        <v>186.79</v>
      </c>
      <c r="D128" s="17">
        <v>171.742</v>
      </c>
      <c r="E128" s="13">
        <f>F128-B128-C128-D128</f>
        <v>229.23800000000003</v>
      </c>
      <c r="F128" s="17">
        <v>780.927</v>
      </c>
      <c r="G128" s="26">
        <f>B86</f>
        <v>215.4</v>
      </c>
      <c r="H128" s="5"/>
    </row>
    <row r="129">
      <c r="A129" s="16" t="s">
        <v>157</v>
      </c>
      <c r="B129" s="3">
        <f>B128/B117</f>
        <v>0.23327971053349858</v>
      </c>
      <c r="C129" s="3">
        <f>C128/C117</f>
        <v>0.2592623950854099</v>
      </c>
      <c r="D129" s="3">
        <f>D128/D117</f>
        <v>0.3470622113995291</v>
      </c>
      <c r="E129" s="3">
        <f>E128/E117</f>
        <v>0.2758135270606184</v>
      </c>
      <c r="F129" s="3">
        <f>F128/F117</f>
        <v>0.27167856690597025</v>
      </c>
      <c r="G129" s="30">
        <f>G128/G117</f>
        <v>0.24437118099123487</v>
      </c>
      <c r="H129" s="5"/>
    </row>
    <row r="130">
      <c r="A130" s="27" t="s">
        <v>158</v>
      </c>
      <c r="B130" s="17">
        <v>1.491</v>
      </c>
      <c r="C130" s="17">
        <v>1.883</v>
      </c>
      <c r="D130" s="17">
        <v>1.419</v>
      </c>
      <c r="E130" s="13">
        <f>F130-B130-C130-D130</f>
        <v>3.0099999999999993</v>
      </c>
      <c r="F130" s="17">
        <v>7.803</v>
      </c>
      <c r="G130" s="26">
        <f>B92</f>
        <v>2.76</v>
      </c>
      <c r="H130" s="5"/>
    </row>
    <row r="131">
      <c r="A131" s="27" t="s">
        <v>159</v>
      </c>
      <c r="B131" s="17">
        <v>161.095</v>
      </c>
      <c r="C131" s="17">
        <v>107.848</v>
      </c>
      <c r="D131" s="17">
        <v>8.065</v>
      </c>
      <c r="E131" s="17">
        <v>148.103</v>
      </c>
      <c r="F131" s="17">
        <v>425.111</v>
      </c>
      <c r="G131" s="26">
        <f>B93</f>
        <v>163.376</v>
      </c>
      <c r="H131" s="5"/>
    </row>
    <row r="132">
      <c r="A132" s="16" t="s">
        <v>160</v>
      </c>
      <c r="B132" s="3">
        <f>B131/B117</f>
        <v>0.19455776890505624</v>
      </c>
      <c r="C132" s="3">
        <f>C131/C117</f>
        <v>0.14969179712603076</v>
      </c>
      <c r="D132" s="3">
        <f>D131/D117</f>
        <v>0.01629803271731552</v>
      </c>
      <c r="E132" s="3">
        <f>E131/E117</f>
        <v>0.17819388931267402</v>
      </c>
      <c r="F132" s="3">
        <f>F131/F117</f>
        <v>0.1478928853221414</v>
      </c>
      <c r="G132" s="30">
        <f>G131/G117</f>
        <v>0.18534998173455888</v>
      </c>
      <c r="H132" s="5"/>
    </row>
    <row r="133">
      <c r="A133" s="27" t="s">
        <v>161</v>
      </c>
      <c r="B133" s="17">
        <v>164.003</v>
      </c>
      <c r="C133" s="17">
        <v>110.758</v>
      </c>
      <c r="D133" s="17">
        <v>10.873</v>
      </c>
      <c r="E133" s="17">
        <v>152.753</v>
      </c>
      <c r="F133" s="17">
        <v>438.387</v>
      </c>
      <c r="G133" s="26">
        <f>B105</f>
        <v>169.121</v>
      </c>
      <c r="H133" s="5"/>
    </row>
    <row r="134">
      <c r="A134" s="16" t="s">
        <v>162</v>
      </c>
      <c r="B134" s="3">
        <f>B133/B117</f>
        <v>0.19806982075009116</v>
      </c>
      <c r="C134" s="3">
        <f>C133/C117</f>
        <v>0.1537308440220024</v>
      </c>
      <c r="D134" s="3">
        <f>D133/D117</f>
        <v>0.021972536854974786</v>
      </c>
      <c r="E134" s="3">
        <f>E133/E117</f>
        <v>0.18378865501832434</v>
      </c>
      <c r="F134" s="3">
        <f>F133/F117</f>
        <v>0.15251150480161088</v>
      </c>
      <c r="G134" s="30">
        <f>G133/G117</f>
        <v>0.19186768106043933</v>
      </c>
      <c r="H134" s="5"/>
    </row>
    <row r="135">
      <c r="A135" s="4"/>
      <c r="B135" s="4"/>
      <c r="C135" s="4"/>
      <c r="D135" s="4"/>
      <c r="E135" s="4"/>
      <c r="F135" s="4"/>
      <c r="G135" s="39"/>
      <c r="H135" s="5"/>
    </row>
    <row r="136">
      <c r="A136" s="7" t="s">
        <v>163</v>
      </c>
      <c r="B136" s="43"/>
      <c r="C136" s="43"/>
      <c r="D136" s="43"/>
      <c r="E136" s="43"/>
      <c r="F136" s="43"/>
      <c r="G136" s="58" t="b">
        <f>AND(MAX(ABS(B75),ABS(C75),ABS(D75),ABS(E75),ABS(F75),ABS(G75))&lt;0.001,MAX(ABS(B99),ABS(C99),ABS(D99),ABS(E99),ABS(F99))&lt;0.001,MAX(ABS(B113),ABS(C113),ABS(D113),ABS(E113),ABS(F113))&lt;0.001,MAX(ABS(B125),ABS(C125),ABS(D125),ABS(E125),ABS(F125))&lt;0.001)</f>
        <v>1</v>
      </c>
      <c r="H136" s="5"/>
    </row>
    <row r="137">
      <c r="A137" s="4"/>
      <c r="B137" s="4"/>
      <c r="C137" s="4"/>
      <c r="D137" s="4"/>
      <c r="E137" s="4"/>
      <c r="F137" s="4"/>
      <c r="G137" s="39"/>
      <c r="H137" s="5"/>
    </row>
    <row r="138">
      <c r="A138" s="4"/>
      <c r="B138" s="4"/>
      <c r="C138" s="4"/>
      <c r="D138" s="4"/>
      <c r="E138" s="4"/>
      <c r="F138" s="4"/>
      <c r="G138" s="39"/>
      <c r="H138" s="5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9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164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84</v>
      </c>
      <c r="B8" s="4"/>
      <c r="C8" s="4"/>
      <c r="D8" s="4"/>
      <c r="E8" s="4"/>
      <c r="F8" s="4"/>
      <c r="G8" s="39"/>
      <c r="H8" s="5"/>
    </row>
    <row r="9">
      <c r="A9" s="27" t="s">
        <v>70</v>
      </c>
      <c r="B9" s="13">
        <f>B118</f>
        <v>489.96</v>
      </c>
      <c r="C9" s="13">
        <f>C118</f>
        <v>511.231</v>
      </c>
      <c r="D9" s="13">
        <f>D118</f>
        <v>458.42</v>
      </c>
      <c r="E9" s="13">
        <f>E118</f>
        <v>536.205</v>
      </c>
      <c r="F9" s="13">
        <f>F118</f>
        <v>1995.816</v>
      </c>
      <c r="G9" s="26">
        <f>G118</f>
        <v>538.478</v>
      </c>
      <c r="H9" s="5"/>
    </row>
    <row r="10">
      <c r="A10" s="66" t="s">
        <v>71</v>
      </c>
      <c r="B10" s="37">
        <v>0.067</v>
      </c>
      <c r="C10" s="37">
        <v>0.027000000000000003</v>
      </c>
      <c r="D10" s="37">
        <v>0.051</v>
      </c>
      <c r="E10" s="37">
        <v>0.022</v>
      </c>
      <c r="F10" s="37">
        <v>0.040999999999999995</v>
      </c>
      <c r="G10" s="82">
        <v>0.038</v>
      </c>
      <c r="H10" s="5" t="s">
        <v>85</v>
      </c>
    </row>
    <row r="11">
      <c r="A11" s="16" t="s">
        <v>73</v>
      </c>
      <c r="B11" s="36"/>
      <c r="C11" s="36">
        <f>(C10-B10)*10000</f>
        <v>-400</v>
      </c>
      <c r="D11" s="36">
        <f>(D10-C10)*10000</f>
        <v>239.99999999999994</v>
      </c>
      <c r="E11" s="36">
        <f>(E10-D10)*10000</f>
        <v>-290</v>
      </c>
      <c r="F11" s="36"/>
      <c r="G11" s="35">
        <f>(G10-E10)*10000</f>
        <v>160</v>
      </c>
      <c r="H11" s="5"/>
    </row>
    <row r="12">
      <c r="A12" s="16" t="s">
        <v>74</v>
      </c>
      <c r="B12" s="36" t="s">
        <v>45</v>
      </c>
      <c r="C12" s="36" t="s">
        <v>45</v>
      </c>
      <c r="D12" s="36" t="s">
        <v>45</v>
      </c>
      <c r="E12" s="36" t="s">
        <v>45</v>
      </c>
      <c r="F12" s="36" t="s">
        <v>45</v>
      </c>
      <c r="G12" s="35">
        <f>(G10-B10)*10000</f>
        <v>-290.00000000000006</v>
      </c>
      <c r="H12" s="5" t="s">
        <v>86</v>
      </c>
    </row>
    <row r="13">
      <c r="A13" s="16" t="s">
        <v>87</v>
      </c>
      <c r="B13" s="3" t="s">
        <v>45</v>
      </c>
      <c r="C13" s="3" t="s">
        <v>45</v>
      </c>
      <c r="D13" s="3" t="s">
        <v>45</v>
      </c>
      <c r="E13" s="3" t="s">
        <v>45</v>
      </c>
      <c r="F13" s="3" t="s">
        <v>45</v>
      </c>
      <c r="G13" s="82">
        <v>0.025</v>
      </c>
      <c r="H13" s="5" t="s">
        <v>88</v>
      </c>
    </row>
    <row r="14">
      <c r="A14" s="33" t="s">
        <v>89</v>
      </c>
      <c r="B14" s="36" t="s">
        <v>45</v>
      </c>
      <c r="C14" s="36" t="s">
        <v>45</v>
      </c>
      <c r="D14" s="36" t="s">
        <v>45</v>
      </c>
      <c r="E14" s="36" t="s">
        <v>45</v>
      </c>
      <c r="F14" s="36" t="s">
        <v>45</v>
      </c>
      <c r="G14" s="35" t="s">
        <v>45</v>
      </c>
      <c r="H14" s="5"/>
    </row>
    <row r="15">
      <c r="A15" s="16" t="s">
        <v>90</v>
      </c>
      <c r="B15" s="3" t="s">
        <v>45</v>
      </c>
      <c r="C15" s="3" t="s">
        <v>45</v>
      </c>
      <c r="D15" s="3" t="s">
        <v>45</v>
      </c>
      <c r="E15" s="3" t="s">
        <v>45</v>
      </c>
      <c r="F15" s="3" t="s">
        <v>45</v>
      </c>
      <c r="G15" s="30">
        <f>(1+G10)/(1+G13)-1</f>
        <v>0.012682926829268304</v>
      </c>
      <c r="H15" s="5"/>
    </row>
    <row r="16">
      <c r="A16" s="33" t="s">
        <v>91</v>
      </c>
      <c r="B16" s="36" t="s">
        <v>45</v>
      </c>
      <c r="C16" s="36" t="s">
        <v>45</v>
      </c>
      <c r="D16" s="36" t="s">
        <v>45</v>
      </c>
      <c r="E16" s="36" t="s">
        <v>45</v>
      </c>
      <c r="F16" s="36" t="s">
        <v>45</v>
      </c>
      <c r="G16" s="35" t="s">
        <v>45</v>
      </c>
      <c r="H16" s="5"/>
    </row>
    <row r="17">
      <c r="A17" s="66" t="s">
        <v>75</v>
      </c>
      <c r="B17" s="37">
        <v>0.025</v>
      </c>
      <c r="C17" s="37">
        <v>0.011</v>
      </c>
      <c r="D17" s="37">
        <v>0.009000000000000001</v>
      </c>
      <c r="E17" s="37">
        <v>0.015</v>
      </c>
      <c r="F17" s="37">
        <v>0.015</v>
      </c>
      <c r="G17" s="82">
        <v>0.01</v>
      </c>
      <c r="H17" s="5" t="s">
        <v>165</v>
      </c>
    </row>
    <row r="18">
      <c r="A18" s="16" t="s">
        <v>73</v>
      </c>
      <c r="B18" s="36"/>
      <c r="C18" s="36">
        <f>(C17-B17)*10000</f>
        <v>-140.00000000000003</v>
      </c>
      <c r="D18" s="36">
        <f>(D17-C17)*10000</f>
        <v>-19.999999999999982</v>
      </c>
      <c r="E18" s="36">
        <f>(E17-D17)*10000</f>
        <v>59.999999999999986</v>
      </c>
      <c r="F18" s="36"/>
      <c r="G18" s="35">
        <f>(G17-E17)*10000</f>
        <v>-49.99999999999999</v>
      </c>
      <c r="H18" s="5"/>
    </row>
    <row r="19">
      <c r="A19" s="16" t="s">
        <v>74</v>
      </c>
      <c r="B19" s="36" t="s">
        <v>45</v>
      </c>
      <c r="C19" s="36" t="s">
        <v>45</v>
      </c>
      <c r="D19" s="36" t="s">
        <v>45</v>
      </c>
      <c r="E19" s="36" t="s">
        <v>45</v>
      </c>
      <c r="F19" s="36" t="s">
        <v>45</v>
      </c>
      <c r="G19" s="35">
        <f>(G17-B17)*10000</f>
        <v>-150</v>
      </c>
      <c r="H19" s="5"/>
    </row>
    <row r="20">
      <c r="A20" s="66" t="s">
        <v>76</v>
      </c>
      <c r="B20" s="37">
        <v>0.006999999999999999</v>
      </c>
      <c r="C20" s="37">
        <v>0.006</v>
      </c>
      <c r="D20" s="37">
        <v>0.024</v>
      </c>
      <c r="E20" s="37">
        <v>0.013</v>
      </c>
      <c r="F20" s="37">
        <v>0.012</v>
      </c>
      <c r="G20" s="82">
        <v>-0.004</v>
      </c>
      <c r="H20" s="5" t="s">
        <v>93</v>
      </c>
    </row>
    <row r="21">
      <c r="A21" s="16" t="s">
        <v>73</v>
      </c>
      <c r="B21" s="36"/>
      <c r="C21" s="36">
        <f>(C20-B20)*10000</f>
        <v>-9.999999999999991</v>
      </c>
      <c r="D21" s="36">
        <f>(D20-C20)*10000</f>
        <v>180.00000000000003</v>
      </c>
      <c r="E21" s="36">
        <f>(E20-D20)*10000</f>
        <v>-110.00000000000001</v>
      </c>
      <c r="F21" s="36"/>
      <c r="G21" s="35">
        <f>(G20-E20)*10000</f>
        <v>-170</v>
      </c>
      <c r="H21" s="5"/>
    </row>
    <row r="22">
      <c r="A22" s="16" t="s">
        <v>74</v>
      </c>
      <c r="B22" s="36" t="s">
        <v>45</v>
      </c>
      <c r="C22" s="36" t="s">
        <v>45</v>
      </c>
      <c r="D22" s="36" t="s">
        <v>45</v>
      </c>
      <c r="E22" s="36" t="s">
        <v>45</v>
      </c>
      <c r="F22" s="36" t="s">
        <v>45</v>
      </c>
      <c r="G22" s="35">
        <f>(G20-B20)*10000</f>
        <v>-110</v>
      </c>
      <c r="H22" s="5"/>
    </row>
    <row r="23">
      <c r="A23" s="27" t="s">
        <v>94</v>
      </c>
      <c r="B23" s="13">
        <f>B9*B10</f>
        <v>32.82732</v>
      </c>
      <c r="C23" s="13">
        <f>C9*C10</f>
        <v>13.803237000000001</v>
      </c>
      <c r="D23" s="13">
        <f>D9*D10</f>
        <v>23.37942</v>
      </c>
      <c r="E23" s="13">
        <f>E9*E10</f>
        <v>11.79651</v>
      </c>
      <c r="F23" s="13">
        <f>F9*F10</f>
        <v>81.82845599999999</v>
      </c>
      <c r="G23" s="26">
        <f>G9*G10</f>
        <v>20.462163999999998</v>
      </c>
      <c r="H23" s="5"/>
    </row>
    <row r="24">
      <c r="A24" s="27" t="s">
        <v>95</v>
      </c>
      <c r="B24" s="13">
        <f>B9*(1+B10)*B17</f>
        <v>13.069682999999998</v>
      </c>
      <c r="C24" s="13">
        <f>C9*(1+C10)*C17</f>
        <v>5.775376606999999</v>
      </c>
      <c r="D24" s="13">
        <f>D9*(1+D10)*D17</f>
        <v>4.3361947800000005</v>
      </c>
      <c r="E24" s="13">
        <f>E9*(1+E10)*E17</f>
        <v>8.22002265</v>
      </c>
      <c r="F24" s="13">
        <f>F9*(1+F10)*F17</f>
        <v>31.16466684</v>
      </c>
      <c r="G24" s="26">
        <f>G9*(1+G10)*G17</f>
        <v>5.58940164</v>
      </c>
      <c r="H24" s="5"/>
    </row>
    <row r="25">
      <c r="A25" s="27" t="s">
        <v>96</v>
      </c>
      <c r="B25" s="13">
        <f>B9*(1+B10)*(1+B17)*B20</f>
        <v>3.7509990209999984</v>
      </c>
      <c r="C25" s="13">
        <f>C9*(1+C10)*(1+C17)*C20</f>
        <v>3.184857681642</v>
      </c>
      <c r="D25" s="13">
        <f>D9*(1+D10)*(1+D17)*D20</f>
        <v>11.66725475472</v>
      </c>
      <c r="E25" s="13">
        <f>E9*(1+E10)*(1+E17)*E20</f>
        <v>7.230879924449999</v>
      </c>
      <c r="F25" s="13">
        <f>F9*(1+F10)*(1+F17)*F20</f>
        <v>25.30570947408</v>
      </c>
      <c r="G25" s="26">
        <f>G9*(1+G10)*(1+G17)*G20</f>
        <v>-2.25811826256</v>
      </c>
      <c r="H25" s="5"/>
    </row>
    <row r="26">
      <c r="A26" s="66" t="s">
        <v>97</v>
      </c>
      <c r="B26" s="1">
        <f>B27-B9-B23-B24-B25</f>
        <v>-1.1300020210000241</v>
      </c>
      <c r="C26" s="1">
        <f>C27-C9-C23-C24-C25</f>
        <v>-0.18847128864195462</v>
      </c>
      <c r="D26" s="1">
        <f>D27-D9-D23-D24-D25</f>
        <v>-0.9738695347200075</v>
      </c>
      <c r="E26" s="1">
        <f>E27-E9-E23-E24-E25</f>
        <v>-0.6514125744499957</v>
      </c>
      <c r="F26" s="1">
        <f>F27-F9-F23-F24-F25</f>
        <v>-2.200832314079804</v>
      </c>
      <c r="G26" s="34">
        <f>G27-G9-G23-G24-G25</f>
        <v>0</v>
      </c>
      <c r="H26" s="5"/>
    </row>
    <row r="27">
      <c r="A27" s="7" t="s">
        <v>166</v>
      </c>
      <c r="B27" s="85">
        <v>538.478</v>
      </c>
      <c r="C27" s="85">
        <v>533.806</v>
      </c>
      <c r="D27" s="85">
        <v>496.829</v>
      </c>
      <c r="E27" s="85">
        <v>562.801</v>
      </c>
      <c r="F27" s="85">
        <v>2131.914</v>
      </c>
      <c r="G27" s="19">
        <f>G9*(1+G10)*(1+G17)*(1+G20)</f>
        <v>562.27144737744</v>
      </c>
      <c r="H27" s="5"/>
    </row>
    <row r="28">
      <c r="A28" s="66" t="s">
        <v>99</v>
      </c>
      <c r="B28" s="3">
        <f>IF(B118=0,"n.a.",B27/B118-1)</f>
        <v>0.099024410155931</v>
      </c>
      <c r="C28" s="3">
        <f>IF(C118=0,"n.a.",C27/C118-1)</f>
        <v>0.04415812030178157</v>
      </c>
      <c r="D28" s="3">
        <f>IF(D118=0,"n.a.",D27/D118-1)</f>
        <v>0.0837856114480171</v>
      </c>
      <c r="E28" s="3">
        <f>IF(E118=0,"n.a.",E27/E118-1)</f>
        <v>0.04960043267034053</v>
      </c>
      <c r="F28" s="3">
        <f>IF(F118=0,"n.a.",F27/F118-1)</f>
        <v>0.06819165694633189</v>
      </c>
      <c r="G28" s="30">
        <f>IF(G118=0,"n.a.",G27/G118-1)</f>
        <v>0.04418648000000025</v>
      </c>
      <c r="H28" s="5"/>
    </row>
    <row r="29">
      <c r="A29" s="66" t="s">
        <v>66</v>
      </c>
      <c r="B29" s="1">
        <f>B27-E118</f>
        <v>2.272999999999911</v>
      </c>
      <c r="C29" s="1">
        <f>C27-B27</f>
        <v>-4.671999999999912</v>
      </c>
      <c r="D29" s="1">
        <f>D27-C27</f>
        <v>-36.97700000000003</v>
      </c>
      <c r="E29" s="1">
        <f>E27-D27</f>
        <v>65.97200000000004</v>
      </c>
      <c r="F29" s="1"/>
      <c r="G29" s="34">
        <f>G27-E27</f>
        <v>-0.5295526225600042</v>
      </c>
      <c r="H29" s="5"/>
    </row>
    <row r="30">
      <c r="A30" s="66" t="s">
        <v>58</v>
      </c>
      <c r="B30" s="3">
        <f>B27/E118-1</f>
        <v>0.004239050363200381</v>
      </c>
      <c r="C30" s="3">
        <f>C27/B27-1</f>
        <v>-0.008676306181496618</v>
      </c>
      <c r="D30" s="3">
        <f>D27/C27-1</f>
        <v>-0.06927048403352531</v>
      </c>
      <c r="E30" s="3">
        <f>E27/D27-1</f>
        <v>0.13278612963413972</v>
      </c>
      <c r="F30" s="3"/>
      <c r="G30" s="30">
        <f>G27/E27-1</f>
        <v>-0.0009409233859926092</v>
      </c>
      <c r="H30" s="5"/>
    </row>
    <row r="31">
      <c r="A31" s="66" t="s">
        <v>78</v>
      </c>
      <c r="B31" s="3">
        <f>(1+B28)/((1+B17)*(1+B20))-1</f>
        <v>0.06476557769363844</v>
      </c>
      <c r="C31" s="3">
        <f>(1+C28)/((1+C17)*(1+C20))-1</f>
        <v>0.02663752431187527</v>
      </c>
      <c r="D31" s="3">
        <f>(1+D28)/((1+D17)*(1+D20))-1</f>
        <v>0.04894389115927078</v>
      </c>
      <c r="E31" s="3">
        <f>(1+E28)/((1+E17)*(1+E20))-1</f>
        <v>0.020818456295100374</v>
      </c>
      <c r="F31" s="3">
        <f>(1+F28)/((1+F17)*(1+F20))-1</f>
        <v>0.03992645587563226</v>
      </c>
      <c r="G31" s="30">
        <f>(1+G28)/((1+G17)*(1+G20))-1</f>
        <v>0.038000000000000256</v>
      </c>
      <c r="H31" s="5" t="s">
        <v>100</v>
      </c>
    </row>
    <row r="32">
      <c r="A32" s="16" t="s">
        <v>80</v>
      </c>
      <c r="B32" s="36">
        <f>(B31-B10)*10000</f>
        <v>-22.34422306361561</v>
      </c>
      <c r="C32" s="36">
        <f>(C31-C10)*10000</f>
        <v>-3.624756881247318</v>
      </c>
      <c r="D32" s="36">
        <f>(D31-D10)*10000</f>
        <v>-20.561088407292164</v>
      </c>
      <c r="E32" s="36">
        <f>(E31-E10)*10000</f>
        <v>-11.81543704899625</v>
      </c>
      <c r="F32" s="36">
        <f>(F31-F10)*10000</f>
        <v>-10.735441243677341</v>
      </c>
      <c r="G32" s="35">
        <f>(G31-G10)*10000</f>
        <v>0</v>
      </c>
      <c r="H32" s="5"/>
    </row>
    <row r="33">
      <c r="A33" s="4"/>
      <c r="B33" s="4"/>
      <c r="C33" s="4"/>
      <c r="D33" s="4"/>
      <c r="E33" s="4"/>
      <c r="F33" s="4"/>
      <c r="G33" s="39"/>
      <c r="H33" s="5"/>
    </row>
    <row r="34">
      <c r="A34" s="7" t="s">
        <v>101</v>
      </c>
      <c r="B34" s="4"/>
      <c r="C34" s="4"/>
      <c r="D34" s="4"/>
      <c r="E34" s="4"/>
      <c r="F34" s="4"/>
      <c r="G34" s="39"/>
      <c r="H34" s="5"/>
    </row>
    <row r="35">
      <c r="A35" s="27" t="s">
        <v>102</v>
      </c>
      <c r="B35" s="17">
        <v>353.945</v>
      </c>
      <c r="C35" s="17">
        <v>352.721</v>
      </c>
      <c r="D35" s="17">
        <v>322.875</v>
      </c>
      <c r="E35" s="13">
        <f>F35-B35-C35-D35</f>
        <v>364.61800000000017</v>
      </c>
      <c r="F35" s="17">
        <v>1394.159</v>
      </c>
      <c r="G35" s="26">
        <f>G27*G38</f>
        <v>369.5845836636001</v>
      </c>
      <c r="H35" s="5" t="s">
        <v>103</v>
      </c>
    </row>
    <row r="36">
      <c r="A36" s="16" t="s">
        <v>57</v>
      </c>
      <c r="B36" s="3">
        <f>IF(B119=0,"n.a.",B35/B119-1)</f>
        <v>0.09216665226675214</v>
      </c>
      <c r="C36" s="3">
        <f>IF(C119=0,"n.a.",C35/C119-1)</f>
        <v>0.04883466449399054</v>
      </c>
      <c r="D36" s="3">
        <f>IF(D119=0,"n.a.",D35/D119-1)</f>
        <v>0.055830243098475396</v>
      </c>
      <c r="E36" s="3">
        <f>IF(E119=0,"n.a.",E35/E119-1)</f>
        <v>0.024452467583553128</v>
      </c>
      <c r="F36" s="3">
        <f>IF(F119=0,"n.a.",F35/F119-1)</f>
        <v>0.05451061991950645</v>
      </c>
      <c r="G36" s="30">
        <f>IF(G119=0,"n.a.",G35/G119-1)</f>
        <v>0.04418648000000025</v>
      </c>
      <c r="H36" s="5"/>
    </row>
    <row r="37">
      <c r="A37" s="16" t="s">
        <v>66</v>
      </c>
      <c r="B37" s="1">
        <f>B35-E119</f>
        <v>-1.9699999999998568</v>
      </c>
      <c r="C37" s="1">
        <f>C35-B35</f>
        <v>-1.2239999999999895</v>
      </c>
      <c r="D37" s="1">
        <f>D35-C35</f>
        <v>-29.846000000000004</v>
      </c>
      <c r="E37" s="1">
        <f>E35-D35</f>
        <v>41.743000000000166</v>
      </c>
      <c r="F37" s="1"/>
      <c r="G37" s="34">
        <f>G35-E35</f>
        <v>4.96658366359992</v>
      </c>
      <c r="H37" s="5"/>
    </row>
    <row r="38">
      <c r="A38" s="16" t="s">
        <v>104</v>
      </c>
      <c r="B38" s="3">
        <f>IF(B27=0,"n.a.",B35/B27)</f>
        <v>0.657306333777796</v>
      </c>
      <c r="C38" s="3">
        <f>IF(C27=0,"n.a.",C35/C27)</f>
        <v>0.6607662708924216</v>
      </c>
      <c r="D38" s="3">
        <f>IF(D27=0,"n.a.",D35/D27)</f>
        <v>0.649871484957601</v>
      </c>
      <c r="E38" s="3">
        <f>IF(E27=0,"n.a.",E35/E27)</f>
        <v>0.6478630990350055</v>
      </c>
      <c r="F38" s="3">
        <f>IF(F27=0,"n.a.",F35/F27)</f>
        <v>0.6539471104369126</v>
      </c>
      <c r="G38" s="30">
        <f>B38</f>
        <v>0.657306333777796</v>
      </c>
      <c r="H38" s="5"/>
    </row>
    <row r="39">
      <c r="A39" s="33" t="s">
        <v>61</v>
      </c>
      <c r="B39" s="36">
        <f>IF(B119=0,0,(B38-B119/B118)*10000)</f>
        <v>-41.27252637421641</v>
      </c>
      <c r="C39" s="36">
        <f>IF(C119=0,0,(C38-C119/C118)*10000)</f>
        <v>29.462247684580724</v>
      </c>
      <c r="D39" s="36">
        <f>IF(D119=0,0,(D38-D119/D118)*10000)</f>
        <v>-172.06740250723217</v>
      </c>
      <c r="E39" s="36">
        <f>IF(E119=0,0,(E38-E119/E118)*10000)</f>
        <v>-159.03557374389865</v>
      </c>
      <c r="F39" s="36">
        <f>IF(F119=0,0,(F38-F119/F118)*10000)</f>
        <v>-84.84195855851806</v>
      </c>
      <c r="G39" s="35">
        <f>IF(G119=0,0,(G38-G119/G118)*10000)</f>
        <v>0</v>
      </c>
      <c r="H39" s="5"/>
    </row>
    <row r="40">
      <c r="A40" s="33" t="s">
        <v>60</v>
      </c>
      <c r="B40" s="36">
        <f>IF(E119=0,0,(B38-E119/E118)*10000)</f>
        <v>-64.60322631599347</v>
      </c>
      <c r="C40" s="36">
        <f>(C38-B38)*10000</f>
        <v>34.59937114625555</v>
      </c>
      <c r="D40" s="36">
        <f>(D38-C38)*10000</f>
        <v>-108.94785934820517</v>
      </c>
      <c r="E40" s="36">
        <f>(E38-D38)*10000</f>
        <v>-20.08385922595557</v>
      </c>
      <c r="F40" s="36"/>
      <c r="G40" s="35">
        <f>(G38-E38)*10000</f>
        <v>94.43234742790519</v>
      </c>
      <c r="H40" s="5"/>
    </row>
    <row r="41">
      <c r="A41" s="27" t="s">
        <v>105</v>
      </c>
      <c r="B41" s="17">
        <v>23.502</v>
      </c>
      <c r="C41" s="17">
        <v>21.494</v>
      </c>
      <c r="D41" s="17">
        <v>21.503</v>
      </c>
      <c r="E41" s="13">
        <f>F41-B41-C41-D41</f>
        <v>20.15400000000001</v>
      </c>
      <c r="F41" s="17">
        <v>86.653</v>
      </c>
      <c r="G41" s="26">
        <f>G27*G44</f>
        <v>24.54047065296</v>
      </c>
      <c r="H41" s="5"/>
    </row>
    <row r="42">
      <c r="A42" s="16" t="s">
        <v>57</v>
      </c>
      <c r="B42" s="3">
        <f>IF(B120=0,"n.a.",B41/B120-1)</f>
        <v>-0.08623639191290822</v>
      </c>
      <c r="C42" s="3">
        <f>IF(C120=0,"n.a.",C41/C120-1)</f>
        <v>-0.12283708782239644</v>
      </c>
      <c r="D42" s="3">
        <f>IF(D120=0,"n.a.",D41/D120-1)</f>
        <v>0.16667570940263676</v>
      </c>
      <c r="E42" s="3">
        <f>IF(E120=0,"n.a.",E41/E120-1)</f>
        <v>-0.08395072951229443</v>
      </c>
      <c r="F42" s="3">
        <f>IF(F120=0,"n.a.",F41/F120-1)</f>
        <v>-0.044155930109424646</v>
      </c>
      <c r="G42" s="30">
        <f>IF(G120=0,"n.a.",G41/G120-1)</f>
        <v>0.04418648000000003</v>
      </c>
      <c r="H42" s="5"/>
    </row>
    <row r="43">
      <c r="A43" s="16" t="s">
        <v>66</v>
      </c>
      <c r="B43" s="1">
        <f>B41-E120</f>
        <v>1.5009999999999977</v>
      </c>
      <c r="C43" s="1">
        <f>C41-B41</f>
        <v>-2.007999999999999</v>
      </c>
      <c r="D43" s="1">
        <f>D41-C41</f>
        <v>0.009000000000000341</v>
      </c>
      <c r="E43" s="1">
        <f>E41-D41</f>
        <v>-1.3489999999999895</v>
      </c>
      <c r="F43" s="1"/>
      <c r="G43" s="34">
        <f>G41-E41</f>
        <v>4.386470652959989</v>
      </c>
      <c r="H43" s="5"/>
    </row>
    <row r="44">
      <c r="A44" s="16" t="s">
        <v>104</v>
      </c>
      <c r="B44" s="3">
        <f>IF(B27=0,"n.a.",B41/B27)</f>
        <v>0.043645237131321984</v>
      </c>
      <c r="C44" s="3">
        <f>IF(C27=0,"n.a.",C41/C27)</f>
        <v>0.04026556464333484</v>
      </c>
      <c r="D44" s="3">
        <f>IF(D27=0,"n.a.",D41/D27)</f>
        <v>0.04328048483482244</v>
      </c>
      <c r="E44" s="3">
        <f>IF(E27=0,"n.a.",E41/E27)</f>
        <v>0.03581017091298702</v>
      </c>
      <c r="F44" s="3">
        <f>IF(F27=0,"n.a.",F41/F27)</f>
        <v>0.0406456357995679</v>
      </c>
      <c r="G44" s="30">
        <f>B44</f>
        <v>0.043645237131321984</v>
      </c>
      <c r="H44" s="5"/>
    </row>
    <row r="45">
      <c r="A45" s="33" t="s">
        <v>61</v>
      </c>
      <c r="B45" s="36">
        <f>IF(B120=0,0,(B44-B120/B118)*10000)</f>
        <v>-88.48844018159608</v>
      </c>
      <c r="C45" s="36">
        <f>IF(C120=0,0,(C44-C120/C118)*10000)</f>
        <v>-76.65801021110391</v>
      </c>
      <c r="D45" s="36">
        <f>IF(D120=0,0,(D44-D120/D118)*10000)</f>
        <v>30.749964180866936</v>
      </c>
      <c r="E45" s="36">
        <f>IF(E120=0,0,(E44-E120/E118)*10000)</f>
        <v>-52.20778071076911</v>
      </c>
      <c r="F45" s="36">
        <f>IF(F120=0,0,(F44-F120/F118)*10000)</f>
        <v>-47.773891686656505</v>
      </c>
      <c r="G45" s="35">
        <f>IF(G120=0,0,(G44-G120/G118)*10000)</f>
        <v>0</v>
      </c>
      <c r="H45" s="5"/>
    </row>
    <row r="46">
      <c r="A46" s="33" t="s">
        <v>60</v>
      </c>
      <c r="B46" s="36">
        <f>IF(E120=0,0,(B44-E120/E118)*10000)</f>
        <v>26.142881472580523</v>
      </c>
      <c r="C46" s="36">
        <f>(C44-B44)*10000</f>
        <v>-33.79672487987144</v>
      </c>
      <c r="D46" s="36">
        <f>(D44-C44)*10000</f>
        <v>30.14920191487601</v>
      </c>
      <c r="E46" s="36">
        <f>(E44-D44)*10000</f>
        <v>-74.7031392183542</v>
      </c>
      <c r="F46" s="36"/>
      <c r="G46" s="35">
        <f>(G44-E44)*10000</f>
        <v>78.35066218334963</v>
      </c>
      <c r="H46" s="5"/>
    </row>
    <row r="47">
      <c r="A47" s="27" t="s">
        <v>106</v>
      </c>
      <c r="B47" s="17">
        <v>87.83</v>
      </c>
      <c r="C47" s="17">
        <v>81.617</v>
      </c>
      <c r="D47" s="17">
        <v>76.947</v>
      </c>
      <c r="E47" s="13">
        <f>F47-B47-C47-D47</f>
        <v>92.58999999999997</v>
      </c>
      <c r="F47" s="17">
        <v>338.984</v>
      </c>
      <c r="G47" s="26">
        <f>G27*G50</f>
        <v>91.7108985384</v>
      </c>
      <c r="H47" s="5"/>
    </row>
    <row r="48">
      <c r="A48" s="16" t="s">
        <v>57</v>
      </c>
      <c r="B48" s="3">
        <f>IF(B121=0,"n.a.",B47/B121-1)</f>
        <v>0.2878676794040882</v>
      </c>
      <c r="C48" s="3">
        <f>IF(C121=0,"n.a.",C47/C121-1)</f>
        <v>0.16243662052070862</v>
      </c>
      <c r="D48" s="3">
        <f>IF(D121=0,"n.a.",D47/D121-1)</f>
        <v>0.13099140148453015</v>
      </c>
      <c r="E48" s="3">
        <f>IF(E121=0,"n.a.",E47/E121-1)</f>
        <v>0.035948845899951065</v>
      </c>
      <c r="F48" s="3">
        <f>IF(F121=0,"n.a.",F47/F121-1)</f>
        <v>0.14590530792165546</v>
      </c>
      <c r="G48" s="30">
        <f>IF(G121=0,"n.a.",G47/G121-1)</f>
        <v>0.04418648000000003</v>
      </c>
      <c r="H48" s="5"/>
    </row>
    <row r="49">
      <c r="A49" s="16" t="s">
        <v>66</v>
      </c>
      <c r="B49" s="1">
        <f>B47-E121</f>
        <v>-1.5470000000000397</v>
      </c>
      <c r="C49" s="1">
        <f>C47-B47</f>
        <v>-6.212999999999994</v>
      </c>
      <c r="D49" s="1">
        <f>D47-C47</f>
        <v>-4.670000000000002</v>
      </c>
      <c r="E49" s="1">
        <f>E47-D47</f>
        <v>15.642999999999972</v>
      </c>
      <c r="F49" s="1"/>
      <c r="G49" s="34">
        <f>G47-E47</f>
        <v>-0.8791014615999728</v>
      </c>
      <c r="H49" s="5"/>
    </row>
    <row r="50">
      <c r="A50" s="16" t="s">
        <v>104</v>
      </c>
      <c r="B50" s="3">
        <f>IF(B27=0,"n.a.",B47/B27)</f>
        <v>0.16310787070223853</v>
      </c>
      <c r="C50" s="3">
        <f>IF(C27=0,"n.a.",C47/C27)</f>
        <v>0.15289637059156322</v>
      </c>
      <c r="D50" s="3">
        <f>IF(D27=0,"n.a.",D47/D27)</f>
        <v>0.15487622501907095</v>
      </c>
      <c r="E50" s="3">
        <f>IF(E27=0,"n.a.",E47/E27)</f>
        <v>0.16451640988555452</v>
      </c>
      <c r="F50" s="3">
        <f>IF(F27=0,"n.a.",F47/F27)</f>
        <v>0.15900453770649284</v>
      </c>
      <c r="G50" s="30">
        <f>B50</f>
        <v>0.16310787070223853</v>
      </c>
      <c r="H50" s="5"/>
    </row>
    <row r="51">
      <c r="A51" s="33" t="s">
        <v>61</v>
      </c>
      <c r="B51" s="36">
        <f>IF(B121=0,0,(B50-B121/B118)*10000)</f>
        <v>239.16916338617034</v>
      </c>
      <c r="C51" s="36">
        <f>IF(C121=0,0,(C50-C121/C118)*10000)</f>
        <v>155.57281217092572</v>
      </c>
      <c r="D51" s="36">
        <f>IF(D121=0,0,(D50-D121/D118)*10000)</f>
        <v>64.64288367092425</v>
      </c>
      <c r="E51" s="36">
        <f>IF(E121=0,0,(E50-E121/E118)*10000)</f>
        <v>-21.679738855778506</v>
      </c>
      <c r="F51" s="36">
        <f>IF(F121=0,0,(F50-F121/F118)*10000)</f>
        <v>107.83459210278762</v>
      </c>
      <c r="G51" s="35">
        <f>IF(G121=0,0,(G50-G121/G118)*10000)</f>
        <v>0</v>
      </c>
      <c r="H51" s="5"/>
    </row>
    <row r="52">
      <c r="A52" s="33" t="s">
        <v>60</v>
      </c>
      <c r="B52" s="36">
        <f>IF(E121=0,0,(B50-E121/E118)*10000)</f>
        <v>-35.765130688938385</v>
      </c>
      <c r="C52" s="36">
        <f>(C50-B50)*10000</f>
        <v>-102.11500110675314</v>
      </c>
      <c r="D52" s="36">
        <f>(D50-C50)*10000</f>
        <v>19.79854427507727</v>
      </c>
      <c r="E52" s="36">
        <f>(E50-D50)*10000</f>
        <v>96.40184866483575</v>
      </c>
      <c r="F52" s="36"/>
      <c r="G52" s="35">
        <f>(G50-E50)*10000</f>
        <v>-14.085391833159877</v>
      </c>
      <c r="H52" s="5"/>
    </row>
    <row r="53">
      <c r="A53" s="27" t="s">
        <v>107</v>
      </c>
      <c r="B53" s="17">
        <v>8.97</v>
      </c>
      <c r="C53" s="17">
        <v>9.127</v>
      </c>
      <c r="D53" s="17">
        <v>8.676</v>
      </c>
      <c r="E53" s="13">
        <f>F53-B53-C53-D53</f>
        <v>9.799999999999999</v>
      </c>
      <c r="F53" s="17">
        <v>36.573</v>
      </c>
      <c r="G53" s="26">
        <f>G27*G56</f>
        <v>9.366352725600002</v>
      </c>
      <c r="H53" s="5"/>
    </row>
    <row r="54">
      <c r="A54" s="16" t="s">
        <v>57</v>
      </c>
      <c r="B54" s="3">
        <f>IF(B122=0,"n.a.",B53/B122-1)</f>
        <v>-0.09676769711005928</v>
      </c>
      <c r="C54" s="3">
        <f>IF(C122=0,"n.a.",C53/C122-1)</f>
        <v>-0.1801113905856988</v>
      </c>
      <c r="D54" s="3">
        <f>IF(D122=0,"n.a.",D53/D122-1)</f>
        <v>-0.03277591973244154</v>
      </c>
      <c r="E54" s="3">
        <f>IF(E122=0,"n.a.",E53/E122-1)</f>
        <v>0.050262565641410184</v>
      </c>
      <c r="F54" s="3">
        <f>IF(F122=0,"n.a.",F53/F122-1)</f>
        <v>-0.0709023473224265</v>
      </c>
      <c r="G54" s="30">
        <f>IF(G122=0,"n.a.",G53/G122-1)</f>
        <v>0.04418648000000025</v>
      </c>
      <c r="H54" s="5"/>
    </row>
    <row r="55">
      <c r="A55" s="16" t="s">
        <v>66</v>
      </c>
      <c r="B55" s="1">
        <f>B53-E122</f>
        <v>-0.36100000000000065</v>
      </c>
      <c r="C55" s="1">
        <f>C53-B53</f>
        <v>0.15700000000000003</v>
      </c>
      <c r="D55" s="1">
        <f>D53-C53</f>
        <v>-0.4510000000000005</v>
      </c>
      <c r="E55" s="1">
        <f>E53-D53</f>
        <v>1.1239999999999988</v>
      </c>
      <c r="F55" s="1"/>
      <c r="G55" s="34">
        <f>G53-E53</f>
        <v>-0.4336472743999966</v>
      </c>
      <c r="H55" s="5"/>
    </row>
    <row r="56">
      <c r="A56" s="16" t="s">
        <v>104</v>
      </c>
      <c r="B56" s="3">
        <f>IF(B27=0,"n.a.",B53/B27)</f>
        <v>0.01665806216781373</v>
      </c>
      <c r="C56" s="3">
        <f>IF(C27=0,"n.a.",C53/C27)</f>
        <v>0.017097971922383787</v>
      </c>
      <c r="D56" s="3">
        <f>IF(D27=0,"n.a.",D53/D27)</f>
        <v>0.01746274875258892</v>
      </c>
      <c r="E56" s="3">
        <f>IF(E27=0,"n.a.",E53/E27)</f>
        <v>0.017412904383609835</v>
      </c>
      <c r="F56" s="3">
        <f>IF(F27=0,"n.a.",F53/F27)</f>
        <v>0.017155007190721574</v>
      </c>
      <c r="G56" s="30">
        <f>B56</f>
        <v>0.01665806216781373</v>
      </c>
      <c r="H56" s="5"/>
    </row>
    <row r="57">
      <c r="A57" s="33" t="s">
        <v>61</v>
      </c>
      <c r="B57" s="36">
        <f>IF(B122=0,0,(B56-B122/B118)*10000)</f>
        <v>-36.10939383333303</v>
      </c>
      <c r="C57" s="36">
        <f>IF(C122=0,0,(C56-C122/C118)*10000)</f>
        <v>-46.76920445254324</v>
      </c>
      <c r="D57" s="36">
        <f>IF(D122=0,0,(D56-D122/D118)*10000)</f>
        <v>-21.044603569612754</v>
      </c>
      <c r="E57" s="36">
        <f>IF(E122=0,0,(E56-E122/E118)*10000)</f>
        <v>0.10977881618991908</v>
      </c>
      <c r="F57" s="36">
        <f>IF(F122=0,0,(F56-F122/F118)*10000)</f>
        <v>-25.68253871420425</v>
      </c>
      <c r="G57" s="35">
        <f>IF(G122=0,0,(G56-G122/G118)*10000)</f>
        <v>0</v>
      </c>
      <c r="H57" s="5"/>
    </row>
    <row r="58">
      <c r="A58" s="33" t="s">
        <v>60</v>
      </c>
      <c r="B58" s="36">
        <f>IF(E122=0,0,(B56-E122/E118)*10000)</f>
        <v>-7.438643341771134</v>
      </c>
      <c r="C58" s="36">
        <f>(C56-B56)*10000</f>
        <v>4.399097545700579</v>
      </c>
      <c r="D58" s="36">
        <f>(D56-C56)*10000</f>
        <v>3.6477683020513103</v>
      </c>
      <c r="E58" s="36">
        <f>(E56-D56)*10000</f>
        <v>-0.49844368979083675</v>
      </c>
      <c r="F58" s="36"/>
      <c r="G58" s="35">
        <f>(G56-E56)*10000</f>
        <v>-7.548422157961053</v>
      </c>
      <c r="H58" s="5"/>
    </row>
    <row r="59">
      <c r="A59" s="27" t="s">
        <v>108</v>
      </c>
      <c r="B59" s="17">
        <v>34.224</v>
      </c>
      <c r="C59" s="17">
        <v>36.925</v>
      </c>
      <c r="D59" s="17">
        <v>37.163</v>
      </c>
      <c r="E59" s="13">
        <f>F59-B59-C59-D59</f>
        <v>45.735000000000014</v>
      </c>
      <c r="F59" s="17">
        <v>154.047</v>
      </c>
      <c r="G59" s="26">
        <f>G27*G62</f>
        <v>35.73623809152001</v>
      </c>
      <c r="H59" s="5"/>
    </row>
    <row r="60">
      <c r="A60" s="16" t="s">
        <v>57</v>
      </c>
      <c r="B60" s="3">
        <f>IF(B123=0,"n.a.",B59/B123-1)</f>
        <v>-0.009320905459387574</v>
      </c>
      <c r="C60" s="3">
        <f>IF(C123=0,"n.a.",C59/C123-1)</f>
        <v>-0.046826195823330474</v>
      </c>
      <c r="D60" s="3">
        <f>IF(D123=0,"n.a.",D59/D123-1)</f>
        <v>0.1343324583358767</v>
      </c>
      <c r="E60" s="3">
        <f>IF(E123=0,"n.a.",E59/E123-1)</f>
        <v>0.3826828309701611</v>
      </c>
      <c r="F60" s="3">
        <f>IF(F123=0,"n.a.",F59/F123-1)</f>
        <v>0.1072640234610851</v>
      </c>
      <c r="G60" s="30">
        <f>IF(G123=0,"n.a.",G59/G123-1)</f>
        <v>0.04418648000000025</v>
      </c>
      <c r="H60" s="5"/>
    </row>
    <row r="61">
      <c r="A61" s="16" t="s">
        <v>66</v>
      </c>
      <c r="B61" s="1">
        <f>B59-E123</f>
        <v>1.1469999999999985</v>
      </c>
      <c r="C61" s="1">
        <f>C59-B59</f>
        <v>2.7010000000000005</v>
      </c>
      <c r="D61" s="1">
        <f>D59-C59</f>
        <v>0.23799999999999955</v>
      </c>
      <c r="E61" s="1">
        <f>E59-D59</f>
        <v>8.572000000000017</v>
      </c>
      <c r="F61" s="1"/>
      <c r="G61" s="34">
        <f>G59-E59</f>
        <v>-9.998761908480006</v>
      </c>
      <c r="H61" s="5"/>
    </row>
    <row r="62">
      <c r="A62" s="16" t="s">
        <v>104</v>
      </c>
      <c r="B62" s="3">
        <f>IF(B27=0,"n.a.",B59/B27)</f>
        <v>0.063556914117197</v>
      </c>
      <c r="C62" s="3">
        <f>IF(C27=0,"n.a.",C59/C27)</f>
        <v>0.06917307036638778</v>
      </c>
      <c r="D62" s="3">
        <f>IF(D27=0,"n.a.",D59/D27)</f>
        <v>0.07480038403555347</v>
      </c>
      <c r="E62" s="3">
        <f>IF(E27=0,"n.a.",E59/E27)</f>
        <v>0.08126318183514246</v>
      </c>
      <c r="F62" s="3">
        <f>IF(F27=0,"n.a.",F59/F27)</f>
        <v>0.07225760513791832</v>
      </c>
      <c r="G62" s="30">
        <f>B62</f>
        <v>0.063556914117197</v>
      </c>
      <c r="H62" s="5"/>
    </row>
    <row r="63">
      <c r="A63" s="33" t="s">
        <v>61</v>
      </c>
      <c r="B63" s="36">
        <f>IF(B123=0,0,(B62-B123/B118)*10000)</f>
        <v>-69.50882437623804</v>
      </c>
      <c r="C63" s="36">
        <f>IF(C123=0,0,(C62-C123/C118)*10000)</f>
        <v>-66.02850890343515</v>
      </c>
      <c r="D63" s="36">
        <f>IF(D123=0,0,(D62-D123/D118)*10000)</f>
        <v>33.33170563191892</v>
      </c>
      <c r="E63" s="36">
        <f>IF(E123=0,0,(E62-E123/E118)*10000)</f>
        <v>195.7595400250383</v>
      </c>
      <c r="F63" s="36">
        <f>IF(F123=0,0,(F62-F123/F118)*10000)</f>
        <v>25.497763601151636</v>
      </c>
      <c r="G63" s="35">
        <f>IF(G123=0,0,(G62-G123/G118)*10000)</f>
        <v>0</v>
      </c>
      <c r="H63" s="5"/>
    </row>
    <row r="64">
      <c r="A64" s="33" t="s">
        <v>60</v>
      </c>
      <c r="B64" s="36">
        <f>IF(E123=0,0,(B62-E123/E118)*10000)</f>
        <v>18.696862845583652</v>
      </c>
      <c r="C64" s="36">
        <f>(C62-B62)*10000</f>
        <v>56.1615624919079</v>
      </c>
      <c r="D64" s="36">
        <f>(D62-C62)*10000</f>
        <v>56.2731366916569</v>
      </c>
      <c r="E64" s="36">
        <f>(E62-D62)*10000</f>
        <v>64.62797799588985</v>
      </c>
      <c r="F64" s="36"/>
      <c r="G64" s="35">
        <f>(G62-E62)*10000</f>
        <v>-177.06267717945465</v>
      </c>
      <c r="H64" s="5"/>
    </row>
    <row r="65">
      <c r="A65" s="27" t="s">
        <v>109</v>
      </c>
      <c r="B65" s="17">
        <v>30.007</v>
      </c>
      <c r="C65" s="17">
        <v>31.922</v>
      </c>
      <c r="D65" s="17">
        <v>29.665</v>
      </c>
      <c r="E65" s="13">
        <f>F65-B65-C65-D65</f>
        <v>29.904000000000003</v>
      </c>
      <c r="F65" s="17">
        <v>121.498</v>
      </c>
      <c r="G65" s="26">
        <f>G27*G68</f>
        <v>31.332903705360007</v>
      </c>
      <c r="H65" s="5"/>
    </row>
    <row r="66">
      <c r="A66" s="16" t="s">
        <v>57</v>
      </c>
      <c r="B66" s="3">
        <f>IF(B124=0,"n.a.",B65/B124-1)</f>
        <v>0.09160027647422608</v>
      </c>
      <c r="C66" s="3">
        <f>IF(C124=0,"n.a.",C65/C124-1)</f>
        <v>0.05193435708165817</v>
      </c>
      <c r="D66" s="3">
        <f>IF(D124=0,"n.a.",D65/D124-1)</f>
        <v>0.21478296478296466</v>
      </c>
      <c r="E66" s="3">
        <f>IF(E124=0,"n.a.",E65/E124-1)</f>
        <v>0.12828252339269608</v>
      </c>
      <c r="F66" s="3">
        <f>IF(F124=0,"n.a.",F65/F124-1)</f>
        <v>0.11713053632343073</v>
      </c>
      <c r="G66" s="30">
        <f>IF(G124=0,"n.a.",G65/G124-1)</f>
        <v>0.04418648000000025</v>
      </c>
      <c r="H66" s="5"/>
    </row>
    <row r="67">
      <c r="A67" s="16" t="s">
        <v>66</v>
      </c>
      <c r="B67" s="1">
        <f>B65-E124</f>
        <v>3.5030000000000108</v>
      </c>
      <c r="C67" s="1">
        <f>C65-B65</f>
        <v>1.9149999999999991</v>
      </c>
      <c r="D67" s="1">
        <f>D65-C65</f>
        <v>-2.2570000000000014</v>
      </c>
      <c r="E67" s="1">
        <f>E65-D65</f>
        <v>0.23900000000000432</v>
      </c>
      <c r="F67" s="1"/>
      <c r="G67" s="34">
        <f>G65-E65</f>
        <v>1.4289037053600033</v>
      </c>
      <c r="H67" s="5"/>
    </row>
    <row r="68">
      <c r="A68" s="16" t="s">
        <v>104</v>
      </c>
      <c r="B68" s="3">
        <f>IF(B27=0,"n.a.",B65/B27)</f>
        <v>0.05572558210363284</v>
      </c>
      <c r="C68" s="3">
        <f>IF(C27=0,"n.a.",C65/C27)</f>
        <v>0.05980075158390876</v>
      </c>
      <c r="D68" s="3">
        <f>IF(D27=0,"n.a.",D65/D27)</f>
        <v>0.0597086724003631</v>
      </c>
      <c r="E68" s="3">
        <f>IF(E27=0,"n.a.",E65/E27)</f>
        <v>0.05313423394770088</v>
      </c>
      <c r="F68" s="3">
        <f>IF(F27=0,"n.a.",F65/F27)</f>
        <v>0.05699010372838679</v>
      </c>
      <c r="G68" s="30">
        <f>B68</f>
        <v>0.05572558210363284</v>
      </c>
      <c r="H68" s="5"/>
    </row>
    <row r="69">
      <c r="A69" s="33" t="s">
        <v>61</v>
      </c>
      <c r="B69" s="36">
        <f>IF(B124=0,0,(B68-B124/B118)*10000)</f>
        <v>-3.789978620786505</v>
      </c>
      <c r="C69" s="36">
        <f>IF(C124=0,0,(C68-C124/C118)*10000)</f>
        <v>4.420663711575748</v>
      </c>
      <c r="D69" s="36">
        <f>IF(D124=0,0,(D68-D124/D118)*10000)</f>
        <v>64.38745259313407</v>
      </c>
      <c r="E69" s="36">
        <f>IF(E124=0,0,(E68-E124/E118)*10000)</f>
        <v>37.053774469222795</v>
      </c>
      <c r="F69" s="36">
        <f>IF(F124=0,0,(F68-F124/F118)*10000)</f>
        <v>24.966033255440433</v>
      </c>
      <c r="G69" s="35">
        <f>IF(G124=0,0,(G68-G124/G118)*10000)</f>
        <v>0</v>
      </c>
      <c r="H69" s="5"/>
    </row>
    <row r="70">
      <c r="A70" s="33" t="s">
        <v>60</v>
      </c>
      <c r="B70" s="36">
        <f>IF(E124=0,0,(B68-E124/E118)*10000)</f>
        <v>62.967256028542415</v>
      </c>
      <c r="C70" s="36">
        <f>(C68-B68)*10000</f>
        <v>40.7516948027592</v>
      </c>
      <c r="D70" s="36">
        <f>(D68-C68)*10000</f>
        <v>-0.9207918354565969</v>
      </c>
      <c r="E70" s="36">
        <f>(E68-D68)*10000</f>
        <v>-65.74438452662223</v>
      </c>
      <c r="F70" s="36"/>
      <c r="G70" s="35">
        <f>(G68-E68)*10000</f>
        <v>25.91348155931962</v>
      </c>
      <c r="H70" s="5"/>
    </row>
    <row r="71">
      <c r="A71" s="7" t="s">
        <v>111</v>
      </c>
      <c r="B71" s="28">
        <f>B41+B47+B53+B59+B65</f>
        <v>184.533</v>
      </c>
      <c r="C71" s="28">
        <f>C41+C47+C53+C59+C65</f>
        <v>181.085</v>
      </c>
      <c r="D71" s="28">
        <f>D41+D47+D53+D59+D65</f>
        <v>173.95399999999998</v>
      </c>
      <c r="E71" s="28">
        <f>E41+E47+E53+E59+E65</f>
        <v>198.183</v>
      </c>
      <c r="F71" s="28">
        <f>F41+F47+F53+F59+F65</f>
        <v>737.755</v>
      </c>
      <c r="G71" s="19">
        <f>G41+G47+G53+G59+G65</f>
        <v>192.68686371383998</v>
      </c>
      <c r="H71" s="5"/>
    </row>
    <row r="72">
      <c r="A72" s="66" t="s">
        <v>57</v>
      </c>
      <c r="B72" s="3">
        <f>IF(B125=0,"n.a.",B71/B125-1)</f>
        <v>0.11242193339924289</v>
      </c>
      <c r="C72" s="3">
        <f>IF(C125=0,"n.a.",C71/C125-1)</f>
        <v>0.035167749938547876</v>
      </c>
      <c r="D72" s="3">
        <f>IF(D125=0,"n.a.",D71/D125-1)</f>
        <v>0.13980002358830523</v>
      </c>
      <c r="E72" s="3">
        <f>IF(E125=0,"n.a.",E71/E125-1)</f>
        <v>0.0992456597703697</v>
      </c>
      <c r="F72" s="3">
        <f>IF(F125=0,"n.a.",F71/F125-1)</f>
        <v>0.09503877694905194</v>
      </c>
      <c r="G72" s="30">
        <f>IF(G125=0,"n.a.",G71/G125-1)</f>
        <v>0.04418648000000003</v>
      </c>
      <c r="H72" s="5"/>
    </row>
    <row r="73">
      <c r="A73" s="66" t="s">
        <v>66</v>
      </c>
      <c r="B73" s="1">
        <f>B71-E125</f>
        <v>4.242999999999938</v>
      </c>
      <c r="C73" s="1">
        <f>C71-B71</f>
        <v>-3.447999999999979</v>
      </c>
      <c r="D73" s="1">
        <f>D71-C71</f>
        <v>-7.131000000000029</v>
      </c>
      <c r="E73" s="1">
        <f>E71-D71</f>
        <v>24.229000000000013</v>
      </c>
      <c r="F73" s="1"/>
      <c r="G73" s="34">
        <f>G71-E71</f>
        <v>-5.496136286160009</v>
      </c>
      <c r="H73" s="5"/>
    </row>
    <row r="74">
      <c r="A74" s="7" t="s">
        <v>112</v>
      </c>
      <c r="B74" s="28">
        <f>B35+B71</f>
        <v>538.478</v>
      </c>
      <c r="C74" s="28">
        <f>C35+C71</f>
        <v>533.806</v>
      </c>
      <c r="D74" s="28">
        <f>D35+D71</f>
        <v>496.82899999999995</v>
      </c>
      <c r="E74" s="28">
        <f>E35+E71</f>
        <v>562.8010000000002</v>
      </c>
      <c r="F74" s="28">
        <f>F35+F71</f>
        <v>2131.914</v>
      </c>
      <c r="G74" s="19">
        <f>G35+G71</f>
        <v>562.27144737744</v>
      </c>
      <c r="H74" s="5"/>
    </row>
    <row r="75">
      <c r="A75" s="5" t="s">
        <v>113</v>
      </c>
      <c r="B75" s="1">
        <f>ROUND(B74-B27,6)</f>
        <v>0</v>
      </c>
      <c r="C75" s="1">
        <f>ROUND(C74-C27,6)</f>
        <v>0</v>
      </c>
      <c r="D75" s="1">
        <f>ROUND(D74-D27,6)</f>
        <v>0</v>
      </c>
      <c r="E75" s="1">
        <f>ROUND(E74-E27,6)</f>
        <v>0</v>
      </c>
      <c r="F75" s="1">
        <f>ROUND(F74-F27,6)</f>
        <v>0</v>
      </c>
      <c r="G75" s="34">
        <f>ROUND(G74-G27,6)</f>
        <v>0</v>
      </c>
      <c r="H75" s="5"/>
    </row>
    <row r="76">
      <c r="A76" s="4"/>
      <c r="B76" s="4"/>
      <c r="C76" s="4"/>
      <c r="D76" s="4"/>
      <c r="E76" s="4"/>
      <c r="F76" s="4"/>
      <c r="G76" s="39"/>
      <c r="H76" s="5"/>
    </row>
    <row r="77">
      <c r="A77" s="7" t="s">
        <v>114</v>
      </c>
      <c r="B77" s="4"/>
      <c r="C77" s="4"/>
      <c r="D77" s="4"/>
      <c r="E77" s="4"/>
      <c r="F77" s="4"/>
      <c r="G77" s="39"/>
      <c r="H77" s="5"/>
    </row>
    <row r="78">
      <c r="A78" s="27" t="s">
        <v>115</v>
      </c>
      <c r="B78" s="13">
        <f>B27</f>
        <v>538.478</v>
      </c>
      <c r="C78" s="13">
        <f>C27</f>
        <v>533.806</v>
      </c>
      <c r="D78" s="13">
        <f>D27</f>
        <v>496.829</v>
      </c>
      <c r="E78" s="13">
        <f>E27</f>
        <v>562.801</v>
      </c>
      <c r="F78" s="13">
        <f>F27</f>
        <v>2131.914</v>
      </c>
      <c r="G78" s="26">
        <f>G27</f>
        <v>562.27144737744</v>
      </c>
      <c r="H78" s="5"/>
    </row>
    <row r="79">
      <c r="A79" s="27" t="s">
        <v>116</v>
      </c>
      <c r="B79" s="17">
        <v>299.577</v>
      </c>
      <c r="C79" s="17">
        <v>300.958</v>
      </c>
      <c r="D79" s="17">
        <v>281.767</v>
      </c>
      <c r="E79" s="13">
        <f>F79-B79-C79-D79</f>
        <v>318.282</v>
      </c>
      <c r="F79" s="17">
        <v>1200.584</v>
      </c>
      <c r="G79" s="26" t="s">
        <v>117</v>
      </c>
      <c r="H79" s="5" t="s">
        <v>118</v>
      </c>
    </row>
    <row r="80">
      <c r="A80" s="16" t="s">
        <v>57</v>
      </c>
      <c r="B80" s="3">
        <f>IF(B127=0,"n.a.",B79/B127-1)</f>
        <v>0.11846315247137373</v>
      </c>
      <c r="C80" s="3">
        <f>IF(C127=0,"n.a.",C79/C127-1)</f>
        <v>0.07419780847342694</v>
      </c>
      <c r="D80" s="3">
        <f>IF(D127=0,"n.a.",D79/D127-1)</f>
        <v>0.09827560669488689</v>
      </c>
      <c r="E80" s="3">
        <f>IF(E127=0,"n.a.",E79/E127-1)</f>
        <v>0.0522553855512502</v>
      </c>
      <c r="F80" s="3">
        <f>IF(F127=0,"n.a.",F79/F127-1)</f>
        <v>0.0844923476600361</v>
      </c>
      <c r="G80" s="30" t="s">
        <v>117</v>
      </c>
      <c r="H80" s="5"/>
    </row>
    <row r="81">
      <c r="A81" s="16" t="s">
        <v>66</v>
      </c>
      <c r="B81" s="1">
        <f>B79-E127</f>
        <v>-2.899000000000001</v>
      </c>
      <c r="C81" s="1">
        <f>C79-B79</f>
        <v>1.3810000000000286</v>
      </c>
      <c r="D81" s="1">
        <f>D79-C79</f>
        <v>-19.19100000000003</v>
      </c>
      <c r="E81" s="1">
        <f>E79-D79</f>
        <v>36.514999999999986</v>
      </c>
      <c r="F81" s="1"/>
      <c r="G81" s="34" t="s">
        <v>117</v>
      </c>
      <c r="H81" s="5"/>
    </row>
    <row r="82">
      <c r="A82" s="73" t="s">
        <v>119</v>
      </c>
      <c r="B82" s="28">
        <f>B78-B79</f>
        <v>238.90099999999995</v>
      </c>
      <c r="C82" s="28">
        <f>C78-C79</f>
        <v>232.848</v>
      </c>
      <c r="D82" s="28">
        <f>D78-D79</f>
        <v>215.062</v>
      </c>
      <c r="E82" s="28">
        <f>E78-E79</f>
        <v>244.51900000000006</v>
      </c>
      <c r="F82" s="28">
        <f>F78-F79</f>
        <v>931.3300000000002</v>
      </c>
      <c r="G82" s="19" t="s">
        <v>117</v>
      </c>
      <c r="H82" s="5"/>
    </row>
    <row r="83">
      <c r="A83" s="16" t="s">
        <v>120</v>
      </c>
      <c r="B83" s="3">
        <f>IF(B78=0,"n.a.",B82/B78)</f>
        <v>0.44365972240277224</v>
      </c>
      <c r="C83" s="3">
        <f>IF(C78=0,"n.a.",C82/C78)</f>
        <v>0.4362034147237011</v>
      </c>
      <c r="D83" s="3">
        <f>IF(D78=0,"n.a.",D82/D78)</f>
        <v>0.43286925682679556</v>
      </c>
      <c r="E83" s="3">
        <f>IF(E78=0,"n.a.",E82/E78)</f>
        <v>0.43446795581386677</v>
      </c>
      <c r="F83" s="3">
        <f>IF(F78=0,"n.a.",F82/F78)</f>
        <v>0.4368515803170297</v>
      </c>
      <c r="G83" s="30" t="s">
        <v>117</v>
      </c>
      <c r="H83" s="5"/>
    </row>
    <row r="84">
      <c r="A84" s="33" t="s">
        <v>74</v>
      </c>
      <c r="B84" s="36">
        <f>(B83-B128)*10000</f>
        <v>-96.69120768098838</v>
      </c>
      <c r="C84" s="36">
        <f>(C83-C128)*10000</f>
        <v>-157.66438434655805</v>
      </c>
      <c r="D84" s="36">
        <f>(D83-D128)*10000</f>
        <v>-74.82385771695022</v>
      </c>
      <c r="E84" s="36">
        <f>(E83-E128)*10000</f>
        <v>-14.268978335255644</v>
      </c>
      <c r="F84" s="36">
        <f>(F83-F128)*10000</f>
        <v>-84.64520966856182</v>
      </c>
      <c r="G84" s="35" t="s">
        <v>117</v>
      </c>
      <c r="H84" s="5"/>
    </row>
    <row r="85">
      <c r="A85" s="33" t="s">
        <v>73</v>
      </c>
      <c r="B85" s="36">
        <f>(B83-E128)*10000</f>
        <v>77.64868755379905</v>
      </c>
      <c r="C85" s="36">
        <f>(C83-B83)*10000</f>
        <v>-74.56307679071128</v>
      </c>
      <c r="D85" s="36">
        <f>(D83-C83)*10000</f>
        <v>-33.34157896905554</v>
      </c>
      <c r="E85" s="36">
        <f>(E83-D83)*10000</f>
        <v>15.98698987071212</v>
      </c>
      <c r="F85" s="36"/>
      <c r="G85" s="35" t="s">
        <v>117</v>
      </c>
      <c r="H85" s="5"/>
    </row>
    <row r="86">
      <c r="A86" s="27" t="s">
        <v>121</v>
      </c>
      <c r="B86" s="17">
        <v>153.428</v>
      </c>
      <c r="C86" s="17">
        <v>151.765</v>
      </c>
      <c r="D86" s="17">
        <v>149.999</v>
      </c>
      <c r="E86" s="13">
        <f>F86-B86-C86-D86</f>
        <v>159.81999999999996</v>
      </c>
      <c r="F86" s="17">
        <v>615.012</v>
      </c>
      <c r="G86" s="26" t="s">
        <v>117</v>
      </c>
      <c r="H86" s="5"/>
    </row>
    <row r="87">
      <c r="A87" s="16" t="s">
        <v>57</v>
      </c>
      <c r="B87" s="3">
        <f>IF(B129=0,"n.a.",B86/B129-1)</f>
        <v>0.055910367230083136</v>
      </c>
      <c r="C87" s="3">
        <f>IF(C129=0,"n.a.",C86/C129-1)</f>
        <v>0.015884384706008392</v>
      </c>
      <c r="D87" s="3">
        <f>IF(D129=0,"n.a.",D86/D129-1)</f>
        <v>0.008783197595044756</v>
      </c>
      <c r="E87" s="3">
        <f>IF(E129=0,"n.a.",E86/E129-1)</f>
        <v>-0.03695624664814756</v>
      </c>
      <c r="F87" s="3">
        <f>IF(F129=0,"n.a.",F86/F129-1)</f>
        <v>0.009305119292613906</v>
      </c>
      <c r="G87" s="30" t="s">
        <v>117</v>
      </c>
      <c r="H87" s="5"/>
    </row>
    <row r="88">
      <c r="A88" s="16" t="s">
        <v>66</v>
      </c>
      <c r="B88" s="1">
        <f>B86-E129</f>
        <v>-12.525000000000006</v>
      </c>
      <c r="C88" s="1">
        <f>C86-B86</f>
        <v>-1.663000000000011</v>
      </c>
      <c r="D88" s="1">
        <f>D86-C86</f>
        <v>-1.7659999999999911</v>
      </c>
      <c r="E88" s="1">
        <f>E86-D86</f>
        <v>9.82099999999997</v>
      </c>
      <c r="F88" s="1"/>
      <c r="G88" s="34" t="s">
        <v>117</v>
      </c>
      <c r="H88" s="5"/>
    </row>
    <row r="89">
      <c r="A89" s="16" t="s">
        <v>122</v>
      </c>
      <c r="B89" s="3">
        <f>IF(B78=0,"n.a.",B86/B78)</f>
        <v>0.28492900359903284</v>
      </c>
      <c r="C89" s="3">
        <f>IF(C78=0,"n.a.",C86/C78)</f>
        <v>0.28430740756004985</v>
      </c>
      <c r="D89" s="3">
        <f>IF(D78=0,"n.a.",D86/D78)</f>
        <v>0.3019127305370661</v>
      </c>
      <c r="E89" s="3">
        <f>IF(E78=0,"n.a.",E86/E78)</f>
        <v>0.2839724876110738</v>
      </c>
      <c r="F89" s="3">
        <f>IF(F78=0,"n.a.",F86/F78)</f>
        <v>0.28847880355398947</v>
      </c>
      <c r="G89" s="30" t="s">
        <v>117</v>
      </c>
      <c r="H89" s="5"/>
    </row>
    <row r="90">
      <c r="A90" s="33" t="s">
        <v>74</v>
      </c>
      <c r="B90" s="36">
        <f>(B89-B130)*10000</f>
        <v>-116.33981134414827</v>
      </c>
      <c r="C90" s="36">
        <f>(C89-C130)*10000</f>
        <v>-79.12743408885925</v>
      </c>
      <c r="D90" s="36">
        <f>(D89-D130)*10000</f>
        <v>-224.47026890620336</v>
      </c>
      <c r="E90" s="36">
        <f>(E89-E130)*10000</f>
        <v>-255.22947903328318</v>
      </c>
      <c r="F90" s="36">
        <f>(F89-F130)*10000</f>
        <v>-168.30904354956044</v>
      </c>
      <c r="G90" s="35" t="s">
        <v>117</v>
      </c>
      <c r="H90" s="5"/>
    </row>
    <row r="91">
      <c r="A91" s="33" t="s">
        <v>73</v>
      </c>
      <c r="B91" s="36">
        <f>(B89-E130)*10000</f>
        <v>-245.6643191536928</v>
      </c>
      <c r="C91" s="36">
        <f>(C89-B89)*10000</f>
        <v>-6.215960389829855</v>
      </c>
      <c r="D91" s="36">
        <f>(D89-C89)*10000</f>
        <v>176.05322977016223</v>
      </c>
      <c r="E91" s="36">
        <f>(E89-D89)*10000</f>
        <v>-179.40242925992277</v>
      </c>
      <c r="F91" s="36"/>
      <c r="G91" s="35" t="s">
        <v>117</v>
      </c>
      <c r="H91" s="5"/>
    </row>
    <row r="92">
      <c r="A92" s="27" t="s">
        <v>123</v>
      </c>
      <c r="B92" s="17">
        <v>2.794</v>
      </c>
      <c r="C92" s="17">
        <v>-0.616</v>
      </c>
      <c r="D92" s="17">
        <v>4.038</v>
      </c>
      <c r="E92" s="13">
        <f>F92-B92-C92-D92</f>
        <v>1.0579999999999998</v>
      </c>
      <c r="F92" s="17">
        <v>7.274</v>
      </c>
      <c r="G92" s="26" t="s">
        <v>117</v>
      </c>
      <c r="H92" s="5"/>
    </row>
    <row r="93">
      <c r="A93" s="7" t="s">
        <v>124</v>
      </c>
      <c r="B93" s="28">
        <f>B78-B79-B86-B92</f>
        <v>82.67899999999996</v>
      </c>
      <c r="C93" s="28">
        <f>C78-C79-C86-C92</f>
        <v>81.69900000000003</v>
      </c>
      <c r="D93" s="28">
        <f>D78-D79-D86-D92</f>
        <v>61.02500000000002</v>
      </c>
      <c r="E93" s="28">
        <f>E78-E79-E86-E92</f>
        <v>83.6410000000001</v>
      </c>
      <c r="F93" s="28">
        <f>F78-F79-F86-F92</f>
        <v>309.0440000000002</v>
      </c>
      <c r="G93" s="19" t="s">
        <v>117</v>
      </c>
      <c r="H93" s="5"/>
    </row>
    <row r="94">
      <c r="A94" s="16" t="s">
        <v>125</v>
      </c>
      <c r="B94" s="3">
        <f>IF(B78=0,"n.a.",B93/B78)</f>
        <v>0.1535420202868083</v>
      </c>
      <c r="C94" s="3">
        <f>IF(C78=0,"n.a.",C93/C78)</f>
        <v>0.1530499844512801</v>
      </c>
      <c r="D94" s="3">
        <f>IF(D78=0,"n.a.",D93/D78)</f>
        <v>0.12282898140003909</v>
      </c>
      <c r="E94" s="3">
        <f>IF(E78=0,"n.a.",E93/E78)</f>
        <v>0.1486155852601543</v>
      </c>
      <c r="F94" s="3">
        <f>IF(F78=0,"n.a.",F93/F78)</f>
        <v>0.14496081924505405</v>
      </c>
      <c r="G94" s="30" t="s">
        <v>117</v>
      </c>
      <c r="H94" s="5"/>
    </row>
    <row r="95">
      <c r="A95" s="33" t="s">
        <v>74</v>
      </c>
      <c r="B95" s="36">
        <f>(B94-B133)*10000</f>
        <v>-38.565428612037934</v>
      </c>
      <c r="C95" s="36">
        <f>(C94-C133)*10000</f>
        <v>-40.72725243554509</v>
      </c>
      <c r="D95" s="36">
        <f>(D94-D133)*10000</f>
        <v>54.86806102277211</v>
      </c>
      <c r="E95" s="36">
        <f>(E94-E133)*10000</f>
        <v>241.51993909831222</v>
      </c>
      <c r="F95" s="36">
        <f>(F94-F133)*10000</f>
        <v>56.81947846087415</v>
      </c>
      <c r="G95" s="35" t="s">
        <v>117</v>
      </c>
      <c r="H95" s="5"/>
    </row>
    <row r="96">
      <c r="A96" s="33" t="s">
        <v>73</v>
      </c>
      <c r="B96" s="36">
        <f>(B94-E133)*10000</f>
        <v>290.7842893648521</v>
      </c>
      <c r="C96" s="36">
        <f>(C94-B94)*10000</f>
        <v>-4.92035835528204</v>
      </c>
      <c r="D96" s="36">
        <f>(D94-C94)*10000</f>
        <v>-302.21003051241007</v>
      </c>
      <c r="E96" s="36">
        <f>(E94-D94)*10000</f>
        <v>257.8660386011522</v>
      </c>
      <c r="F96" s="36"/>
      <c r="G96" s="35" t="s">
        <v>117</v>
      </c>
      <c r="H96" s="5"/>
    </row>
    <row r="97">
      <c r="A97" s="16" t="s">
        <v>57</v>
      </c>
      <c r="B97" s="3">
        <f>IF(B132=0,"n.a.",B93/B132-1)</f>
        <v>0.07209637054422324</v>
      </c>
      <c r="C97" s="3">
        <f>IF(C132=0,"n.a.",C93/C132-1)</f>
        <v>0.01709284664990207</v>
      </c>
      <c r="D97" s="3">
        <f>IF(D132=0,"n.a.",D93/D132-1)</f>
        <v>0.13446237358715085</v>
      </c>
      <c r="E97" s="3">
        <f>IF(E132=0,"n.a.",E93/E132-1)</f>
        <v>0.25327399682340057</v>
      </c>
      <c r="F97" s="3">
        <f>IF(F132=0,"n.a.",F93/F132-1)</f>
        <v>0.11176904397877574</v>
      </c>
      <c r="G97" s="30" t="s">
        <v>117</v>
      </c>
      <c r="H97" s="5"/>
    </row>
    <row r="98">
      <c r="A98" s="27" t="s">
        <v>126</v>
      </c>
      <c r="B98" s="17">
        <v>82.679</v>
      </c>
      <c r="C98" s="17">
        <v>81.699</v>
      </c>
      <c r="D98" s="17">
        <v>61.025</v>
      </c>
      <c r="E98" s="17">
        <v>83.641</v>
      </c>
      <c r="F98" s="17">
        <v>309.044</v>
      </c>
      <c r="G98" s="26" t="s">
        <v>117</v>
      </c>
      <c r="H98" s="5"/>
    </row>
    <row r="99">
      <c r="A99" s="5" t="s">
        <v>127</v>
      </c>
      <c r="B99" s="1">
        <f>ROUND(B93-B98,6)</f>
        <v>0</v>
      </c>
      <c r="C99" s="1">
        <f>ROUND(C93-C98,6)</f>
        <v>0</v>
      </c>
      <c r="D99" s="1">
        <f>ROUND(D93-D98,6)</f>
        <v>0</v>
      </c>
      <c r="E99" s="1">
        <f>ROUND(E93-E98,6)</f>
        <v>0</v>
      </c>
      <c r="F99" s="1">
        <f>ROUND(F93-F98,6)</f>
        <v>0</v>
      </c>
      <c r="G99" s="34" t="s">
        <v>117</v>
      </c>
      <c r="H99" s="5"/>
    </row>
    <row r="100">
      <c r="A100" s="27" t="s">
        <v>128</v>
      </c>
      <c r="B100" s="17">
        <v>0.615</v>
      </c>
      <c r="C100" s="17">
        <v>0.933</v>
      </c>
      <c r="D100" s="17">
        <v>0.974</v>
      </c>
      <c r="E100" s="17">
        <v>0.653</v>
      </c>
      <c r="F100" s="17">
        <v>3.175</v>
      </c>
      <c r="G100" s="26" t="s">
        <v>117</v>
      </c>
      <c r="H100" s="5"/>
    </row>
    <row r="101">
      <c r="A101" s="7" t="s">
        <v>129</v>
      </c>
      <c r="B101" s="28">
        <f>B93-B100</f>
        <v>82.06399999999996</v>
      </c>
      <c r="C101" s="28">
        <f>C93-C100</f>
        <v>80.76600000000002</v>
      </c>
      <c r="D101" s="28">
        <f>D93-D100</f>
        <v>60.05100000000002</v>
      </c>
      <c r="E101" s="28">
        <f>E93-E100</f>
        <v>82.9880000000001</v>
      </c>
      <c r="F101" s="28">
        <f>F93-F100</f>
        <v>305.8690000000002</v>
      </c>
      <c r="G101" s="19" t="s">
        <v>117</v>
      </c>
      <c r="H101" s="5"/>
    </row>
    <row r="102">
      <c r="A102" s="27" t="s">
        <v>130</v>
      </c>
      <c r="B102" s="17">
        <v>4.931</v>
      </c>
      <c r="C102" s="17">
        <v>2.022</v>
      </c>
      <c r="D102" s="17">
        <v>6.634</v>
      </c>
      <c r="E102" s="17">
        <v>2.562</v>
      </c>
      <c r="F102" s="17">
        <v>16.149</v>
      </c>
      <c r="G102" s="26" t="s">
        <v>117</v>
      </c>
      <c r="H102" s="5"/>
    </row>
    <row r="103">
      <c r="A103" s="27" t="s">
        <v>131</v>
      </c>
      <c r="B103" s="17">
        <v>0</v>
      </c>
      <c r="C103" s="17">
        <v>0.041</v>
      </c>
      <c r="D103" s="17">
        <v>0.101</v>
      </c>
      <c r="E103" s="17">
        <v>0.049</v>
      </c>
      <c r="F103" s="17">
        <v>0.191</v>
      </c>
      <c r="G103" s="26" t="s">
        <v>117</v>
      </c>
      <c r="H103" s="5"/>
    </row>
    <row r="104">
      <c r="A104" s="27" t="s">
        <v>167</v>
      </c>
      <c r="B104" s="17">
        <v>0</v>
      </c>
      <c r="C104" s="17">
        <v>0</v>
      </c>
      <c r="D104" s="17">
        <v>0</v>
      </c>
      <c r="E104" s="17">
        <v>-1.71</v>
      </c>
      <c r="F104" s="17">
        <v>-1.71</v>
      </c>
      <c r="G104" s="26" t="s">
        <v>117</v>
      </c>
      <c r="H104" s="5"/>
    </row>
    <row r="105">
      <c r="A105" s="27" t="s">
        <v>168</v>
      </c>
      <c r="B105" s="17">
        <v>0</v>
      </c>
      <c r="C105" s="17">
        <v>0</v>
      </c>
      <c r="D105" s="17">
        <v>0</v>
      </c>
      <c r="E105" s="17">
        <v>1</v>
      </c>
      <c r="F105" s="17">
        <v>1</v>
      </c>
      <c r="G105" s="26" t="s">
        <v>117</v>
      </c>
      <c r="H105" s="5"/>
    </row>
    <row r="106">
      <c r="A106" s="7" t="s">
        <v>169</v>
      </c>
      <c r="B106" s="28">
        <f>B101+B102+B103+B104+B105</f>
        <v>86.99499999999996</v>
      </c>
      <c r="C106" s="28">
        <f>C101+C102+C103+C104+C105</f>
        <v>82.82900000000002</v>
      </c>
      <c r="D106" s="28">
        <f>D101+D102+D103+D104+D105</f>
        <v>66.78600000000003</v>
      </c>
      <c r="E106" s="28">
        <f>E101+E102+E103+E104+E105</f>
        <v>84.88900000000011</v>
      </c>
      <c r="F106" s="28">
        <f>F101+F102+F103+F104+F105</f>
        <v>321.4990000000002</v>
      </c>
      <c r="G106" s="19">
        <f>G78*G109</f>
        <v>92.5258171697323</v>
      </c>
      <c r="H106" s="5"/>
    </row>
    <row r="107">
      <c r="A107" s="66" t="s">
        <v>57</v>
      </c>
      <c r="B107" s="3">
        <f>IF(B134=0,"n.a.",B106/B134-1)</f>
        <v>0.11046578419984376</v>
      </c>
      <c r="C107" s="3">
        <f>IF(C134=0,"n.a.",C106/C134-1)</f>
        <v>-0.003081181922127585</v>
      </c>
      <c r="D107" s="3">
        <f>IF(D134=0,"n.a.",D106/D134-1)</f>
        <v>0.19982753355011473</v>
      </c>
      <c r="E107" s="3">
        <f>IF(E134=0,"n.a.",E106/E134-1)</f>
        <v>0.10601678132166081</v>
      </c>
      <c r="F107" s="3">
        <f>IF(F134=0,"n.a.",F106/F134-1)</f>
        <v>0.09412573466602758</v>
      </c>
      <c r="G107" s="30">
        <f>IF(G134=0,"n.a.",G106/G134-1)</f>
        <v>0.0635762649546796</v>
      </c>
      <c r="H107" s="5"/>
    </row>
    <row r="108">
      <c r="A108" s="66" t="s">
        <v>66</v>
      </c>
      <c r="B108" s="1">
        <f>B106-E134</f>
        <v>10.242999999999967</v>
      </c>
      <c r="C108" s="1">
        <f>C106-B106</f>
        <v>-4.16599999999994</v>
      </c>
      <c r="D108" s="1">
        <f>D106-C106</f>
        <v>-16.042999999999992</v>
      </c>
      <c r="E108" s="1">
        <f>E106-D106</f>
        <v>18.10300000000008</v>
      </c>
      <c r="F108" s="1"/>
      <c r="G108" s="34">
        <f>G106-E106</f>
        <v>7.636817169732197</v>
      </c>
      <c r="H108" s="5"/>
    </row>
    <row r="109">
      <c r="A109" s="66" t="s">
        <v>134</v>
      </c>
      <c r="B109" s="3">
        <f>IF(B78=0,"n.a.",B106/B78)</f>
        <v>0.16155720382262595</v>
      </c>
      <c r="C109" s="3">
        <f>IF(C78=0,"n.a.",C106/C78)</f>
        <v>0.15516685837176805</v>
      </c>
      <c r="D109" s="3">
        <f>IF(D78=0,"n.a.",D106/D78)</f>
        <v>0.13442452030779206</v>
      </c>
      <c r="E109" s="3">
        <f>IF(E78=0,"n.a.",E106/E78)</f>
        <v>0.1508330653285977</v>
      </c>
      <c r="F109" s="3">
        <f>IF(F78=0,"n.a.",F106/F78)</f>
        <v>0.1508029873625297</v>
      </c>
      <c r="G109" s="30">
        <f>G135+G112/10000</f>
        <v>0.16455720382262595</v>
      </c>
      <c r="H109" s="5"/>
    </row>
    <row r="110">
      <c r="A110" s="16" t="s">
        <v>74</v>
      </c>
      <c r="B110" s="36">
        <f>(B109-B135)*10000</f>
        <v>16.64559525132281</v>
      </c>
      <c r="C110" s="36">
        <f>(C109-C135)*10000</f>
        <v>-73.52628905020697</v>
      </c>
      <c r="D110" s="36">
        <f>(D109-D135)*10000</f>
        <v>130.00934949387116</v>
      </c>
      <c r="E110" s="36">
        <f>(E109-E135)*10000</f>
        <v>76.93780913122283</v>
      </c>
      <c r="F110" s="36">
        <f>(F109-F135)*10000</f>
        <v>35.74485336290817</v>
      </c>
      <c r="G110" s="35">
        <f>(G109-G135)*10000</f>
        <v>30.00000000000003</v>
      </c>
      <c r="H110" s="5"/>
    </row>
    <row r="111">
      <c r="A111" s="16" t="s">
        <v>135</v>
      </c>
      <c r="B111" s="36">
        <f>(B109-E135)*10000</f>
        <v>184.1791940715054</v>
      </c>
      <c r="C111" s="36">
        <f>(C109-B109)*10000</f>
        <v>-63.90345450857898</v>
      </c>
      <c r="D111" s="36">
        <f>(D109-C109)*10000</f>
        <v>-207.4233806397599</v>
      </c>
      <c r="E111" s="36">
        <f>(E109-D109)*10000</f>
        <v>164.08545020805633</v>
      </c>
      <c r="F111" s="36"/>
      <c r="G111" s="35">
        <f>(G109-E109)*10000</f>
        <v>137.2413849402826</v>
      </c>
      <c r="H111" s="5"/>
    </row>
    <row r="112">
      <c r="A112" s="27" t="s">
        <v>136</v>
      </c>
      <c r="B112" s="53"/>
      <c r="C112" s="53"/>
      <c r="D112" s="53"/>
      <c r="E112" s="53"/>
      <c r="F112" s="53"/>
      <c r="G112" s="98">
        <v>30</v>
      </c>
      <c r="H112" s="5" t="s">
        <v>170</v>
      </c>
    </row>
    <row r="113">
      <c r="A113" s="27" t="s">
        <v>138</v>
      </c>
      <c r="B113" s="17">
        <v>86.995</v>
      </c>
      <c r="C113" s="17">
        <v>82.829</v>
      </c>
      <c r="D113" s="17">
        <v>66.786</v>
      </c>
      <c r="E113" s="17">
        <v>84.889</v>
      </c>
      <c r="F113" s="17">
        <v>321.499</v>
      </c>
      <c r="G113" s="26" t="s">
        <v>117</v>
      </c>
      <c r="H113" s="5"/>
    </row>
    <row r="114">
      <c r="A114" s="5" t="s">
        <v>139</v>
      </c>
      <c r="B114" s="1">
        <f>ROUND(B106-B113,6)</f>
        <v>0</v>
      </c>
      <c r="C114" s="1">
        <f>ROUND(C106-C113,6)</f>
        <v>0</v>
      </c>
      <c r="D114" s="1">
        <f>ROUND(D106-D113,6)</f>
        <v>0</v>
      </c>
      <c r="E114" s="1">
        <f>ROUND(E106-E113,6)</f>
        <v>0</v>
      </c>
      <c r="F114" s="1">
        <f>ROUND(F106-F113,6)</f>
        <v>0</v>
      </c>
      <c r="G114" s="34" t="s">
        <v>117</v>
      </c>
      <c r="H114" s="5"/>
    </row>
    <row r="115">
      <c r="A115" s="27" t="s">
        <v>140</v>
      </c>
      <c r="B115" s="13" t="s">
        <v>45</v>
      </c>
      <c r="C115" s="13" t="s">
        <v>45</v>
      </c>
      <c r="D115" s="13" t="s">
        <v>45</v>
      </c>
      <c r="E115" s="13" t="s">
        <v>45</v>
      </c>
      <c r="F115" s="13" t="s">
        <v>45</v>
      </c>
      <c r="G115" s="26" t="s">
        <v>45</v>
      </c>
      <c r="H115" s="5" t="s">
        <v>141</v>
      </c>
    </row>
    <row r="116">
      <c r="A116" s="4"/>
      <c r="B116" s="4"/>
      <c r="C116" s="4"/>
      <c r="D116" s="4"/>
      <c r="E116" s="4"/>
      <c r="F116" s="4"/>
      <c r="G116" s="39"/>
      <c r="H116" s="5"/>
    </row>
    <row r="117">
      <c r="A117" s="7" t="s">
        <v>142</v>
      </c>
      <c r="B117" s="4"/>
      <c r="C117" s="4"/>
      <c r="D117" s="4"/>
      <c r="E117" s="4"/>
      <c r="F117" s="4"/>
      <c r="G117" s="39"/>
      <c r="H117" s="5"/>
    </row>
    <row r="118">
      <c r="A118" s="7" t="s">
        <v>143</v>
      </c>
      <c r="B118" s="85">
        <v>489.96</v>
      </c>
      <c r="C118" s="85">
        <v>511.231</v>
      </c>
      <c r="D118" s="85">
        <v>458.42</v>
      </c>
      <c r="E118" s="85">
        <v>536.205</v>
      </c>
      <c r="F118" s="85">
        <v>1995.816</v>
      </c>
      <c r="G118" s="19">
        <f>B27</f>
        <v>538.478</v>
      </c>
      <c r="H118" s="5" t="s">
        <v>144</v>
      </c>
    </row>
    <row r="119">
      <c r="A119" s="27" t="s">
        <v>145</v>
      </c>
      <c r="B119" s="17">
        <v>324.076</v>
      </c>
      <c r="C119" s="17">
        <v>336.298</v>
      </c>
      <c r="D119" s="17">
        <v>305.802</v>
      </c>
      <c r="E119" s="13">
        <f>F119-B119-C119-D119</f>
        <v>355.91499999999985</v>
      </c>
      <c r="F119" s="17">
        <v>1322.091</v>
      </c>
      <c r="G119" s="26">
        <f>B35</f>
        <v>353.945</v>
      </c>
      <c r="H119" s="5"/>
    </row>
    <row r="120">
      <c r="A120" s="27" t="s">
        <v>146</v>
      </c>
      <c r="B120" s="17">
        <v>25.72</v>
      </c>
      <c r="C120" s="17">
        <v>24.504</v>
      </c>
      <c r="D120" s="17">
        <v>18.431</v>
      </c>
      <c r="E120" s="13">
        <f>F120-B120-C120-D120</f>
        <v>22.001</v>
      </c>
      <c r="F120" s="17">
        <v>90.656</v>
      </c>
      <c r="G120" s="26">
        <f>B41</f>
        <v>23.502</v>
      </c>
      <c r="H120" s="5"/>
    </row>
    <row r="121">
      <c r="A121" s="27" t="s">
        <v>147</v>
      </c>
      <c r="B121" s="17">
        <v>68.198</v>
      </c>
      <c r="C121" s="17">
        <v>70.212</v>
      </c>
      <c r="D121" s="17">
        <v>68.035</v>
      </c>
      <c r="E121" s="13">
        <f>F121-B121-C121-D121</f>
        <v>89.37700000000004</v>
      </c>
      <c r="F121" s="17">
        <v>295.822</v>
      </c>
      <c r="G121" s="26">
        <f>B47</f>
        <v>87.83</v>
      </c>
      <c r="H121" s="5"/>
    </row>
    <row r="122">
      <c r="A122" s="27" t="s">
        <v>148</v>
      </c>
      <c r="B122" s="17">
        <v>9.931</v>
      </c>
      <c r="C122" s="17">
        <v>11.132</v>
      </c>
      <c r="D122" s="17">
        <v>8.97</v>
      </c>
      <c r="E122" s="13">
        <f>F122-B122-C122-D122</f>
        <v>9.331000000000001</v>
      </c>
      <c r="F122" s="17">
        <v>39.364</v>
      </c>
      <c r="G122" s="26">
        <f>B53</f>
        <v>8.97</v>
      </c>
      <c r="H122" s="5"/>
    </row>
    <row r="123">
      <c r="A123" s="27" t="s">
        <v>150</v>
      </c>
      <c r="B123" s="17">
        <v>34.546</v>
      </c>
      <c r="C123" s="17">
        <v>38.739</v>
      </c>
      <c r="D123" s="17">
        <v>32.762</v>
      </c>
      <c r="E123" s="13">
        <f>F123-B123-C123-D123</f>
        <v>33.077</v>
      </c>
      <c r="F123" s="17">
        <v>139.124</v>
      </c>
      <c r="G123" s="26">
        <f>B59</f>
        <v>34.224</v>
      </c>
      <c r="H123" s="5"/>
    </row>
    <row r="124">
      <c r="A124" s="27" t="s">
        <v>151</v>
      </c>
      <c r="B124" s="17">
        <v>27.489</v>
      </c>
      <c r="C124" s="17">
        <v>30.346</v>
      </c>
      <c r="D124" s="17">
        <v>24.42</v>
      </c>
      <c r="E124" s="13">
        <f>F124-B124-C124-D124</f>
        <v>26.50399999999999</v>
      </c>
      <c r="F124" s="17">
        <v>108.759</v>
      </c>
      <c r="G124" s="26">
        <f>B65</f>
        <v>30.007</v>
      </c>
      <c r="H124" s="5" t="s">
        <v>171</v>
      </c>
    </row>
    <row r="125">
      <c r="A125" s="73" t="s">
        <v>152</v>
      </c>
      <c r="B125" s="28">
        <f>B120+B121+B122+B123+B124</f>
        <v>165.884</v>
      </c>
      <c r="C125" s="28">
        <f>C120+C121+C122+C123+C124</f>
        <v>174.93300000000002</v>
      </c>
      <c r="D125" s="28">
        <f>D120+D121+D122+D123+D124</f>
        <v>152.618</v>
      </c>
      <c r="E125" s="28">
        <f>E120+E121+E122+E123+E124</f>
        <v>180.29000000000005</v>
      </c>
      <c r="F125" s="28">
        <f>F120+F121+F122+F123+F124</f>
        <v>673.725</v>
      </c>
      <c r="G125" s="19">
        <f>G120+G121+G122+G123+G124</f>
        <v>184.533</v>
      </c>
      <c r="H125" s="5"/>
    </row>
    <row r="126">
      <c r="A126" s="5" t="s">
        <v>153</v>
      </c>
      <c r="B126" s="1">
        <f>ROUND(B119+B125-B118,6)</f>
        <v>0</v>
      </c>
      <c r="C126" s="1">
        <f>ROUND(C119+C125-C118,6)</f>
        <v>0</v>
      </c>
      <c r="D126" s="1">
        <f>ROUND(D119+D125-D118,6)</f>
        <v>0</v>
      </c>
      <c r="E126" s="1">
        <f>ROUND(E119+E125-E118,6)</f>
        <v>0</v>
      </c>
      <c r="F126" s="1">
        <f>ROUND(F119+F125-F118,6)</f>
        <v>0</v>
      </c>
      <c r="G126" s="34">
        <f>ROUND(G119+G125-G118,6)</f>
        <v>0</v>
      </c>
      <c r="H126" s="5"/>
    </row>
    <row r="127">
      <c r="A127" s="27" t="s">
        <v>154</v>
      </c>
      <c r="B127" s="17">
        <v>267.847</v>
      </c>
      <c r="C127" s="17">
        <v>280.17</v>
      </c>
      <c r="D127" s="17">
        <v>256.554</v>
      </c>
      <c r="E127" s="13">
        <f>F127-B127-C127-D127</f>
        <v>302.476</v>
      </c>
      <c r="F127" s="17">
        <v>1107.047</v>
      </c>
      <c r="G127" s="26">
        <f>B79</f>
        <v>299.577</v>
      </c>
      <c r="H127" s="5"/>
    </row>
    <row r="128">
      <c r="A128" s="16" t="s">
        <v>155</v>
      </c>
      <c r="B128" s="3">
        <f>1-B127/B118</f>
        <v>0.4533288431708711</v>
      </c>
      <c r="C128" s="3">
        <f>1-C127/C118</f>
        <v>0.4519698531583569</v>
      </c>
      <c r="D128" s="3">
        <f>1-D127/D118</f>
        <v>0.4403516425984906</v>
      </c>
      <c r="E128" s="3">
        <f>1-E127/E118</f>
        <v>0.43589485364739233</v>
      </c>
      <c r="F128" s="3">
        <f>1-F127/F118</f>
        <v>0.4453161012838859</v>
      </c>
      <c r="G128" s="30">
        <f>1-G127/G118</f>
        <v>0.4436597224027722</v>
      </c>
      <c r="H128" s="5"/>
    </row>
    <row r="129">
      <c r="A129" s="27" t="s">
        <v>156</v>
      </c>
      <c r="B129" s="17">
        <v>145.304</v>
      </c>
      <c r="C129" s="17">
        <v>149.392</v>
      </c>
      <c r="D129" s="17">
        <v>148.693</v>
      </c>
      <c r="E129" s="13">
        <f>F129-B129-C129-D129</f>
        <v>165.953</v>
      </c>
      <c r="F129" s="17">
        <v>609.342</v>
      </c>
      <c r="G129" s="26">
        <f>B86</f>
        <v>153.428</v>
      </c>
      <c r="H129" s="5"/>
    </row>
    <row r="130">
      <c r="A130" s="16" t="s">
        <v>157</v>
      </c>
      <c r="B130" s="3">
        <f>B129/B118</f>
        <v>0.29656298473344767</v>
      </c>
      <c r="C130" s="3">
        <f>C129/C118</f>
        <v>0.2922201509689358</v>
      </c>
      <c r="D130" s="3">
        <f>D129/D118</f>
        <v>0.3243597574276864</v>
      </c>
      <c r="E130" s="3">
        <f>E129/E118</f>
        <v>0.3094954355144021</v>
      </c>
      <c r="F130" s="3">
        <f>F129/F118</f>
        <v>0.3053097079089455</v>
      </c>
      <c r="G130" s="30">
        <f>G129/G118</f>
        <v>0.28492900359903284</v>
      </c>
      <c r="H130" s="5"/>
    </row>
    <row r="131">
      <c r="A131" s="27" t="s">
        <v>158</v>
      </c>
      <c r="B131" s="17">
        <v>-0.31</v>
      </c>
      <c r="C131" s="17">
        <v>1.343</v>
      </c>
      <c r="D131" s="17">
        <v>-0.619</v>
      </c>
      <c r="E131" s="13">
        <f>F131-B131-C131-D131</f>
        <v>1.038</v>
      </c>
      <c r="F131" s="17">
        <v>1.452</v>
      </c>
      <c r="G131" s="26">
        <f>B92</f>
        <v>2.794</v>
      </c>
      <c r="H131" s="5"/>
    </row>
    <row r="132">
      <c r="A132" s="27" t="s">
        <v>159</v>
      </c>
      <c r="B132" s="17">
        <v>77.119</v>
      </c>
      <c r="C132" s="17">
        <v>80.326</v>
      </c>
      <c r="D132" s="17">
        <v>53.792</v>
      </c>
      <c r="E132" s="17">
        <v>66.738</v>
      </c>
      <c r="F132" s="17">
        <v>277.975</v>
      </c>
      <c r="G132" s="26">
        <f>B93</f>
        <v>82.67899999999996</v>
      </c>
      <c r="H132" s="5"/>
    </row>
    <row r="133">
      <c r="A133" s="16" t="s">
        <v>160</v>
      </c>
      <c r="B133" s="3">
        <f>B132/B118</f>
        <v>0.1573985631480121</v>
      </c>
      <c r="C133" s="3">
        <f>C132/C118</f>
        <v>0.1571227096948346</v>
      </c>
      <c r="D133" s="3">
        <f>D132/D118</f>
        <v>0.11734217529776188</v>
      </c>
      <c r="E133" s="3">
        <f>E132/E118</f>
        <v>0.12446359135032309</v>
      </c>
      <c r="F133" s="3">
        <f>F132/F118</f>
        <v>0.13927887139896664</v>
      </c>
      <c r="G133" s="30">
        <f>G132/G118</f>
        <v>0.1535420202868083</v>
      </c>
      <c r="H133" s="5"/>
    </row>
    <row r="134">
      <c r="A134" s="27" t="s">
        <v>161</v>
      </c>
      <c r="B134" s="17">
        <v>78.341</v>
      </c>
      <c r="C134" s="17">
        <v>83.085</v>
      </c>
      <c r="D134" s="17">
        <v>55.663</v>
      </c>
      <c r="E134" s="17">
        <v>76.752</v>
      </c>
      <c r="F134" s="17">
        <v>293.841</v>
      </c>
      <c r="G134" s="26">
        <f>B106</f>
        <v>86.99499999999996</v>
      </c>
      <c r="H134" s="5"/>
    </row>
    <row r="135">
      <c r="A135" s="16" t="s">
        <v>162</v>
      </c>
      <c r="B135" s="3">
        <f>B134/B118</f>
        <v>0.15989264429749367</v>
      </c>
      <c r="C135" s="3">
        <f>C134/C118</f>
        <v>0.16251948727678875</v>
      </c>
      <c r="D135" s="3">
        <f>D134/D118</f>
        <v>0.12142358535840495</v>
      </c>
      <c r="E135" s="3">
        <f>E134/E118</f>
        <v>0.1431392844154754</v>
      </c>
      <c r="F135" s="3">
        <f>F134/F118</f>
        <v>0.14722850202623888</v>
      </c>
      <c r="G135" s="30">
        <f>G134/G118</f>
        <v>0.16155720382262595</v>
      </c>
      <c r="H135" s="5"/>
    </row>
    <row r="136">
      <c r="A136" s="4"/>
      <c r="B136" s="4"/>
      <c r="C136" s="4"/>
      <c r="D136" s="4"/>
      <c r="E136" s="4"/>
      <c r="F136" s="4"/>
      <c r="G136" s="39"/>
      <c r="H136" s="5"/>
    </row>
    <row r="137">
      <c r="A137" s="7" t="s">
        <v>163</v>
      </c>
      <c r="B137" s="43"/>
      <c r="C137" s="43"/>
      <c r="D137" s="43"/>
      <c r="E137" s="43"/>
      <c r="F137" s="43"/>
      <c r="G137" s="58" t="b">
        <f>AND(MAX(ABS(B75),ABS(C75),ABS(D75),ABS(E75),ABS(F75),ABS(G75))&lt;0.001,MAX(ABS(B99),ABS(C99),ABS(D99),ABS(E99),ABS(F99))&lt;0.001,MAX(ABS(B114),ABS(C114),ABS(D114),ABS(E114),ABS(F114))&lt;0.001,MAX(ABS(B126),ABS(C126),ABS(D126),ABS(E126),ABS(F126))&lt;0.001)</f>
        <v>1</v>
      </c>
      <c r="H137" s="5"/>
    </row>
    <row r="138">
      <c r="A138" s="4"/>
      <c r="B138" s="4"/>
      <c r="C138" s="4"/>
      <c r="D138" s="4"/>
      <c r="E138" s="4"/>
      <c r="F138" s="4"/>
      <c r="G138" s="39"/>
      <c r="H138" s="5"/>
    </row>
    <row r="139">
      <c r="A139" s="4"/>
      <c r="B139" s="4"/>
      <c r="C139" s="4"/>
      <c r="D139" s="4"/>
      <c r="E139" s="4"/>
      <c r="F139" s="4"/>
      <c r="G139" s="39"/>
      <c r="H139" s="5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9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172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84</v>
      </c>
      <c r="B8" s="4"/>
      <c r="C8" s="4"/>
      <c r="D8" s="4"/>
      <c r="E8" s="4"/>
      <c r="F8" s="4"/>
      <c r="G8" s="39"/>
      <c r="H8" s="5"/>
    </row>
    <row r="9">
      <c r="A9" s="27" t="s">
        <v>70</v>
      </c>
      <c r="B9" s="13">
        <f>B118</f>
        <v>650.823</v>
      </c>
      <c r="C9" s="13">
        <f>C118</f>
        <v>613.62</v>
      </c>
      <c r="D9" s="13">
        <f>D118</f>
        <v>523.297</v>
      </c>
      <c r="E9" s="13">
        <f>E118</f>
        <v>714.636</v>
      </c>
      <c r="F9" s="13">
        <f>F118</f>
        <v>2502.376</v>
      </c>
      <c r="G9" s="26">
        <f>G118</f>
        <v>693.819</v>
      </c>
      <c r="H9" s="5"/>
    </row>
    <row r="10">
      <c r="A10" s="66" t="s">
        <v>71</v>
      </c>
      <c r="B10" s="37">
        <v>-0.029</v>
      </c>
      <c r="C10" s="37">
        <v>-0.047</v>
      </c>
      <c r="D10" s="37">
        <v>-0.024</v>
      </c>
      <c r="E10" s="37">
        <v>-0.008</v>
      </c>
      <c r="F10" s="37">
        <v>-0.026</v>
      </c>
      <c r="G10" s="82">
        <v>0.02</v>
      </c>
      <c r="H10" s="5" t="s">
        <v>85</v>
      </c>
    </row>
    <row r="11">
      <c r="A11" s="16" t="s">
        <v>73</v>
      </c>
      <c r="B11" s="36"/>
      <c r="C11" s="36">
        <f>(C10-B10)*10000</f>
        <v>-180</v>
      </c>
      <c r="D11" s="36">
        <f>(D10-C10)*10000</f>
        <v>230</v>
      </c>
      <c r="E11" s="36">
        <f>(E10-D10)*10000</f>
        <v>160</v>
      </c>
      <c r="F11" s="36"/>
      <c r="G11" s="35">
        <f>(G10-E10)*10000</f>
        <v>280</v>
      </c>
      <c r="H11" s="5"/>
    </row>
    <row r="12">
      <c r="A12" s="16" t="s">
        <v>74</v>
      </c>
      <c r="B12" s="36" t="s">
        <v>45</v>
      </c>
      <c r="C12" s="36" t="s">
        <v>45</v>
      </c>
      <c r="D12" s="36" t="s">
        <v>45</v>
      </c>
      <c r="E12" s="36" t="s">
        <v>45</v>
      </c>
      <c r="F12" s="36" t="s">
        <v>45</v>
      </c>
      <c r="G12" s="35">
        <f>(G10-B10)*10000</f>
        <v>490</v>
      </c>
      <c r="H12" s="5" t="s">
        <v>86</v>
      </c>
    </row>
    <row r="13">
      <c r="A13" s="16" t="s">
        <v>87</v>
      </c>
      <c r="B13" s="3" t="s">
        <v>45</v>
      </c>
      <c r="C13" s="3" t="s">
        <v>45</v>
      </c>
      <c r="D13" s="3" t="s">
        <v>45</v>
      </c>
      <c r="E13" s="3" t="s">
        <v>45</v>
      </c>
      <c r="F13" s="3" t="s">
        <v>45</v>
      </c>
      <c r="G13" s="82">
        <v>0.03</v>
      </c>
      <c r="H13" s="5" t="s">
        <v>88</v>
      </c>
    </row>
    <row r="14">
      <c r="A14" s="33" t="s">
        <v>89</v>
      </c>
      <c r="B14" s="36" t="s">
        <v>45</v>
      </c>
      <c r="C14" s="36" t="s">
        <v>45</v>
      </c>
      <c r="D14" s="36" t="s">
        <v>45</v>
      </c>
      <c r="E14" s="36" t="s">
        <v>45</v>
      </c>
      <c r="F14" s="36" t="s">
        <v>45</v>
      </c>
      <c r="G14" s="35" t="s">
        <v>45</v>
      </c>
      <c r="H14" s="5"/>
    </row>
    <row r="15">
      <c r="A15" s="16" t="s">
        <v>90</v>
      </c>
      <c r="B15" s="3" t="s">
        <v>45</v>
      </c>
      <c r="C15" s="3" t="s">
        <v>45</v>
      </c>
      <c r="D15" s="3" t="s">
        <v>45</v>
      </c>
      <c r="E15" s="3" t="s">
        <v>45</v>
      </c>
      <c r="F15" s="3" t="s">
        <v>45</v>
      </c>
      <c r="G15" s="30">
        <f>(1+G10)/(1+G13)-1</f>
        <v>-0.009708737864077666</v>
      </c>
      <c r="H15" s="5"/>
    </row>
    <row r="16">
      <c r="A16" s="33" t="s">
        <v>91</v>
      </c>
      <c r="B16" s="36" t="s">
        <v>45</v>
      </c>
      <c r="C16" s="36" t="s">
        <v>45</v>
      </c>
      <c r="D16" s="36" t="s">
        <v>45</v>
      </c>
      <c r="E16" s="36" t="s">
        <v>45</v>
      </c>
      <c r="F16" s="36" t="s">
        <v>45</v>
      </c>
      <c r="G16" s="35" t="s">
        <v>45</v>
      </c>
      <c r="H16" s="5"/>
    </row>
    <row r="17">
      <c r="A17" s="66" t="s">
        <v>75</v>
      </c>
      <c r="B17" s="37">
        <v>0.091</v>
      </c>
      <c r="C17" s="37">
        <v>0.087</v>
      </c>
      <c r="D17" s="37">
        <v>0.09</v>
      </c>
      <c r="E17" s="37">
        <v>0.07200000000000001</v>
      </c>
      <c r="F17" s="37">
        <v>0.084</v>
      </c>
      <c r="G17" s="82">
        <v>0.008</v>
      </c>
      <c r="H17" s="5" t="s">
        <v>165</v>
      </c>
    </row>
    <row r="18">
      <c r="A18" s="16" t="s">
        <v>73</v>
      </c>
      <c r="B18" s="36"/>
      <c r="C18" s="36">
        <f>(C17-B17)*10000</f>
        <v>-40.000000000000036</v>
      </c>
      <c r="D18" s="36">
        <f>(D17-C17)*10000</f>
        <v>30.00000000000003</v>
      </c>
      <c r="E18" s="36">
        <f>(E17-D17)*10000</f>
        <v>-179.9999999999999</v>
      </c>
      <c r="F18" s="36"/>
      <c r="G18" s="35">
        <f>(G17-E17)*10000</f>
        <v>-640</v>
      </c>
      <c r="H18" s="5"/>
    </row>
    <row r="19">
      <c r="A19" s="16" t="s">
        <v>74</v>
      </c>
      <c r="B19" s="36" t="s">
        <v>45</v>
      </c>
      <c r="C19" s="36" t="s">
        <v>45</v>
      </c>
      <c r="D19" s="36" t="s">
        <v>45</v>
      </c>
      <c r="E19" s="36" t="s">
        <v>45</v>
      </c>
      <c r="F19" s="36" t="s">
        <v>45</v>
      </c>
      <c r="G19" s="35">
        <f>(G17-B17)*10000</f>
        <v>-829.9999999999999</v>
      </c>
      <c r="H19" s="5"/>
    </row>
    <row r="20">
      <c r="A20" s="66" t="s">
        <v>76</v>
      </c>
      <c r="B20" s="37">
        <v>0.004</v>
      </c>
      <c r="C20" s="37">
        <v>0.001</v>
      </c>
      <c r="D20" s="37">
        <v>0.013</v>
      </c>
      <c r="E20" s="37">
        <v>0.006</v>
      </c>
      <c r="F20" s="37">
        <v>0.006</v>
      </c>
      <c r="G20" s="82">
        <v>-0.003</v>
      </c>
      <c r="H20" s="5" t="s">
        <v>93</v>
      </c>
    </row>
    <row r="21">
      <c r="A21" s="16" t="s">
        <v>73</v>
      </c>
      <c r="B21" s="36"/>
      <c r="C21" s="36">
        <f>(C20-B20)*10000</f>
        <v>-30</v>
      </c>
      <c r="D21" s="36">
        <f>(D20-C20)*10000</f>
        <v>120</v>
      </c>
      <c r="E21" s="36">
        <f>(E20-D20)*10000</f>
        <v>-69.99999999999999</v>
      </c>
      <c r="F21" s="36"/>
      <c r="G21" s="35">
        <f>(G20-E20)*10000</f>
        <v>-90.00000000000001</v>
      </c>
      <c r="H21" s="5"/>
    </row>
    <row r="22">
      <c r="A22" s="16" t="s">
        <v>74</v>
      </c>
      <c r="B22" s="36" t="s">
        <v>45</v>
      </c>
      <c r="C22" s="36" t="s">
        <v>45</v>
      </c>
      <c r="D22" s="36" t="s">
        <v>45</v>
      </c>
      <c r="E22" s="36" t="s">
        <v>45</v>
      </c>
      <c r="F22" s="36" t="s">
        <v>45</v>
      </c>
      <c r="G22" s="35">
        <f>(G20-B20)*10000</f>
        <v>-70</v>
      </c>
      <c r="H22" s="5"/>
    </row>
    <row r="23">
      <c r="A23" s="27" t="s">
        <v>94</v>
      </c>
      <c r="B23" s="13">
        <f>B9*B10</f>
        <v>-18.873867</v>
      </c>
      <c r="C23" s="13">
        <f>C9*C10</f>
        <v>-28.84014</v>
      </c>
      <c r="D23" s="13">
        <f>D9*D10</f>
        <v>-12.559128000000001</v>
      </c>
      <c r="E23" s="13">
        <f>E9*E10</f>
        <v>-5.7170879999999995</v>
      </c>
      <c r="F23" s="13">
        <f>F9*F10</f>
        <v>-65.06177600000001</v>
      </c>
      <c r="G23" s="26">
        <f>G9*G10</f>
        <v>13.87638</v>
      </c>
      <c r="H23" s="5"/>
    </row>
    <row r="24">
      <c r="A24" s="27" t="s">
        <v>95</v>
      </c>
      <c r="B24" s="13">
        <f>B9*(1+B10)*B17</f>
        <v>57.507371103</v>
      </c>
      <c r="C24" s="13">
        <f>C9*(1+C10)*C17</f>
        <v>50.87584782</v>
      </c>
      <c r="D24" s="13">
        <f>D9*(1+D10)*D17</f>
        <v>45.96640848</v>
      </c>
      <c r="E24" s="13">
        <f>E9*(1+E10)*E17</f>
        <v>51.042161664000005</v>
      </c>
      <c r="F24" s="13">
        <f>F9*(1+F10)*F17</f>
        <v>204.73439481600002</v>
      </c>
      <c r="G24" s="26">
        <f>G9*(1+G10)*G17</f>
        <v>5.66156304</v>
      </c>
      <c r="H24" s="5"/>
    </row>
    <row r="25">
      <c r="A25" s="27" t="s">
        <v>96</v>
      </c>
      <c r="B25" s="13">
        <f>B9*(1+B10)*(1+B17)*B20</f>
        <v>2.757826016412</v>
      </c>
      <c r="C25" s="13">
        <f>C9*(1+C10)*(1+C17)*C20</f>
        <v>0.63565570782</v>
      </c>
      <c r="D25" s="13">
        <f>D9*(1+D10)*(1+D17)*D20</f>
        <v>7.237155646240001</v>
      </c>
      <c r="E25" s="13">
        <f>E9*(1+E10)*(1+E17)*E20</f>
        <v>4.559766441984</v>
      </c>
      <c r="F25" s="13">
        <f>F9*(1+F10)*(1+F17)*F20</f>
        <v>15.852291712896003</v>
      </c>
      <c r="G25" s="26">
        <f>G9*(1+G10)*(1+G17)*G20</f>
        <v>-2.1400708291200004</v>
      </c>
      <c r="H25" s="5"/>
    </row>
    <row r="26">
      <c r="A26" s="66" t="s">
        <v>97</v>
      </c>
      <c r="B26" s="1">
        <f>B27-B9-B23-B24-B25</f>
        <v>1.6046698805879882</v>
      </c>
      <c r="C26" s="1">
        <f>C27-C9-C23-C24-C25</f>
        <v>2.358636472179981</v>
      </c>
      <c r="D26" s="1">
        <f>D27-D9-D23-D24-D25</f>
        <v>0.5135638737600177</v>
      </c>
      <c r="E26" s="1">
        <f>E27-E9-E23-E24-E25</f>
        <v>0.27815989401600216</v>
      </c>
      <c r="F26" s="1">
        <f>F27-F9-F23-F24-F25</f>
        <v>3.822089471103739</v>
      </c>
      <c r="G26" s="34">
        <f>G27-G9-G23-G24-G25</f>
        <v>0</v>
      </c>
      <c r="H26" s="5"/>
    </row>
    <row r="27">
      <c r="A27" s="7" t="s">
        <v>173</v>
      </c>
      <c r="B27" s="85">
        <v>693.819</v>
      </c>
      <c r="C27" s="85">
        <v>638.65</v>
      </c>
      <c r="D27" s="85">
        <v>564.455</v>
      </c>
      <c r="E27" s="85">
        <v>764.799</v>
      </c>
      <c r="F27" s="85">
        <v>2661.723</v>
      </c>
      <c r="G27" s="19">
        <f>G9*(1+G10)*(1+G17)*(1+G20)</f>
        <v>711.2168722108801</v>
      </c>
      <c r="H27" s="5"/>
    </row>
    <row r="28">
      <c r="A28" s="66" t="s">
        <v>99</v>
      </c>
      <c r="B28" s="3">
        <f>IF(B118=0,"n.a.",B27/B118-1)</f>
        <v>0.06606404506294328</v>
      </c>
      <c r="C28" s="3">
        <f>IF(C118=0,"n.a.",C27/C118-1)</f>
        <v>0.04079071738209317</v>
      </c>
      <c r="D28" s="3">
        <f>IF(D118=0,"n.a.",D27/D118-1)</f>
        <v>0.0786513203782937</v>
      </c>
      <c r="E28" s="3">
        <f>IF(E118=0,"n.a.",E27/E118-1)</f>
        <v>0.07019377697177309</v>
      </c>
      <c r="F28" s="3">
        <f>IF(F118=0,"n.a.",F27/F118-1)</f>
        <v>0.06367828016253352</v>
      </c>
      <c r="G28" s="30">
        <f>IF(G118=0,"n.a.",G27/G118-1)</f>
        <v>0.02507552000000013</v>
      </c>
      <c r="H28" s="5"/>
    </row>
    <row r="29">
      <c r="A29" s="66" t="s">
        <v>66</v>
      </c>
      <c r="B29" s="1">
        <f>B27-E118</f>
        <v>-20.817000000000007</v>
      </c>
      <c r="C29" s="1">
        <f>C27-B27</f>
        <v>-55.16899999999998</v>
      </c>
      <c r="D29" s="1">
        <f>D27-C27</f>
        <v>-74.19499999999994</v>
      </c>
      <c r="E29" s="1">
        <f>E27-D27</f>
        <v>200.34399999999994</v>
      </c>
      <c r="F29" s="1"/>
      <c r="G29" s="34">
        <f>G27-E27</f>
        <v>-53.58212778911991</v>
      </c>
      <c r="H29" s="5"/>
    </row>
    <row r="30">
      <c r="A30" s="66" t="s">
        <v>58</v>
      </c>
      <c r="B30" s="3">
        <f>B27/E118-1</f>
        <v>-0.029129514885899987</v>
      </c>
      <c r="C30" s="3">
        <f>C27/B27-1</f>
        <v>-0.07951497436651345</v>
      </c>
      <c r="D30" s="3">
        <f>D27/C27-1</f>
        <v>-0.11617474359978064</v>
      </c>
      <c r="E30" s="3">
        <f>E27/D27-1</f>
        <v>0.3549335199440167</v>
      </c>
      <c r="F30" s="3"/>
      <c r="G30" s="30">
        <f>G27/E27-1</f>
        <v>-0.07006040513797729</v>
      </c>
      <c r="H30" s="5"/>
    </row>
    <row r="31">
      <c r="A31" s="66" t="s">
        <v>78</v>
      </c>
      <c r="B31" s="3">
        <f>(1+B28)/((1+B17)*(1+B20))-1</f>
        <v>-0.026749057789973718</v>
      </c>
      <c r="C31" s="3">
        <f>(1+C28)/((1+C17)*(1+C20))-1</f>
        <v>-0.04346737220268848</v>
      </c>
      <c r="D31" s="3">
        <f>(1+D28)/((1+D17)*(1+D20))-1</f>
        <v>-0.023111187246262932</v>
      </c>
      <c r="E31" s="3">
        <f>(1+E28)/((1+E17)*(1+E20))-1</f>
        <v>-0.007639075090712266</v>
      </c>
      <c r="F31" s="3">
        <f>(1+F28)/((1+F17)*(1+F20))-1</f>
        <v>-0.02459937775328347</v>
      </c>
      <c r="G31" s="30">
        <f>(1+G28)/((1+G17)*(1+G20))-1</f>
        <v>0.020000000000000018</v>
      </c>
      <c r="H31" s="5" t="s">
        <v>100</v>
      </c>
    </row>
    <row r="32">
      <c r="A32" s="16" t="s">
        <v>80</v>
      </c>
      <c r="B32" s="36">
        <f>(B31-B10)*10000</f>
        <v>22.509422100262835</v>
      </c>
      <c r="C32" s="36">
        <f>(C31-C10)*10000</f>
        <v>35.32627797311519</v>
      </c>
      <c r="D32" s="36">
        <f>(D31-D10)*10000</f>
        <v>8.888127537370686</v>
      </c>
      <c r="E32" s="36">
        <f>(E31-E10)*10000</f>
        <v>3.6092490928773397</v>
      </c>
      <c r="F32" s="36">
        <f>(F31-F10)*10000</f>
        <v>14.006222467165298</v>
      </c>
      <c r="G32" s="35">
        <f>(G31-G10)*10000</f>
        <v>0</v>
      </c>
      <c r="H32" s="5"/>
    </row>
    <row r="33">
      <c r="A33" s="4"/>
      <c r="B33" s="4"/>
      <c r="C33" s="4"/>
      <c r="D33" s="4"/>
      <c r="E33" s="4"/>
      <c r="F33" s="4"/>
      <c r="G33" s="39"/>
      <c r="H33" s="5"/>
    </row>
    <row r="34">
      <c r="A34" s="7" t="s">
        <v>101</v>
      </c>
      <c r="B34" s="4"/>
      <c r="C34" s="4"/>
      <c r="D34" s="4"/>
      <c r="E34" s="4"/>
      <c r="F34" s="4"/>
      <c r="G34" s="39"/>
      <c r="H34" s="5"/>
    </row>
    <row r="35">
      <c r="A35" s="27" t="s">
        <v>102</v>
      </c>
      <c r="B35" s="17">
        <v>538.012</v>
      </c>
      <c r="C35" s="17">
        <v>503.725</v>
      </c>
      <c r="D35" s="17">
        <v>437.565</v>
      </c>
      <c r="E35" s="13">
        <f>F35-B35-C35-D35</f>
        <v>599.4369999999999</v>
      </c>
      <c r="F35" s="17">
        <v>2078.739</v>
      </c>
      <c r="G35" s="26">
        <f>G27*G38</f>
        <v>551.50293066624</v>
      </c>
      <c r="H35" s="5" t="s">
        <v>103</v>
      </c>
    </row>
    <row r="36">
      <c r="A36" s="16" t="s">
        <v>57</v>
      </c>
      <c r="B36" s="3">
        <f>IF(B119=0,"n.a.",B35/B119-1)</f>
        <v>0.024295051318321992</v>
      </c>
      <c r="C36" s="3">
        <f>IF(C119=0,"n.a.",C35/C119-1)</f>
        <v>0.021541138463972098</v>
      </c>
      <c r="D36" s="3">
        <f>IF(D119=0,"n.a.",D35/D119-1)</f>
        <v>0.01968218606027694</v>
      </c>
      <c r="E36" s="3">
        <f>IF(E119=0,"n.a.",E35/E119-1)</f>
        <v>0.046945462293776385</v>
      </c>
      <c r="F36" s="3">
        <f>IF(F119=0,"n.a.",F35/F119-1)</f>
        <v>0.029062920321519803</v>
      </c>
      <c r="G36" s="30">
        <f>IF(G119=0,"n.a.",G35/G119-1)</f>
        <v>0.02507552000000013</v>
      </c>
      <c r="H36" s="5"/>
    </row>
    <row r="37">
      <c r="A37" s="16" t="s">
        <v>66</v>
      </c>
      <c r="B37" s="1">
        <f>B35-E119</f>
        <v>-34.545999999999935</v>
      </c>
      <c r="C37" s="1">
        <f>C35-B35</f>
        <v>-34.28699999999992</v>
      </c>
      <c r="D37" s="1">
        <f>D35-C35</f>
        <v>-66.16000000000003</v>
      </c>
      <c r="E37" s="1">
        <f>E35-D35</f>
        <v>161.8719999999999</v>
      </c>
      <c r="F37" s="1"/>
      <c r="G37" s="34">
        <f>G35-E35</f>
        <v>-47.93406933375991</v>
      </c>
      <c r="H37" s="5"/>
    </row>
    <row r="38">
      <c r="A38" s="16" t="s">
        <v>104</v>
      </c>
      <c r="B38" s="3">
        <f>IF(B27=0,"n.a.",B35/B27)</f>
        <v>0.77543566838037</v>
      </c>
      <c r="C38" s="3">
        <f>IF(C27=0,"n.a.",C35/C27)</f>
        <v>0.7887340483833086</v>
      </c>
      <c r="D38" s="3">
        <f>IF(D27=0,"n.a.",D35/D27)</f>
        <v>0.775199085843867</v>
      </c>
      <c r="E38" s="3">
        <f>IF(E27=0,"n.a.",E35/E27)</f>
        <v>0.7837837131063193</v>
      </c>
      <c r="F38" s="3">
        <f>IF(F27=0,"n.a.",F35/F27)</f>
        <v>0.7809749549445979</v>
      </c>
      <c r="G38" s="30">
        <f>B38</f>
        <v>0.77543566838037</v>
      </c>
      <c r="H38" s="5"/>
    </row>
    <row r="39">
      <c r="A39" s="33" t="s">
        <v>61</v>
      </c>
      <c r="B39" s="36">
        <f>IF(B119=0,0,(B38-B119/B118)*10000)</f>
        <v>-316.20935335233133</v>
      </c>
      <c r="C39" s="36">
        <f>IF(C119=0,0,(C38-C119/C118)*10000)</f>
        <v>-148.62640120977377</v>
      </c>
      <c r="D39" s="36">
        <f>IF(D119=0,0,(D38-D119/D118)*10000)</f>
        <v>-448.304576085129</v>
      </c>
      <c r="E39" s="36">
        <f>IF(E119=0,0,(E38-E119/E118)*10000)</f>
        <v>-174.04584152704737</v>
      </c>
      <c r="F39" s="36">
        <f>IF(F119=0,0,(F38-F119/F118)*10000)</f>
        <v>-262.7023922286531</v>
      </c>
      <c r="G39" s="35">
        <f>IF(G119=0,0,(G38-G119/G118)*10000)</f>
        <v>0</v>
      </c>
      <c r="H39" s="5"/>
    </row>
    <row r="40">
      <c r="A40" s="33" t="s">
        <v>60</v>
      </c>
      <c r="B40" s="36">
        <f>IF(E119=0,0,(B38-E119/E118)*10000)</f>
        <v>-257.52628878654036</v>
      </c>
      <c r="C40" s="36">
        <f>(C38-B38)*10000</f>
        <v>132.98380002938592</v>
      </c>
      <c r="D40" s="36">
        <f>(D38-C38)*10000</f>
        <v>-135.34962539441642</v>
      </c>
      <c r="E40" s="36">
        <f>(E38-D38)*10000</f>
        <v>85.8462726245235</v>
      </c>
      <c r="F40" s="36"/>
      <c r="G40" s="35">
        <f>(G38-E38)*10000</f>
        <v>-83.48044725949299</v>
      </c>
      <c r="H40" s="5"/>
    </row>
    <row r="41">
      <c r="A41" s="27" t="s">
        <v>105</v>
      </c>
      <c r="B41" s="17">
        <v>42.844</v>
      </c>
      <c r="C41" s="17">
        <v>36.833</v>
      </c>
      <c r="D41" s="17">
        <v>31.198</v>
      </c>
      <c r="E41" s="13">
        <f>F41-B41-C41-D41</f>
        <v>51.02600000000002</v>
      </c>
      <c r="F41" s="17">
        <v>161.901</v>
      </c>
      <c r="G41" s="26">
        <f>G27*G44</f>
        <v>43.918335578880004</v>
      </c>
      <c r="H41" s="5"/>
    </row>
    <row r="42">
      <c r="A42" s="16" t="s">
        <v>57</v>
      </c>
      <c r="B42" s="3">
        <f>IF(B120=0,"n.a.",B41/B120-1)</f>
        <v>-0.07151525658807212</v>
      </c>
      <c r="C42" s="3">
        <f>IF(C120=0,"n.a.",C41/C120-1)</f>
        <v>-0.07361670020120725</v>
      </c>
      <c r="D42" s="3">
        <f>IF(D120=0,"n.a.",D41/D120-1)</f>
        <v>0.009676688565972924</v>
      </c>
      <c r="E42" s="3">
        <f>IF(E120=0,"n.a.",E41/E120-1)</f>
        <v>0.08612175393784649</v>
      </c>
      <c r="F42" s="3">
        <f>IF(F120=0,"n.a.",F41/F120-1)</f>
        <v>-0.011490814064951671</v>
      </c>
      <c r="G42" s="30">
        <f>IF(G120=0,"n.a.",G41/G120-1)</f>
        <v>0.02507552000000013</v>
      </c>
      <c r="H42" s="5"/>
    </row>
    <row r="43">
      <c r="A43" s="16" t="s">
        <v>66</v>
      </c>
      <c r="B43" s="1">
        <f>B41-E120</f>
        <v>-4.135999999999989</v>
      </c>
      <c r="C43" s="1">
        <f>C41-B41</f>
        <v>-6.011000000000003</v>
      </c>
      <c r="D43" s="1">
        <f>D41-C41</f>
        <v>-5.634999999999998</v>
      </c>
      <c r="E43" s="1">
        <f>E41-D41</f>
        <v>19.828000000000017</v>
      </c>
      <c r="F43" s="1"/>
      <c r="G43" s="34">
        <f>G41-E41</f>
        <v>-7.107664421120013</v>
      </c>
      <c r="H43" s="5"/>
    </row>
    <row r="44">
      <c r="A44" s="16" t="s">
        <v>104</v>
      </c>
      <c r="B44" s="3">
        <f>IF(B27=0,"n.a.",B41/B27)</f>
        <v>0.06175097539848289</v>
      </c>
      <c r="C44" s="3">
        <f>IF(C27=0,"n.a.",C41/C27)</f>
        <v>0.057673216941987</v>
      </c>
      <c r="D44" s="3">
        <f>IF(D27=0,"n.a.",D41/D27)</f>
        <v>0.05527101363261907</v>
      </c>
      <c r="E44" s="3">
        <f>IF(E27=0,"n.a.",E41/E27)</f>
        <v>0.0667181834704282</v>
      </c>
      <c r="F44" s="3">
        <f>IF(F27=0,"n.a.",F41/F27)</f>
        <v>0.06082563812988805</v>
      </c>
      <c r="G44" s="30">
        <f>B44</f>
        <v>0.06175097539848289</v>
      </c>
      <c r="H44" s="5"/>
    </row>
    <row r="45">
      <c r="A45" s="33" t="s">
        <v>61</v>
      </c>
      <c r="B45" s="36">
        <f>IF(B120=0,0,(B44-B120/B118)*10000)</f>
        <v>-91.50022261403122</v>
      </c>
      <c r="C45" s="36">
        <f>IF(C120=0,0,(C44-C120/C118)*10000)</f>
        <v>-71.22585020139391</v>
      </c>
      <c r="D45" s="36">
        <f>IF(D120=0,0,(D44-D120/D118)*10000)</f>
        <v>-37.757609523680415</v>
      </c>
      <c r="E45" s="36">
        <f>IF(E120=0,0,(E44-E120/E118)*10000)</f>
        <v>9.784222493310345</v>
      </c>
      <c r="F45" s="36">
        <f>IF(F120=0,0,(F44-F120/F118)*10000)</f>
        <v>-46.25357244108487</v>
      </c>
      <c r="G45" s="35">
        <f>IF(G120=0,0,(G44-G120/G118)*10000)</f>
        <v>0</v>
      </c>
      <c r="H45" s="5"/>
    </row>
    <row r="46">
      <c r="A46" s="33" t="s">
        <v>60</v>
      </c>
      <c r="B46" s="36">
        <f>IF(E120=0,0,(B44-E120/E118)*10000)</f>
        <v>-39.8878582261427</v>
      </c>
      <c r="C46" s="36">
        <f>(C44-B44)*10000</f>
        <v>-40.77758456495891</v>
      </c>
      <c r="D46" s="36">
        <f>(D44-C44)*10000</f>
        <v>-24.022033093679326</v>
      </c>
      <c r="E46" s="36">
        <f>(E44-D44)*10000</f>
        <v>114.47169837809128</v>
      </c>
      <c r="F46" s="36"/>
      <c r="G46" s="35">
        <f>(G44-E44)*10000</f>
        <v>-49.67208071945305</v>
      </c>
      <c r="H46" s="5"/>
    </row>
    <row r="47">
      <c r="A47" s="27" t="s">
        <v>106</v>
      </c>
      <c r="B47" s="17">
        <v>101.901</v>
      </c>
      <c r="C47" s="17">
        <v>85.032</v>
      </c>
      <c r="D47" s="17">
        <v>83.386</v>
      </c>
      <c r="E47" s="13">
        <f>F47-B47-C47-D47</f>
        <v>100.362</v>
      </c>
      <c r="F47" s="17">
        <v>370.681</v>
      </c>
      <c r="G47" s="26">
        <f>G27*G50</f>
        <v>104.45622056352</v>
      </c>
      <c r="H47" s="5"/>
    </row>
    <row r="48">
      <c r="A48" s="16" t="s">
        <v>57</v>
      </c>
      <c r="B48" s="3">
        <f>IF(B121=0,"n.a.",B47/B121-1)</f>
        <v>0.4846581968646191</v>
      </c>
      <c r="C48" s="3">
        <f>IF(C121=0,"n.a.",C47/C121-1)</f>
        <v>0.24729731711968084</v>
      </c>
      <c r="D48" s="3">
        <f>IF(D121=0,"n.a.",D47/D121-1)</f>
        <v>0.5848934673939901</v>
      </c>
      <c r="E48" s="3">
        <f>IF(E121=0,"n.a.",E47/E121-1)</f>
        <v>0.19932601993260213</v>
      </c>
      <c r="F48" s="3">
        <f>IF(F121=0,"n.a.",F47/F121-1)</f>
        <v>0.3572887984064679</v>
      </c>
      <c r="G48" s="30">
        <f>IF(G121=0,"n.a.",G47/G121-1)</f>
        <v>0.02507552000000013</v>
      </c>
      <c r="H48" s="5"/>
    </row>
    <row r="49">
      <c r="A49" s="16" t="s">
        <v>66</v>
      </c>
      <c r="B49" s="1">
        <f>B47-E121</f>
        <v>18.21900000000001</v>
      </c>
      <c r="C49" s="1">
        <f>C47-B47</f>
        <v>-16.869</v>
      </c>
      <c r="D49" s="1">
        <f>D47-C47</f>
        <v>-1.6460000000000008</v>
      </c>
      <c r="E49" s="1">
        <f>E47-D47</f>
        <v>16.976</v>
      </c>
      <c r="F49" s="1"/>
      <c r="G49" s="34">
        <f>G47-E47</f>
        <v>4.094220563520011</v>
      </c>
      <c r="H49" s="5"/>
    </row>
    <row r="50">
      <c r="A50" s="16" t="s">
        <v>104</v>
      </c>
      <c r="B50" s="3">
        <f>IF(B27=0,"n.a.",B47/B27)</f>
        <v>0.14686971674168622</v>
      </c>
      <c r="C50" s="3">
        <f>IF(C27=0,"n.a.",C47/C27)</f>
        <v>0.13314334925232912</v>
      </c>
      <c r="D50" s="3">
        <f>IF(D27=0,"n.a.",D47/D27)</f>
        <v>0.1477283397259303</v>
      </c>
      <c r="E50" s="3">
        <f>IF(E27=0,"n.a.",E47/E27)</f>
        <v>0.13122663601809104</v>
      </c>
      <c r="F50" s="3">
        <f>IF(F27=0,"n.a.",F47/F27)</f>
        <v>0.1392635522178679</v>
      </c>
      <c r="G50" s="30">
        <f>B50</f>
        <v>0.14686971674168622</v>
      </c>
      <c r="H50" s="5"/>
    </row>
    <row r="51">
      <c r="A51" s="33" t="s">
        <v>61</v>
      </c>
      <c r="B51" s="36">
        <f>IF(B121=0,0,(B50-B121/B118)*10000)</f>
        <v>414.09399574038497</v>
      </c>
      <c r="C51" s="36">
        <f>IF(C121=0,0,(C50-C121/C118)*10000)</f>
        <v>220.43645852831057</v>
      </c>
      <c r="D51" s="36">
        <f>IF(D121=0,0,(D50-D121/D118)*10000)</f>
        <v>471.8696456039334</v>
      </c>
      <c r="E51" s="36">
        <f>IF(E121=0,0,(E50-E121/E118)*10000)</f>
        <v>141.292605710103</v>
      </c>
      <c r="F51" s="36">
        <f>IF(F121=0,0,(F50-F121/F118)*10000)</f>
        <v>301.25676854613164</v>
      </c>
      <c r="G51" s="35">
        <f>IF(G121=0,0,(G50-G121/G118)*10000)</f>
        <v>0</v>
      </c>
      <c r="H51" s="5"/>
    </row>
    <row r="52">
      <c r="A52" s="33" t="s">
        <v>60</v>
      </c>
      <c r="B52" s="36">
        <f>IF(E121=0,0,(B50-E121/E118)*10000)</f>
        <v>297.72341294605485</v>
      </c>
      <c r="C52" s="36">
        <f>(C50-B50)*10000</f>
        <v>-137.263674893571</v>
      </c>
      <c r="D52" s="36">
        <f>(D50-C50)*10000</f>
        <v>145.84990473601178</v>
      </c>
      <c r="E52" s="36">
        <f>(E50-D50)*10000</f>
        <v>-165.01703707839266</v>
      </c>
      <c r="F52" s="36"/>
      <c r="G52" s="35">
        <f>(G50-E50)*10000</f>
        <v>156.43080723595187</v>
      </c>
      <c r="H52" s="5"/>
    </row>
    <row r="53">
      <c r="A53" s="27" t="s">
        <v>107</v>
      </c>
      <c r="B53" s="17">
        <v>5.859</v>
      </c>
      <c r="C53" s="17">
        <v>7.097</v>
      </c>
      <c r="D53" s="17">
        <v>5.693</v>
      </c>
      <c r="E53" s="13">
        <f>F53-B53-C53-D53</f>
        <v>6.881999999999996</v>
      </c>
      <c r="F53" s="17">
        <v>25.531</v>
      </c>
      <c r="G53" s="26">
        <f>G27*G56</f>
        <v>6.005917471680001</v>
      </c>
      <c r="H53" s="5"/>
    </row>
    <row r="54">
      <c r="A54" s="16" t="s">
        <v>57</v>
      </c>
      <c r="B54" s="3">
        <f>IF(B122=0,"n.a.",B53/B122-1)</f>
        <v>-0.015128593040847127</v>
      </c>
      <c r="C54" s="3">
        <f>IF(C122=0,"n.a.",C53/C122-1)</f>
        <v>0.032741559953434196</v>
      </c>
      <c r="D54" s="3">
        <f>IF(D122=0,"n.a.",D53/D122-1)</f>
        <v>-0.0026278906797477797</v>
      </c>
      <c r="E54" s="3">
        <f>IF(E122=0,"n.a.",E53/E122-1)</f>
        <v>0.04415111515703174</v>
      </c>
      <c r="F54" s="3">
        <f>IF(F122=0,"n.a.",F53/F122-1)</f>
        <v>0.016361464968152717</v>
      </c>
      <c r="G54" s="30">
        <f>IF(G122=0,"n.a.",G53/G122-1)</f>
        <v>0.02507552000000013</v>
      </c>
      <c r="H54" s="5"/>
    </row>
    <row r="55">
      <c r="A55" s="16" t="s">
        <v>66</v>
      </c>
      <c r="B55" s="1">
        <f>B53-E122</f>
        <v>-0.7319999999999993</v>
      </c>
      <c r="C55" s="1">
        <f>C53-B53</f>
        <v>1.2380000000000004</v>
      </c>
      <c r="D55" s="1">
        <f>D53-C53</f>
        <v>-1.4040000000000008</v>
      </c>
      <c r="E55" s="1">
        <f>E53-D53</f>
        <v>1.1889999999999965</v>
      </c>
      <c r="F55" s="1"/>
      <c r="G55" s="34">
        <f>G53-E53</f>
        <v>-0.8760825283199951</v>
      </c>
      <c r="H55" s="5"/>
    </row>
    <row r="56">
      <c r="A56" s="16" t="s">
        <v>104</v>
      </c>
      <c r="B56" s="3">
        <f>IF(B27=0,"n.a.",B53/B27)</f>
        <v>0.008444565513484065</v>
      </c>
      <c r="C56" s="3">
        <f>IF(C27=0,"n.a.",C53/C27)</f>
        <v>0.011112502935880373</v>
      </c>
      <c r="D56" s="3">
        <f>IF(D27=0,"n.a.",D53/D27)</f>
        <v>0.010085835008990972</v>
      </c>
      <c r="E56" s="3">
        <f>IF(E27=0,"n.a.",E53/E27)</f>
        <v>0.008998442728089336</v>
      </c>
      <c r="F56" s="3">
        <f>IF(F27=0,"n.a.",F53/F27)</f>
        <v>0.009591907196954755</v>
      </c>
      <c r="G56" s="30">
        <f>B56</f>
        <v>0.008444565513484065</v>
      </c>
      <c r="H56" s="5"/>
    </row>
    <row r="57">
      <c r="A57" s="33" t="s">
        <v>61</v>
      </c>
      <c r="B57" s="36">
        <f>IF(B122=0,0,(B56-B122/B118)*10000)</f>
        <v>-6.961686031651624</v>
      </c>
      <c r="C57" s="36">
        <f>IF(C122=0,0,(C56-C122/C118)*10000)</f>
        <v>-0.8661052195998477</v>
      </c>
      <c r="D57" s="36">
        <f>IF(D122=0,0,(D56-D122/D118)*10000)</f>
        <v>-8.219286510338323</v>
      </c>
      <c r="E57" s="36">
        <f>IF(E122=0,0,(E56-E122/E118)*10000)</f>
        <v>-2.244343729802985</v>
      </c>
      <c r="F57" s="36">
        <f>IF(F122=0,0,(F56-F122/F118)*10000)</f>
        <v>-4.465522511857313</v>
      </c>
      <c r="G57" s="35">
        <f>IF(G122=0,0,(G56-G122/G118)*10000)</f>
        <v>0</v>
      </c>
      <c r="H57" s="5"/>
    </row>
    <row r="58">
      <c r="A58" s="33" t="s">
        <v>60</v>
      </c>
      <c r="B58" s="36">
        <f>IF(E122=0,0,(B56-E122/E118)*10000)</f>
        <v>-7.783115875855691</v>
      </c>
      <c r="C58" s="36">
        <f>(C56-B56)*10000</f>
        <v>26.679374223963077</v>
      </c>
      <c r="D58" s="36">
        <f>(D56-C56)*10000</f>
        <v>-10.266679268894006</v>
      </c>
      <c r="E58" s="36">
        <f>(E56-D56)*10000</f>
        <v>-10.873922809016365</v>
      </c>
      <c r="F58" s="36"/>
      <c r="G58" s="35">
        <f>(G56-E56)*10000</f>
        <v>-5.538772146052706</v>
      </c>
      <c r="H58" s="5"/>
    </row>
    <row r="59">
      <c r="A59" s="27" t="s">
        <v>108</v>
      </c>
      <c r="B59" s="17">
        <v>5.203</v>
      </c>
      <c r="C59" s="17">
        <v>5.963</v>
      </c>
      <c r="D59" s="17">
        <v>6.613</v>
      </c>
      <c r="E59" s="13">
        <f>F59-B59-C59-D59</f>
        <v>7.091999999999998</v>
      </c>
      <c r="F59" s="17">
        <v>24.871</v>
      </c>
      <c r="G59" s="26">
        <f>G27*G62</f>
        <v>5.333467930560001</v>
      </c>
      <c r="H59" s="5"/>
    </row>
    <row r="60">
      <c r="A60" s="16" t="s">
        <v>57</v>
      </c>
      <c r="B60" s="3">
        <f>IF(B123=0,"n.a.",B59/B123-1)</f>
        <v>0.07433409043981021</v>
      </c>
      <c r="C60" s="3">
        <f>IF(C123=0,"n.a.",C59/C123-1)</f>
        <v>0.04394257703081239</v>
      </c>
      <c r="D60" s="3">
        <f>IF(D123=0,"n.a.",D59/D123-1)</f>
        <v>0.33380395320693834</v>
      </c>
      <c r="E60" s="3">
        <f>IF(E123=0,"n.a.",E59/E123-1)</f>
        <v>0.46984455958549143</v>
      </c>
      <c r="F60" s="3">
        <f>IF(F123=0,"n.a.",F59/F123-1)</f>
        <v>0.2228832726915133</v>
      </c>
      <c r="G60" s="30">
        <f>IF(G123=0,"n.a.",G59/G123-1)</f>
        <v>0.02507552000000013</v>
      </c>
      <c r="H60" s="5"/>
    </row>
    <row r="61">
      <c r="A61" s="16" t="s">
        <v>66</v>
      </c>
      <c r="B61" s="1">
        <f>B59-E123</f>
        <v>0.3779999999999992</v>
      </c>
      <c r="C61" s="1">
        <f>C59-B59</f>
        <v>0.7599999999999998</v>
      </c>
      <c r="D61" s="1">
        <f>D59-C59</f>
        <v>0.6500000000000004</v>
      </c>
      <c r="E61" s="1">
        <f>E59-D59</f>
        <v>0.47899999999999743</v>
      </c>
      <c r="F61" s="1"/>
      <c r="G61" s="34">
        <f>G59-E59</f>
        <v>-1.7585320694399966</v>
      </c>
      <c r="H61" s="5"/>
    </row>
    <row r="62">
      <c r="A62" s="16" t="s">
        <v>104</v>
      </c>
      <c r="B62" s="3">
        <f>IF(B27=0,"n.a.",B59/B27)</f>
        <v>0.007499073965976718</v>
      </c>
      <c r="C62" s="3">
        <f>IF(C27=0,"n.a.",C59/C27)</f>
        <v>0.009336882486494951</v>
      </c>
      <c r="D62" s="3">
        <f>IF(D27=0,"n.a.",D59/D27)</f>
        <v>0.011715725788592537</v>
      </c>
      <c r="E62" s="3">
        <f>IF(E27=0,"n.a.",E59/E27)</f>
        <v>0.009273024677072013</v>
      </c>
      <c r="F62" s="3">
        <f>IF(F27=0,"n.a.",F59/F27)</f>
        <v>0.009343947510691383</v>
      </c>
      <c r="G62" s="30">
        <f>B62</f>
        <v>0.007499073965976718</v>
      </c>
      <c r="H62" s="5"/>
    </row>
    <row r="63">
      <c r="A63" s="33" t="s">
        <v>61</v>
      </c>
      <c r="B63" s="36">
        <f>IF(B123=0,0,(B62-B123/B118)*10000)</f>
        <v>0.5772662576286527</v>
      </c>
      <c r="C63" s="36">
        <f>IF(C123=0,0,(C62-C123/C118)*10000)</f>
        <v>0.2818981024580759</v>
      </c>
      <c r="D63" s="36">
        <f>IF(D123=0,0,(D62-D123/D118)*10000)</f>
        <v>22.411826515212375</v>
      </c>
      <c r="E63" s="36">
        <f>IF(E123=0,0,(E62-E123/E118)*10000)</f>
        <v>25.213357053437466</v>
      </c>
      <c r="F63" s="36">
        <f>IF(F123=0,0,(F62-F123/F118)*10000)</f>
        <v>12.164718635464308</v>
      </c>
      <c r="G63" s="35">
        <f>IF(G123=0,0,(G62-G123/G118)*10000)</f>
        <v>0</v>
      </c>
      <c r="H63" s="5"/>
    </row>
    <row r="64">
      <c r="A64" s="33" t="s">
        <v>60</v>
      </c>
      <c r="B64" s="36">
        <f>IF(E123=0,0,(B62-E123/E118)*10000)</f>
        <v>7.47384994248452</v>
      </c>
      <c r="C64" s="36">
        <f>(C62-B62)*10000</f>
        <v>18.378085205182334</v>
      </c>
      <c r="D64" s="36">
        <f>(D62-C62)*10000</f>
        <v>23.78843302097585</v>
      </c>
      <c r="E64" s="36">
        <f>(E62-D62)*10000</f>
        <v>-24.42701111520524</v>
      </c>
      <c r="F64" s="36"/>
      <c r="G64" s="35">
        <f>(G62-E62)*10000</f>
        <v>-17.739507110952946</v>
      </c>
      <c r="H64" s="5"/>
    </row>
    <row r="65">
      <c r="A65" s="27" t="s">
        <v>109</v>
      </c>
      <c r="B65" s="17">
        <v>0</v>
      </c>
      <c r="C65" s="17">
        <v>0</v>
      </c>
      <c r="D65" s="17">
        <v>0</v>
      </c>
      <c r="E65" s="13">
        <f>F65-B65-C65-D65</f>
        <v>0</v>
      </c>
      <c r="F65" s="17">
        <v>0</v>
      </c>
      <c r="G65" s="26">
        <f>G27*G68</f>
        <v>0</v>
      </c>
      <c r="H65" s="5"/>
    </row>
    <row r="66">
      <c r="A66" s="16" t="s">
        <v>57</v>
      </c>
      <c r="B66" s="3" t="str">
        <f>IF(B124=0,"n.a.",B65/B124-1)</f>
        <v>n.a.</v>
      </c>
      <c r="C66" s="3" t="str">
        <f>IF(C124=0,"n.a.",C65/C124-1)</f>
        <v>n.a.</v>
      </c>
      <c r="D66" s="3" t="str">
        <f>IF(D124=0,"n.a.",D65/D124-1)</f>
        <v>n.a.</v>
      </c>
      <c r="E66" s="3" t="str">
        <f>IF(E124=0,"n.a.",E65/E124-1)</f>
        <v>n.a.</v>
      </c>
      <c r="F66" s="3" t="str">
        <f>IF(F124=0,"n.a.",F65/F124-1)</f>
        <v>n.a.</v>
      </c>
      <c r="G66" s="30" t="str">
        <f>IF(G124=0,"n.a.",G65/G124-1)</f>
        <v>n.a.</v>
      </c>
      <c r="H66" s="5"/>
    </row>
    <row r="67">
      <c r="A67" s="16" t="s">
        <v>66</v>
      </c>
      <c r="B67" s="1">
        <f>B65-E124</f>
        <v>0</v>
      </c>
      <c r="C67" s="1">
        <f>C65-B65</f>
        <v>0</v>
      </c>
      <c r="D67" s="1">
        <f>D65-C65</f>
        <v>0</v>
      </c>
      <c r="E67" s="1">
        <f>E65-D65</f>
        <v>0</v>
      </c>
      <c r="F67" s="1"/>
      <c r="G67" s="34">
        <f>G65-E65</f>
        <v>0</v>
      </c>
      <c r="H67" s="5"/>
    </row>
    <row r="68">
      <c r="A68" s="16" t="s">
        <v>104</v>
      </c>
      <c r="B68" s="3">
        <f>IF(B27=0,"n.a.",B65/B27)</f>
        <v>0</v>
      </c>
      <c r="C68" s="3">
        <f>IF(C27=0,"n.a.",C65/C27)</f>
        <v>0</v>
      </c>
      <c r="D68" s="3">
        <f>IF(D27=0,"n.a.",D65/D27)</f>
        <v>0</v>
      </c>
      <c r="E68" s="3">
        <f>IF(E27=0,"n.a.",E65/E27)</f>
        <v>0</v>
      </c>
      <c r="F68" s="3">
        <f>IF(F27=0,"n.a.",F65/F27)</f>
        <v>0</v>
      </c>
      <c r="G68" s="30">
        <f>B68</f>
        <v>0</v>
      </c>
      <c r="H68" s="5"/>
    </row>
    <row r="69">
      <c r="A69" s="33" t="s">
        <v>61</v>
      </c>
      <c r="B69" s="36">
        <f>IF(B124=0,0,(B68-B124/B118)*10000)</f>
        <v>0</v>
      </c>
      <c r="C69" s="36">
        <f>IF(C124=0,0,(C68-C124/C118)*10000)</f>
        <v>0</v>
      </c>
      <c r="D69" s="36">
        <f>IF(D124=0,0,(D68-D124/D118)*10000)</f>
        <v>0</v>
      </c>
      <c r="E69" s="36">
        <f>IF(E124=0,0,(E68-E124/E118)*10000)</f>
        <v>0</v>
      </c>
      <c r="F69" s="36">
        <f>IF(F124=0,0,(F68-F124/F118)*10000)</f>
        <v>0</v>
      </c>
      <c r="G69" s="35">
        <f>IF(G124=0,0,(G68-G124/G118)*10000)</f>
        <v>0</v>
      </c>
      <c r="H69" s="5"/>
    </row>
    <row r="70">
      <c r="A70" s="33" t="s">
        <v>60</v>
      </c>
      <c r="B70" s="36">
        <f>IF(E124=0,0,(B68-E124/E118)*10000)</f>
        <v>0</v>
      </c>
      <c r="C70" s="36">
        <f>(C68-B68)*10000</f>
        <v>0</v>
      </c>
      <c r="D70" s="36">
        <f>(D68-C68)*10000</f>
        <v>0</v>
      </c>
      <c r="E70" s="36">
        <f>(E68-D68)*10000</f>
        <v>0</v>
      </c>
      <c r="F70" s="36"/>
      <c r="G70" s="35">
        <f>(G68-E68)*10000</f>
        <v>0</v>
      </c>
      <c r="H70" s="5"/>
    </row>
    <row r="71">
      <c r="A71" s="7" t="s">
        <v>111</v>
      </c>
      <c r="B71" s="28">
        <f>B41+B47+B53+B59+B65</f>
        <v>155.80700000000002</v>
      </c>
      <c r="C71" s="28">
        <f>C41+C47+C53+C59+C65</f>
        <v>134.92499999999998</v>
      </c>
      <c r="D71" s="28">
        <f>D41+D47+D53+D59+D65</f>
        <v>126.89</v>
      </c>
      <c r="E71" s="28">
        <f>E41+E47+E53+E59+E65</f>
        <v>165.362</v>
      </c>
      <c r="F71" s="28">
        <f>F41+F47+F53+F59+F65</f>
        <v>582.9839999999999</v>
      </c>
      <c r="G71" s="19">
        <f>G41+G47+G53+G59+G65</f>
        <v>159.71394154464002</v>
      </c>
      <c r="H71" s="5"/>
    </row>
    <row r="72">
      <c r="A72" s="66" t="s">
        <v>57</v>
      </c>
      <c r="B72" s="3">
        <f>IF(B125=0,"n.a.",B71/B125-1)</f>
        <v>0.24077819896155206</v>
      </c>
      <c r="C72" s="3">
        <f>IF(C125=0,"n.a.",C71/C125-1)</f>
        <v>0.11955159852966801</v>
      </c>
      <c r="D72" s="3">
        <f>IF(D125=0,"n.a.",D71/D125-1)</f>
        <v>0.34734226677143276</v>
      </c>
      <c r="E72" s="3">
        <f>IF(E125=0,"n.a.",E71/E125-1)</f>
        <v>0.1638818113993723</v>
      </c>
      <c r="F72" s="3">
        <f>IF(F125=0,"n.a.",F71/F125-1)</f>
        <v>0.20864526428178998</v>
      </c>
      <c r="G72" s="30">
        <f>IF(G125=0,"n.a.",G71/G125-1)</f>
        <v>0.02507552000000013</v>
      </c>
      <c r="H72" s="5"/>
    </row>
    <row r="73">
      <c r="A73" s="66" t="s">
        <v>66</v>
      </c>
      <c r="B73" s="1">
        <f>B71-E125</f>
        <v>13.729000000000042</v>
      </c>
      <c r="C73" s="1">
        <f>C71-B71</f>
        <v>-20.882000000000033</v>
      </c>
      <c r="D73" s="1">
        <f>D71-C71</f>
        <v>-8.034999999999982</v>
      </c>
      <c r="E73" s="1">
        <f>E71-D71</f>
        <v>38.471999999999994</v>
      </c>
      <c r="F73" s="1"/>
      <c r="G73" s="34">
        <f>G71-E71</f>
        <v>-5.648058455359973</v>
      </c>
      <c r="H73" s="5"/>
    </row>
    <row r="74">
      <c r="A74" s="7" t="s">
        <v>112</v>
      </c>
      <c r="B74" s="28">
        <f>B35+B71</f>
        <v>693.819</v>
      </c>
      <c r="C74" s="28">
        <f>C35+C71</f>
        <v>638.65</v>
      </c>
      <c r="D74" s="28">
        <f>D35+D71</f>
        <v>564.455</v>
      </c>
      <c r="E74" s="28">
        <f>E35+E71</f>
        <v>764.7989999999999</v>
      </c>
      <c r="F74" s="28">
        <f>F35+F71</f>
        <v>2661.723</v>
      </c>
      <c r="G74" s="19">
        <f>G35+G71</f>
        <v>711.21687221088</v>
      </c>
      <c r="H74" s="5"/>
    </row>
    <row r="75">
      <c r="A75" s="5" t="s">
        <v>113</v>
      </c>
      <c r="B75" s="1">
        <f>ROUND(B74-B27,6)</f>
        <v>0</v>
      </c>
      <c r="C75" s="1">
        <f>ROUND(C74-C27,6)</f>
        <v>0</v>
      </c>
      <c r="D75" s="1">
        <f>ROUND(D74-D27,6)</f>
        <v>0</v>
      </c>
      <c r="E75" s="1">
        <f>ROUND(E74-E27,6)</f>
        <v>0</v>
      </c>
      <c r="F75" s="1">
        <f>ROUND(F74-F27,6)</f>
        <v>0</v>
      </c>
      <c r="G75" s="34">
        <f>ROUND(G74-G27,6)</f>
        <v>0</v>
      </c>
      <c r="H75" s="5"/>
    </row>
    <row r="76">
      <c r="A76" s="4"/>
      <c r="B76" s="4"/>
      <c r="C76" s="4"/>
      <c r="D76" s="4"/>
      <c r="E76" s="4"/>
      <c r="F76" s="4"/>
      <c r="G76" s="39"/>
      <c r="H76" s="5"/>
    </row>
    <row r="77">
      <c r="A77" s="7" t="s">
        <v>114</v>
      </c>
      <c r="B77" s="4"/>
      <c r="C77" s="4"/>
      <c r="D77" s="4"/>
      <c r="E77" s="4"/>
      <c r="F77" s="4"/>
      <c r="G77" s="39"/>
      <c r="H77" s="5"/>
    </row>
    <row r="78">
      <c r="A78" s="27" t="s">
        <v>115</v>
      </c>
      <c r="B78" s="13">
        <f>B27</f>
        <v>693.819</v>
      </c>
      <c r="C78" s="13">
        <f>C27</f>
        <v>638.65</v>
      </c>
      <c r="D78" s="13">
        <f>D27</f>
        <v>564.455</v>
      </c>
      <c r="E78" s="13">
        <f>E27</f>
        <v>764.799</v>
      </c>
      <c r="F78" s="13">
        <f>F27</f>
        <v>2661.723</v>
      </c>
      <c r="G78" s="26">
        <f>G27</f>
        <v>711.2168722108801</v>
      </c>
      <c r="H78" s="5"/>
    </row>
    <row r="79">
      <c r="A79" s="27" t="s">
        <v>116</v>
      </c>
      <c r="B79" s="17">
        <v>421.081</v>
      </c>
      <c r="C79" s="17">
        <v>393.981</v>
      </c>
      <c r="D79" s="17">
        <v>356.19</v>
      </c>
      <c r="E79" s="13">
        <f>F79-B79-C79-D79</f>
        <v>479.6530000000001</v>
      </c>
      <c r="F79" s="17">
        <v>1650.905</v>
      </c>
      <c r="G79" s="26" t="s">
        <v>117</v>
      </c>
      <c r="H79" s="5" t="s">
        <v>118</v>
      </c>
    </row>
    <row r="80">
      <c r="A80" s="16" t="s">
        <v>57</v>
      </c>
      <c r="B80" s="3">
        <f>IF(B127=0,"n.a.",B79/B127-1)</f>
        <v>0.07416978311556477</v>
      </c>
      <c r="C80" s="3">
        <f>IF(C127=0,"n.a.",C79/C127-1)</f>
        <v>0.04599132369417336</v>
      </c>
      <c r="D80" s="3">
        <f>IF(D127=0,"n.a.",D79/D127-1)</f>
        <v>0.05102110068191412</v>
      </c>
      <c r="E80" s="3">
        <f>IF(E127=0,"n.a.",E79/E127-1)</f>
        <v>0.07318126391390467</v>
      </c>
      <c r="F80" s="3">
        <f>IF(F127=0,"n.a.",F79/F127-1)</f>
        <v>0.06201126015433811</v>
      </c>
      <c r="G80" s="30" t="s">
        <v>117</v>
      </c>
      <c r="H80" s="5"/>
    </row>
    <row r="81">
      <c r="A81" s="16" t="s">
        <v>66</v>
      </c>
      <c r="B81" s="1">
        <f>B79-E127</f>
        <v>-25.86399999999992</v>
      </c>
      <c r="C81" s="1">
        <f>C79-B79</f>
        <v>-27.100000000000023</v>
      </c>
      <c r="D81" s="1">
        <f>D79-C79</f>
        <v>-37.791</v>
      </c>
      <c r="E81" s="1">
        <f>E79-D79</f>
        <v>123.46300000000008</v>
      </c>
      <c r="F81" s="1"/>
      <c r="G81" s="34" t="s">
        <v>117</v>
      </c>
      <c r="H81" s="5"/>
    </row>
    <row r="82">
      <c r="A82" s="73" t="s">
        <v>119</v>
      </c>
      <c r="B82" s="28">
        <f>B78-B79</f>
        <v>272.73799999999994</v>
      </c>
      <c r="C82" s="28">
        <f>C78-C79</f>
        <v>244.66899999999998</v>
      </c>
      <c r="D82" s="28">
        <f>D78-D79</f>
        <v>208.26500000000004</v>
      </c>
      <c r="E82" s="28">
        <f>E78-E79</f>
        <v>285.1459999999999</v>
      </c>
      <c r="F82" s="28">
        <f>F78-F79</f>
        <v>1010.818</v>
      </c>
      <c r="G82" s="19" t="s">
        <v>117</v>
      </c>
      <c r="H82" s="5"/>
    </row>
    <row r="83">
      <c r="A83" s="16" t="s">
        <v>120</v>
      </c>
      <c r="B83" s="3">
        <f>IF(B78=0,"n.a.",B82/B78)</f>
        <v>0.3930967586647237</v>
      </c>
      <c r="C83" s="3">
        <f>IF(C78=0,"n.a.",C82/C78)</f>
        <v>0.38310342127926095</v>
      </c>
      <c r="D83" s="3">
        <f>IF(D78=0,"n.a.",D82/D78)</f>
        <v>0.3689665252323038</v>
      </c>
      <c r="E83" s="3">
        <f>IF(E78=0,"n.a.",E82/E78)</f>
        <v>0.37283783059339765</v>
      </c>
      <c r="F83" s="3">
        <f>IF(F78=0,"n.a.",F82/F78)</f>
        <v>0.3797607790141949</v>
      </c>
      <c r="G83" s="30" t="s">
        <v>117</v>
      </c>
      <c r="H83" s="5"/>
    </row>
    <row r="84">
      <c r="A84" s="33" t="s">
        <v>74</v>
      </c>
      <c r="B84" s="36">
        <f>(B83-B128)*10000</f>
        <v>-45.79721730099462</v>
      </c>
      <c r="C84" s="36">
        <f>(C83-C128)*10000</f>
        <v>-30.671728995467774</v>
      </c>
      <c r="D84" s="36">
        <f>(D83-D128)*10000</f>
        <v>165.89194576863363</v>
      </c>
      <c r="E84" s="36">
        <f>(E83-E128)*10000</f>
        <v>-17.458735580864747</v>
      </c>
      <c r="F84" s="36">
        <f>(F83-F128)*10000</f>
        <v>9.735783696873668</v>
      </c>
      <c r="G84" s="35" t="s">
        <v>117</v>
      </c>
      <c r="H84" s="5"/>
    </row>
    <row r="85">
      <c r="A85" s="33" t="s">
        <v>73</v>
      </c>
      <c r="B85" s="36">
        <f>(B83-E128)*10000</f>
        <v>185.1305451323959</v>
      </c>
      <c r="C85" s="36">
        <f>(C83-B83)*10000</f>
        <v>-99.93337385462763</v>
      </c>
      <c r="D85" s="36">
        <f>(D83-C83)*10000</f>
        <v>-141.3689604695717</v>
      </c>
      <c r="E85" s="36">
        <f>(E83-D83)*10000</f>
        <v>38.71305361093869</v>
      </c>
      <c r="F85" s="36"/>
      <c r="G85" s="35" t="s">
        <v>117</v>
      </c>
      <c r="H85" s="5"/>
    </row>
    <row r="86">
      <c r="A86" s="27" t="s">
        <v>121</v>
      </c>
      <c r="B86" s="17">
        <v>161.406</v>
      </c>
      <c r="C86" s="17">
        <v>141.796</v>
      </c>
      <c r="D86" s="17">
        <v>155.623</v>
      </c>
      <c r="E86" s="13">
        <f>F86-B86-C86-D86</f>
        <v>176.47600000000006</v>
      </c>
      <c r="F86" s="17">
        <v>635.301</v>
      </c>
      <c r="G86" s="26" t="s">
        <v>117</v>
      </c>
      <c r="H86" s="5"/>
    </row>
    <row r="87">
      <c r="A87" s="16" t="s">
        <v>57</v>
      </c>
      <c r="B87" s="3">
        <f>IF(B129=0,"n.a.",B86/B129-1)</f>
        <v>0.10086074015468771</v>
      </c>
      <c r="C87" s="3">
        <f>IF(C129=0,"n.a.",C86/C129-1)</f>
        <v>-0.03083905186319269</v>
      </c>
      <c r="D87" s="3">
        <f>IF(D129=0,"n.a.",D86/D129-1)</f>
        <v>0.12743329493671807</v>
      </c>
      <c r="E87" s="3">
        <f>IF(E129=0,"n.a.",E86/E129-1)</f>
        <v>0.11950874477438678</v>
      </c>
      <c r="F87" s="3">
        <f>IF(F129=0,"n.a.",F86/F129-1)</f>
        <v>0.07934984267647094</v>
      </c>
      <c r="G87" s="30" t="s">
        <v>117</v>
      </c>
      <c r="H87" s="5"/>
    </row>
    <row r="88">
      <c r="A88" s="16" t="s">
        <v>66</v>
      </c>
      <c r="B88" s="1">
        <f>B86-E129</f>
        <v>3.768999999999977</v>
      </c>
      <c r="C88" s="1">
        <f>C86-B86</f>
        <v>-19.610000000000014</v>
      </c>
      <c r="D88" s="1">
        <f>D86-C86</f>
        <v>13.826999999999998</v>
      </c>
      <c r="E88" s="1">
        <f>E86-D86</f>
        <v>20.853000000000065</v>
      </c>
      <c r="F88" s="1"/>
      <c r="G88" s="34" t="s">
        <v>117</v>
      </c>
      <c r="H88" s="5"/>
    </row>
    <row r="89">
      <c r="A89" s="16" t="s">
        <v>122</v>
      </c>
      <c r="B89" s="3">
        <f>IF(B78=0,"n.a.",B86/B78)</f>
        <v>0.23263415962952877</v>
      </c>
      <c r="C89" s="3">
        <f>IF(C78=0,"n.a.",C86/C78)</f>
        <v>0.22202458310498707</v>
      </c>
      <c r="D89" s="3">
        <f>IF(D78=0,"n.a.",D86/D78)</f>
        <v>0.27570488347166733</v>
      </c>
      <c r="E89" s="3">
        <f>IF(E78=0,"n.a.",E86/E78)</f>
        <v>0.23074820966031606</v>
      </c>
      <c r="F89" s="3">
        <f>IF(F78=0,"n.a.",F86/F78)</f>
        <v>0.23868035854970635</v>
      </c>
      <c r="G89" s="30" t="s">
        <v>117</v>
      </c>
      <c r="H89" s="5"/>
    </row>
    <row r="90">
      <c r="A90" s="33" t="s">
        <v>74</v>
      </c>
      <c r="B90" s="36">
        <f>(B89-B130)*10000</f>
        <v>73.53246078532577</v>
      </c>
      <c r="C90" s="36">
        <f>(C89-C130)*10000</f>
        <v>-164.0962699246737</v>
      </c>
      <c r="D90" s="36">
        <f>(D89-D130)*10000</f>
        <v>119.29245545212575</v>
      </c>
      <c r="E90" s="36">
        <f>(E89-E130)*10000</f>
        <v>101.64583870403393</v>
      </c>
      <c r="F90" s="36">
        <f>(F89-F130)*10000</f>
        <v>34.65506744861679</v>
      </c>
      <c r="G90" s="35" t="s">
        <v>117</v>
      </c>
      <c r="H90" s="5"/>
    </row>
    <row r="91">
      <c r="A91" s="33" t="s">
        <v>73</v>
      </c>
      <c r="B91" s="36">
        <f>(B89-E130)*10000</f>
        <v>120.50533839616101</v>
      </c>
      <c r="C91" s="36">
        <f>(C89-B89)*10000</f>
        <v>-106.09576524541697</v>
      </c>
      <c r="D91" s="36">
        <f>(D89-C89)*10000</f>
        <v>536.8030036668025</v>
      </c>
      <c r="E91" s="36">
        <f>(E89-D89)*10000</f>
        <v>-449.56673811351266</v>
      </c>
      <c r="F91" s="36"/>
      <c r="G91" s="35" t="s">
        <v>117</v>
      </c>
      <c r="H91" s="5"/>
    </row>
    <row r="92">
      <c r="A92" s="27" t="s">
        <v>123</v>
      </c>
      <c r="B92" s="17">
        <v>2.571</v>
      </c>
      <c r="C92" s="17">
        <v>2.204</v>
      </c>
      <c r="D92" s="17">
        <v>6.892</v>
      </c>
      <c r="E92" s="13">
        <f>F92-B92-C92-D92</f>
        <v>1.4049999999999985</v>
      </c>
      <c r="F92" s="17">
        <v>13.072</v>
      </c>
      <c r="G92" s="26" t="s">
        <v>117</v>
      </c>
      <c r="H92" s="5"/>
    </row>
    <row r="93">
      <c r="A93" s="7" t="s">
        <v>124</v>
      </c>
      <c r="B93" s="28">
        <f>B78-B79-B86-B92</f>
        <v>108.76099999999994</v>
      </c>
      <c r="C93" s="28">
        <f>C78-C79-C86-C92</f>
        <v>100.669</v>
      </c>
      <c r="D93" s="28">
        <f>D78-D79-D86-D92</f>
        <v>45.75000000000005</v>
      </c>
      <c r="E93" s="28">
        <f>E78-E79-E86-E92</f>
        <v>107.26499999999984</v>
      </c>
      <c r="F93" s="28">
        <f>F78-F79-F86-F92</f>
        <v>362.44499999999994</v>
      </c>
      <c r="G93" s="19" t="s">
        <v>117</v>
      </c>
      <c r="H93" s="5"/>
    </row>
    <row r="94">
      <c r="A94" s="16" t="s">
        <v>125</v>
      </c>
      <c r="B94" s="3">
        <f>IF(B78=0,"n.a.",B93/B78)</f>
        <v>0.15675702164397334</v>
      </c>
      <c r="C94" s="3">
        <f>IF(C78=0,"n.a.",C93/C78)</f>
        <v>0.15762780865888984</v>
      </c>
      <c r="D94" s="3">
        <f>IF(D78=0,"n.a.",D93/D78)</f>
        <v>0.08105163387692561</v>
      </c>
      <c r="E94" s="3">
        <f>IF(E78=0,"n.a.",E93/E78)</f>
        <v>0.14025253694107845</v>
      </c>
      <c r="F94" s="3">
        <f>IF(F78=0,"n.a.",F93/F78)</f>
        <v>0.13616931589049647</v>
      </c>
      <c r="G94" s="30" t="s">
        <v>117</v>
      </c>
      <c r="H94" s="5"/>
    </row>
    <row r="95">
      <c r="A95" s="33" t="s">
        <v>74</v>
      </c>
      <c r="B95" s="36">
        <f>(B94-B133)*10000</f>
        <v>-67.72847460222442</v>
      </c>
      <c r="C95" s="36">
        <f>(C94-C133)*10000</f>
        <v>170.58726816707392</v>
      </c>
      <c r="D95" s="36">
        <f>(D94-D133)*10000</f>
        <v>-32.962603399340345</v>
      </c>
      <c r="E95" s="36">
        <f>(E94-E133)*10000</f>
        <v>59.142164534455866</v>
      </c>
      <c r="F95" s="36">
        <f>(F94-F133)*10000</f>
        <v>31.649232652475046</v>
      </c>
      <c r="G95" s="35" t="s">
        <v>117</v>
      </c>
      <c r="H95" s="5"/>
    </row>
    <row r="96">
      <c r="A96" s="33" t="s">
        <v>73</v>
      </c>
      <c r="B96" s="36">
        <f>(B94-E133)*10000</f>
        <v>224.1870115634048</v>
      </c>
      <c r="C96" s="36">
        <f>(C94-B94)*10000</f>
        <v>8.707870149164965</v>
      </c>
      <c r="D96" s="36">
        <f>(D94-C94)*10000</f>
        <v>-765.7617478196422</v>
      </c>
      <c r="E96" s="36">
        <f>(E94-D94)*10000</f>
        <v>592.0090306415284</v>
      </c>
      <c r="F96" s="36"/>
      <c r="G96" s="35" t="s">
        <v>117</v>
      </c>
      <c r="H96" s="5"/>
    </row>
    <row r="97">
      <c r="A97" s="16" t="s">
        <v>57</v>
      </c>
      <c r="B97" s="3">
        <f>IF(B132=0,"n.a.",B93/B132-1)</f>
        <v>0.021911321162464414</v>
      </c>
      <c r="C97" s="3">
        <f>IF(C132=0,"n.a.",C93/C132-1)</f>
        <v>0.1670956223335187</v>
      </c>
      <c r="D97" s="3">
        <f>IF(D132=0,"n.a.",D93/D132-1)</f>
        <v>0.03649833480595488</v>
      </c>
      <c r="E97" s="3">
        <f>IF(E132=0,"n.a.",E93/E132-1)</f>
        <v>0.11730883409893278</v>
      </c>
      <c r="F97" s="3">
        <f>IF(F132=0,"n.a.",F93/F132-1)</f>
        <v>0.08898917455615063</v>
      </c>
      <c r="G97" s="30" t="s">
        <v>117</v>
      </c>
      <c r="H97" s="5"/>
    </row>
    <row r="98">
      <c r="A98" s="27" t="s">
        <v>126</v>
      </c>
      <c r="B98" s="17">
        <v>108.761</v>
      </c>
      <c r="C98" s="17">
        <v>100.669</v>
      </c>
      <c r="D98" s="17">
        <v>45.75</v>
      </c>
      <c r="E98" s="17">
        <v>107.265</v>
      </c>
      <c r="F98" s="17">
        <v>362.445</v>
      </c>
      <c r="G98" s="26" t="s">
        <v>117</v>
      </c>
      <c r="H98" s="5"/>
    </row>
    <row r="99">
      <c r="A99" s="5" t="s">
        <v>127</v>
      </c>
      <c r="B99" s="1">
        <f>ROUND(B93-B98,6)</f>
        <v>0</v>
      </c>
      <c r="C99" s="1">
        <f>ROUND(C93-C98,6)</f>
        <v>0</v>
      </c>
      <c r="D99" s="1">
        <f>ROUND(D93-D98,6)</f>
        <v>0</v>
      </c>
      <c r="E99" s="1">
        <f>ROUND(E93-E98,6)</f>
        <v>0</v>
      </c>
      <c r="F99" s="1">
        <f>ROUND(F93-F98,6)</f>
        <v>0</v>
      </c>
      <c r="G99" s="34" t="s">
        <v>117</v>
      </c>
      <c r="H99" s="5"/>
    </row>
    <row r="100">
      <c r="A100" s="27" t="s">
        <v>128</v>
      </c>
      <c r="B100" s="17">
        <v>-0.215</v>
      </c>
      <c r="C100" s="17">
        <v>-0.041</v>
      </c>
      <c r="D100" s="17">
        <v>0.02</v>
      </c>
      <c r="E100" s="17">
        <v>-0.127</v>
      </c>
      <c r="F100" s="17">
        <v>-0.363</v>
      </c>
      <c r="G100" s="26" t="s">
        <v>117</v>
      </c>
      <c r="H100" s="5"/>
    </row>
    <row r="101">
      <c r="A101" s="7" t="s">
        <v>129</v>
      </c>
      <c r="B101" s="28">
        <f>B93-B100</f>
        <v>108.97599999999994</v>
      </c>
      <c r="C101" s="28">
        <f>C93-C100</f>
        <v>100.71</v>
      </c>
      <c r="D101" s="28">
        <f>D93-D100</f>
        <v>45.73000000000005</v>
      </c>
      <c r="E101" s="28">
        <f>E93-E100</f>
        <v>107.39199999999984</v>
      </c>
      <c r="F101" s="28">
        <f>F93-F100</f>
        <v>362.80799999999994</v>
      </c>
      <c r="G101" s="19" t="s">
        <v>117</v>
      </c>
      <c r="H101" s="5"/>
    </row>
    <row r="102">
      <c r="A102" s="27" t="s">
        <v>130</v>
      </c>
      <c r="B102" s="17">
        <v>3.758</v>
      </c>
      <c r="C102" s="17">
        <v>1.206</v>
      </c>
      <c r="D102" s="17">
        <v>12.788</v>
      </c>
      <c r="E102" s="17">
        <v>6.232</v>
      </c>
      <c r="F102" s="17">
        <v>23.984</v>
      </c>
      <c r="G102" s="26" t="s">
        <v>117</v>
      </c>
      <c r="H102" s="5"/>
    </row>
    <row r="103">
      <c r="A103" s="27" t="s">
        <v>131</v>
      </c>
      <c r="B103" s="17">
        <v>7.117</v>
      </c>
      <c r="C103" s="17">
        <v>0.786</v>
      </c>
      <c r="D103" s="17">
        <v>0</v>
      </c>
      <c r="E103" s="17">
        <v>0</v>
      </c>
      <c r="F103" s="17">
        <v>7.903</v>
      </c>
      <c r="G103" s="26" t="s">
        <v>117</v>
      </c>
      <c r="H103" s="5"/>
    </row>
    <row r="104">
      <c r="A104" s="27" t="s">
        <v>167</v>
      </c>
      <c r="B104" s="17">
        <v>0</v>
      </c>
      <c r="C104" s="17">
        <v>-12.707</v>
      </c>
      <c r="D104" s="17">
        <v>0</v>
      </c>
      <c r="E104" s="17">
        <v>0</v>
      </c>
      <c r="F104" s="17">
        <v>-12.707</v>
      </c>
      <c r="G104" s="26" t="s">
        <v>117</v>
      </c>
      <c r="H104" s="5"/>
    </row>
    <row r="105">
      <c r="A105" s="27" t="s">
        <v>174</v>
      </c>
      <c r="B105" s="17">
        <v>0</v>
      </c>
      <c r="C105" s="17">
        <v>0</v>
      </c>
      <c r="D105" s="17">
        <v>0</v>
      </c>
      <c r="E105" s="17">
        <v>9.721</v>
      </c>
      <c r="F105" s="17">
        <v>9.721</v>
      </c>
      <c r="G105" s="26" t="s">
        <v>117</v>
      </c>
      <c r="H105" s="5"/>
    </row>
    <row r="106">
      <c r="A106" s="7" t="s">
        <v>175</v>
      </c>
      <c r="B106" s="28">
        <f>B101+B102+B103+B104+B105</f>
        <v>119.85099999999994</v>
      </c>
      <c r="C106" s="28">
        <f>C101+C102+C103+C104+C105</f>
        <v>89.995</v>
      </c>
      <c r="D106" s="28">
        <f>D101+D102+D103+D104+D105</f>
        <v>58.51800000000004</v>
      </c>
      <c r="E106" s="28">
        <f>E101+E102+E103+E104+E105</f>
        <v>123.34499999999984</v>
      </c>
      <c r="F106" s="28">
        <f>F101+F102+F103+F104+F105</f>
        <v>391.70899999999995</v>
      </c>
      <c r="G106" s="19">
        <f>G78*G109</f>
        <v>119.30024178646556</v>
      </c>
      <c r="H106" s="5"/>
    </row>
    <row r="107">
      <c r="A107" s="66" t="s">
        <v>57</v>
      </c>
      <c r="B107" s="3">
        <f>IF(B134=0,"n.a.",B106/B134-1)</f>
        <v>0.02895825821185083</v>
      </c>
      <c r="C107" s="3">
        <f>IF(C134=0,"n.a.",C106/C134-1)</f>
        <v>-0.06196581196581186</v>
      </c>
      <c r="D107" s="3">
        <f>IF(D134=0,"n.a.",D106/D134-1)</f>
        <v>0.15005011496963694</v>
      </c>
      <c r="E107" s="3">
        <f>IF(E134=0,"n.a.",E106/E134-1)</f>
        <v>0.02594280771214086</v>
      </c>
      <c r="F107" s="3">
        <f>IF(F134=0,"n.a.",F106/F134-1)</f>
        <v>0.021333569735637825</v>
      </c>
      <c r="G107" s="30">
        <f>IF(G134=0,"n.a.",G106/G134-1)</f>
        <v>-0.004595357681908219</v>
      </c>
      <c r="H107" s="5"/>
    </row>
    <row r="108">
      <c r="A108" s="66" t="s">
        <v>66</v>
      </c>
      <c r="B108" s="1">
        <f>B106-E134</f>
        <v>-0.37500000000005684</v>
      </c>
      <c r="C108" s="1">
        <f>C106-B106</f>
        <v>-29.855999999999938</v>
      </c>
      <c r="D108" s="1">
        <f>D106-C106</f>
        <v>-31.47699999999996</v>
      </c>
      <c r="E108" s="1">
        <f>E106-D106</f>
        <v>64.8269999999998</v>
      </c>
      <c r="F108" s="1"/>
      <c r="G108" s="34">
        <f>G106-E106</f>
        <v>-4.04475821353428</v>
      </c>
      <c r="H108" s="5"/>
    </row>
    <row r="109">
      <c r="A109" s="66" t="s">
        <v>134</v>
      </c>
      <c r="B109" s="3">
        <f>IF(B78=0,"n.a.",B106/B78)</f>
        <v>0.17274101746997408</v>
      </c>
      <c r="C109" s="3">
        <f>IF(C78=0,"n.a.",C106/C78)</f>
        <v>0.14091442887340486</v>
      </c>
      <c r="D109" s="3">
        <f>IF(D78=0,"n.a.",D106/D78)</f>
        <v>0.10367168330513511</v>
      </c>
      <c r="E109" s="3">
        <f>IF(E78=0,"n.a.",E106/E78)</f>
        <v>0.16127766903460888</v>
      </c>
      <c r="F109" s="3">
        <f>IF(F78=0,"n.a.",F106/F78)</f>
        <v>0.14716369810081664</v>
      </c>
      <c r="G109" s="30">
        <f>G135+G112/10000</f>
        <v>0.16774101746997408</v>
      </c>
      <c r="H109" s="5"/>
    </row>
    <row r="110">
      <c r="A110" s="16" t="s">
        <v>74</v>
      </c>
      <c r="B110" s="36">
        <f>(B109-B135)*10000</f>
        <v>-62.29301649049057</v>
      </c>
      <c r="C110" s="36">
        <f>(C109-C135)*10000</f>
        <v>-154.36407148889054</v>
      </c>
      <c r="D110" s="36">
        <f>(D109-D135)*10000</f>
        <v>64.36270145877555</v>
      </c>
      <c r="E110" s="36">
        <f>(E109-E135)*10000</f>
        <v>-69.56229061764657</v>
      </c>
      <c r="F110" s="36">
        <f>(F109-F135)*10000</f>
        <v>-61.01438713155327</v>
      </c>
      <c r="G110" s="35">
        <f>(G109-G135)*10000</f>
        <v>-50.00000000000004</v>
      </c>
      <c r="H110" s="5"/>
    </row>
    <row r="111">
      <c r="A111" s="16" t="s">
        <v>135</v>
      </c>
      <c r="B111" s="36">
        <f>(B109-E135)*10000</f>
        <v>45.07119373600543</v>
      </c>
      <c r="C111" s="36">
        <f>(C109-B109)*10000</f>
        <v>-318.2658859656923</v>
      </c>
      <c r="D111" s="36">
        <f>(D109-C109)*10000</f>
        <v>-372.4274556826974</v>
      </c>
      <c r="E111" s="36">
        <f>(E109-D109)*10000</f>
        <v>576.0598572947378</v>
      </c>
      <c r="F111" s="36"/>
      <c r="G111" s="35">
        <f>(G109-E109)*10000</f>
        <v>64.63348435365197</v>
      </c>
      <c r="H111" s="5"/>
    </row>
    <row r="112">
      <c r="A112" s="27" t="s">
        <v>136</v>
      </c>
      <c r="B112" s="53"/>
      <c r="C112" s="53"/>
      <c r="D112" s="53"/>
      <c r="E112" s="53"/>
      <c r="F112" s="53"/>
      <c r="G112" s="98">
        <v>-50</v>
      </c>
      <c r="H112" s="5" t="s">
        <v>176</v>
      </c>
    </row>
    <row r="113">
      <c r="A113" s="27" t="s">
        <v>138</v>
      </c>
      <c r="B113" s="17">
        <v>119.851</v>
      </c>
      <c r="C113" s="17">
        <v>89.995</v>
      </c>
      <c r="D113" s="17">
        <v>58.518</v>
      </c>
      <c r="E113" s="17">
        <v>123.345</v>
      </c>
      <c r="F113" s="17">
        <v>391.709</v>
      </c>
      <c r="G113" s="26" t="s">
        <v>117</v>
      </c>
      <c r="H113" s="5"/>
    </row>
    <row r="114">
      <c r="A114" s="5" t="s">
        <v>139</v>
      </c>
      <c r="B114" s="1">
        <f>ROUND(B106-B113,6)</f>
        <v>0</v>
      </c>
      <c r="C114" s="1">
        <f>ROUND(C106-C113,6)</f>
        <v>0</v>
      </c>
      <c r="D114" s="1">
        <f>ROUND(D106-D113,6)</f>
        <v>0</v>
      </c>
      <c r="E114" s="1">
        <f>ROUND(E106-E113,6)</f>
        <v>0</v>
      </c>
      <c r="F114" s="1">
        <f>ROUND(F106-F113,6)</f>
        <v>0</v>
      </c>
      <c r="G114" s="34" t="s">
        <v>117</v>
      </c>
      <c r="H114" s="5"/>
    </row>
    <row r="115">
      <c r="A115" s="27" t="s">
        <v>140</v>
      </c>
      <c r="B115" s="13" t="s">
        <v>45</v>
      </c>
      <c r="C115" s="13" t="s">
        <v>45</v>
      </c>
      <c r="D115" s="13" t="s">
        <v>45</v>
      </c>
      <c r="E115" s="13" t="s">
        <v>45</v>
      </c>
      <c r="F115" s="13" t="s">
        <v>45</v>
      </c>
      <c r="G115" s="26" t="s">
        <v>45</v>
      </c>
      <c r="H115" s="5" t="s">
        <v>141</v>
      </c>
    </row>
    <row r="116">
      <c r="A116" s="4"/>
      <c r="B116" s="4"/>
      <c r="C116" s="4"/>
      <c r="D116" s="4"/>
      <c r="E116" s="4"/>
      <c r="F116" s="4"/>
      <c r="G116" s="39"/>
      <c r="H116" s="5"/>
    </row>
    <row r="117">
      <c r="A117" s="7" t="s">
        <v>142</v>
      </c>
      <c r="B117" s="4"/>
      <c r="C117" s="4"/>
      <c r="D117" s="4"/>
      <c r="E117" s="4"/>
      <c r="F117" s="4"/>
      <c r="G117" s="39"/>
      <c r="H117" s="5"/>
    </row>
    <row r="118">
      <c r="A118" s="7" t="s">
        <v>143</v>
      </c>
      <c r="B118" s="85">
        <v>650.823</v>
      </c>
      <c r="C118" s="85">
        <v>613.62</v>
      </c>
      <c r="D118" s="85">
        <v>523.297</v>
      </c>
      <c r="E118" s="85">
        <v>714.636</v>
      </c>
      <c r="F118" s="85">
        <v>2502.376</v>
      </c>
      <c r="G118" s="19">
        <f>B27</f>
        <v>693.819</v>
      </c>
      <c r="H118" s="5" t="s">
        <v>144</v>
      </c>
    </row>
    <row r="119">
      <c r="A119" s="27" t="s">
        <v>145</v>
      </c>
      <c r="B119" s="17">
        <v>525.251</v>
      </c>
      <c r="C119" s="17">
        <v>493.103</v>
      </c>
      <c r="D119" s="17">
        <v>429.119</v>
      </c>
      <c r="E119" s="13">
        <f>F119-B119-C119-D119</f>
        <v>572.5579999999999</v>
      </c>
      <c r="F119" s="17">
        <v>2020.031</v>
      </c>
      <c r="G119" s="26">
        <f>B35</f>
        <v>538.012</v>
      </c>
      <c r="H119" s="5"/>
    </row>
    <row r="120">
      <c r="A120" s="27" t="s">
        <v>146</v>
      </c>
      <c r="B120" s="17">
        <v>46.144</v>
      </c>
      <c r="C120" s="17">
        <v>39.76</v>
      </c>
      <c r="D120" s="17">
        <v>30.899</v>
      </c>
      <c r="E120" s="13">
        <f>F120-B120-C120-D120</f>
        <v>46.97999999999999</v>
      </c>
      <c r="F120" s="17">
        <v>163.783</v>
      </c>
      <c r="G120" s="26">
        <f>B41</f>
        <v>42.844</v>
      </c>
      <c r="H120" s="5"/>
    </row>
    <row r="121">
      <c r="A121" s="27" t="s">
        <v>147</v>
      </c>
      <c r="B121" s="17">
        <v>68.636</v>
      </c>
      <c r="C121" s="17">
        <v>68.173</v>
      </c>
      <c r="D121" s="17">
        <v>52.613</v>
      </c>
      <c r="E121" s="13">
        <f>F121-B121-C121-D121</f>
        <v>83.68199999999999</v>
      </c>
      <c r="F121" s="17">
        <v>273.104</v>
      </c>
      <c r="G121" s="26">
        <f>B47</f>
        <v>101.901</v>
      </c>
      <c r="H121" s="5"/>
    </row>
    <row r="122">
      <c r="A122" s="27" t="s">
        <v>148</v>
      </c>
      <c r="B122" s="17">
        <v>5.949</v>
      </c>
      <c r="C122" s="17">
        <v>6.872</v>
      </c>
      <c r="D122" s="17">
        <v>5.708</v>
      </c>
      <c r="E122" s="13">
        <f>F122-B122-C122-D122</f>
        <v>6.590999999999999</v>
      </c>
      <c r="F122" s="17">
        <v>25.12</v>
      </c>
      <c r="G122" s="26">
        <f>B53</f>
        <v>5.859</v>
      </c>
      <c r="H122" s="5"/>
    </row>
    <row r="123">
      <c r="A123" s="27" t="s">
        <v>150</v>
      </c>
      <c r="B123" s="17">
        <v>4.843</v>
      </c>
      <c r="C123" s="17">
        <v>5.712</v>
      </c>
      <c r="D123" s="17">
        <v>4.958</v>
      </c>
      <c r="E123" s="13">
        <f>F123-B123-C123-D123</f>
        <v>4.825000000000001</v>
      </c>
      <c r="F123" s="17">
        <v>20.338</v>
      </c>
      <c r="G123" s="26">
        <f>B59</f>
        <v>5.203</v>
      </c>
      <c r="H123" s="5" t="s">
        <v>177</v>
      </c>
    </row>
    <row r="124">
      <c r="A124" s="27" t="s">
        <v>151</v>
      </c>
      <c r="B124" s="17">
        <v>0</v>
      </c>
      <c r="C124" s="17">
        <v>0</v>
      </c>
      <c r="D124" s="17">
        <v>0</v>
      </c>
      <c r="E124" s="13">
        <f>F124-B124-C124-D124</f>
        <v>0</v>
      </c>
      <c r="F124" s="17">
        <v>0</v>
      </c>
      <c r="G124" s="26">
        <f>B65</f>
        <v>0</v>
      </c>
      <c r="H124" s="5"/>
    </row>
    <row r="125">
      <c r="A125" s="73" t="s">
        <v>152</v>
      </c>
      <c r="B125" s="28">
        <f>B120+B121+B122+B123+B124</f>
        <v>125.572</v>
      </c>
      <c r="C125" s="28">
        <f>C120+C121+C122+C123+C124</f>
        <v>120.517</v>
      </c>
      <c r="D125" s="28">
        <f>D120+D121+D122+D123+D124</f>
        <v>94.178</v>
      </c>
      <c r="E125" s="28">
        <f>E120+E121+E122+E123+E124</f>
        <v>142.07799999999997</v>
      </c>
      <c r="F125" s="28">
        <f>F120+F121+F122+F123+F124</f>
        <v>482.34499999999997</v>
      </c>
      <c r="G125" s="19">
        <f>G120+G121+G122+G123+G124</f>
        <v>155.80700000000002</v>
      </c>
      <c r="H125" s="5"/>
    </row>
    <row r="126">
      <c r="A126" s="5" t="s">
        <v>153</v>
      </c>
      <c r="B126" s="1">
        <f>ROUND(B119+B125-B118,6)</f>
        <v>0</v>
      </c>
      <c r="C126" s="1">
        <f>ROUND(C119+C125-C118,6)</f>
        <v>0</v>
      </c>
      <c r="D126" s="1">
        <f>ROUND(D119+D125-D118,6)</f>
        <v>0</v>
      </c>
      <c r="E126" s="1">
        <f>ROUND(E119+E125-E118,6)</f>
        <v>0</v>
      </c>
      <c r="F126" s="1">
        <f>ROUND(F119+F125-F118,6)</f>
        <v>0</v>
      </c>
      <c r="G126" s="34">
        <f>ROUND(G119+G125-G118,6)</f>
        <v>0</v>
      </c>
      <c r="H126" s="5"/>
    </row>
    <row r="127">
      <c r="A127" s="27" t="s">
        <v>154</v>
      </c>
      <c r="B127" s="17">
        <v>392.006</v>
      </c>
      <c r="C127" s="17">
        <v>376.658</v>
      </c>
      <c r="D127" s="17">
        <v>338.899</v>
      </c>
      <c r="E127" s="13">
        <f>F127-B127-C127-D127</f>
        <v>446.94499999999994</v>
      </c>
      <c r="F127" s="17">
        <v>1554.508</v>
      </c>
      <c r="G127" s="26">
        <f>B79</f>
        <v>421.081</v>
      </c>
      <c r="H127" s="5"/>
    </row>
    <row r="128">
      <c r="A128" s="16" t="s">
        <v>155</v>
      </c>
      <c r="B128" s="3">
        <f>1-B127/B118</f>
        <v>0.3976764803948232</v>
      </c>
      <c r="C128" s="3">
        <f>1-C127/C118</f>
        <v>0.3861705941788077</v>
      </c>
      <c r="D128" s="3">
        <f>1-D127/D118</f>
        <v>0.3523773306554404</v>
      </c>
      <c r="E128" s="3">
        <f>1-E127/E118</f>
        <v>0.3745837041514841</v>
      </c>
      <c r="F128" s="3">
        <f>1-F127/F118</f>
        <v>0.37878720064450755</v>
      </c>
      <c r="G128" s="30">
        <f>1-G127/G118</f>
        <v>0.3930967586647237</v>
      </c>
      <c r="H128" s="5"/>
    </row>
    <row r="129">
      <c r="A129" s="27" t="s">
        <v>156</v>
      </c>
      <c r="B129" s="17">
        <v>146.618</v>
      </c>
      <c r="C129" s="17">
        <v>146.308</v>
      </c>
      <c r="D129" s="17">
        <v>138.033</v>
      </c>
      <c r="E129" s="13">
        <f>F129-B129-C129-D129</f>
        <v>157.63700000000003</v>
      </c>
      <c r="F129" s="17">
        <v>588.596</v>
      </c>
      <c r="G129" s="26">
        <f>B86</f>
        <v>161.406</v>
      </c>
      <c r="H129" s="5"/>
    </row>
    <row r="130">
      <c r="A130" s="16" t="s">
        <v>157</v>
      </c>
      <c r="B130" s="3">
        <f>B129/B118</f>
        <v>0.2252809135509962</v>
      </c>
      <c r="C130" s="3">
        <f>C129/C118</f>
        <v>0.23843421009745444</v>
      </c>
      <c r="D130" s="3">
        <f>D129/D118</f>
        <v>0.26377563792645475</v>
      </c>
      <c r="E130" s="3">
        <f>E129/E118</f>
        <v>0.22058362578991267</v>
      </c>
      <c r="F130" s="3">
        <f>F129/F118</f>
        <v>0.23521485180484467</v>
      </c>
      <c r="G130" s="30">
        <f>G129/G118</f>
        <v>0.23263415962952877</v>
      </c>
      <c r="H130" s="5"/>
    </row>
    <row r="131">
      <c r="A131" s="27" t="s">
        <v>158</v>
      </c>
      <c r="B131" s="17">
        <v>5.77</v>
      </c>
      <c r="C131" s="17">
        <v>4.398</v>
      </c>
      <c r="D131" s="17">
        <v>2.226</v>
      </c>
      <c r="E131" s="13">
        <f>F131-B131-C131-D131</f>
        <v>14.051000000000002</v>
      </c>
      <c r="F131" s="17">
        <v>26.445</v>
      </c>
      <c r="G131" s="26">
        <f>B92</f>
        <v>2.571</v>
      </c>
      <c r="H131" s="5"/>
    </row>
    <row r="132">
      <c r="A132" s="27" t="s">
        <v>159</v>
      </c>
      <c r="B132" s="17">
        <v>106.429</v>
      </c>
      <c r="C132" s="17">
        <v>86.256</v>
      </c>
      <c r="D132" s="17">
        <v>44.139</v>
      </c>
      <c r="E132" s="17">
        <v>96.003</v>
      </c>
      <c r="F132" s="17">
        <v>332.827</v>
      </c>
      <c r="G132" s="26">
        <f>B93</f>
        <v>108.76099999999994</v>
      </c>
      <c r="H132" s="5"/>
    </row>
    <row r="133">
      <c r="A133" s="16" t="s">
        <v>160</v>
      </c>
      <c r="B133" s="3">
        <f>B132/B118</f>
        <v>0.16352986910419579</v>
      </c>
      <c r="C133" s="3">
        <f>C132/C118</f>
        <v>0.14056908184218245</v>
      </c>
      <c r="D133" s="3">
        <f>D132/D118</f>
        <v>0.08434789421685965</v>
      </c>
      <c r="E133" s="3">
        <f>E132/E118</f>
        <v>0.13433832048763286</v>
      </c>
      <c r="F133" s="3">
        <f>F132/F118</f>
        <v>0.13300439262524896</v>
      </c>
      <c r="G133" s="30">
        <f>G132/G118</f>
        <v>0.15675702164397334</v>
      </c>
      <c r="H133" s="5"/>
    </row>
    <row r="134">
      <c r="A134" s="27" t="s">
        <v>161</v>
      </c>
      <c r="B134" s="17">
        <v>116.478</v>
      </c>
      <c r="C134" s="17">
        <v>95.94</v>
      </c>
      <c r="D134" s="17">
        <v>50.883</v>
      </c>
      <c r="E134" s="17">
        <v>120.226</v>
      </c>
      <c r="F134" s="17">
        <v>383.527</v>
      </c>
      <c r="G134" s="26">
        <f>B106</f>
        <v>119.85099999999994</v>
      </c>
      <c r="H134" s="5"/>
    </row>
    <row r="135">
      <c r="A135" s="16" t="s">
        <v>162</v>
      </c>
      <c r="B135" s="3">
        <f>B134/B118</f>
        <v>0.17897031911902314</v>
      </c>
      <c r="C135" s="3">
        <f>C134/C118</f>
        <v>0.1563508360222939</v>
      </c>
      <c r="D135" s="3">
        <f>D134/D118</f>
        <v>0.09723541315925756</v>
      </c>
      <c r="E135" s="3">
        <f>E134/E118</f>
        <v>0.16823389809637354</v>
      </c>
      <c r="F135" s="3">
        <f>F134/F118</f>
        <v>0.15326513681397197</v>
      </c>
      <c r="G135" s="30">
        <f>G134/G118</f>
        <v>0.17274101746997408</v>
      </c>
      <c r="H135" s="5"/>
    </row>
    <row r="136">
      <c r="A136" s="4"/>
      <c r="B136" s="4"/>
      <c r="C136" s="4"/>
      <c r="D136" s="4"/>
      <c r="E136" s="4"/>
      <c r="F136" s="4"/>
      <c r="G136" s="39"/>
      <c r="H136" s="5"/>
    </row>
    <row r="137">
      <c r="A137" s="7" t="s">
        <v>163</v>
      </c>
      <c r="B137" s="43"/>
      <c r="C137" s="43"/>
      <c r="D137" s="43"/>
      <c r="E137" s="43"/>
      <c r="F137" s="43"/>
      <c r="G137" s="58" t="b">
        <f>AND(MAX(ABS(B75),ABS(C75),ABS(D75),ABS(E75),ABS(F75),ABS(G75))&lt;0.001,MAX(ABS(B99),ABS(C99),ABS(D99),ABS(E99),ABS(F99))&lt;0.001,MAX(ABS(B114),ABS(C114),ABS(D114),ABS(E114),ABS(F114))&lt;0.001,MAX(ABS(B126),ABS(C126),ABS(D126),ABS(E126),ABS(F126))&lt;0.001)</f>
        <v>1</v>
      </c>
      <c r="H137" s="5"/>
    </row>
    <row r="138">
      <c r="A138" s="4"/>
      <c r="B138" s="4"/>
      <c r="C138" s="4"/>
      <c r="D138" s="4"/>
      <c r="E138" s="4"/>
      <c r="F138" s="4"/>
      <c r="G138" s="39"/>
      <c r="H138" s="5"/>
    </row>
    <row r="139">
      <c r="A139" s="4"/>
      <c r="B139" s="4"/>
      <c r="C139" s="4"/>
      <c r="D139" s="4"/>
      <c r="E139" s="4"/>
      <c r="F139" s="4"/>
      <c r="G139" s="39"/>
      <c r="H139" s="5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03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178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179</v>
      </c>
      <c r="B8" s="4"/>
      <c r="C8" s="4"/>
      <c r="D8" s="4"/>
      <c r="E8" s="4"/>
      <c r="F8" s="4"/>
      <c r="G8" s="39"/>
      <c r="H8" s="5"/>
    </row>
    <row r="9">
      <c r="A9" s="7" t="s">
        <v>115</v>
      </c>
      <c r="B9" s="85">
        <v>2113.743</v>
      </c>
      <c r="C9" s="85">
        <v>1909.895</v>
      </c>
      <c r="D9" s="85">
        <v>1607.949</v>
      </c>
      <c r="E9" s="85">
        <v>2231.835</v>
      </c>
      <c r="F9" s="85">
        <v>7863.422</v>
      </c>
      <c r="G9" s="52">
        <f>'Revenue summary'!G27</f>
        <v>2211.9018784024643</v>
      </c>
      <c r="H9" s="5"/>
    </row>
    <row r="10">
      <c r="A10" s="66" t="s">
        <v>57</v>
      </c>
      <c r="B10" s="3">
        <f>IF(B171=0,"n.a.",B9/B171-1)</f>
        <v>0.07362597007602134</v>
      </c>
      <c r="C10" s="3">
        <f>IF(C171=0,"n.a.",C9/C171-1)</f>
        <v>0.03499505234328182</v>
      </c>
      <c r="D10" s="3">
        <f>IF(D171=0,"n.a.",D9/D171-1)</f>
        <v>0.08898170208904199</v>
      </c>
      <c r="E10" s="3">
        <f>IF(E171=0,"n.a.",E9/E171-1)</f>
        <v>0.07197973078447162</v>
      </c>
      <c r="F10" s="3">
        <f>IF(F171=0,"n.a.",F9/F171-1)</f>
        <v>0.06656743496634299</v>
      </c>
      <c r="G10" s="30">
        <f>IF(G171=0,"n.a.",G9/G171-1)</f>
        <v>0.04643841678125682</v>
      </c>
      <c r="H10" s="5"/>
    </row>
    <row r="11">
      <c r="A11" s="66" t="s">
        <v>66</v>
      </c>
      <c r="B11" s="1">
        <f>B9-E171</f>
        <v>31.76800000000003</v>
      </c>
      <c r="C11" s="1">
        <f>C9-B9</f>
        <v>-203.84799999999996</v>
      </c>
      <c r="D11" s="1">
        <f>D9-C9</f>
        <v>-301.9459999999999</v>
      </c>
      <c r="E11" s="1">
        <f>E9-D9</f>
        <v>623.886</v>
      </c>
      <c r="F11" s="1"/>
      <c r="G11" s="34">
        <f>G9-E9</f>
        <v>-19.933121597535774</v>
      </c>
      <c r="H11" s="5"/>
    </row>
    <row r="12">
      <c r="A12" s="27" t="s">
        <v>116</v>
      </c>
      <c r="B12" s="17">
        <v>1220.527</v>
      </c>
      <c r="C12" s="17">
        <v>1129.728</v>
      </c>
      <c r="D12" s="17">
        <v>973.133</v>
      </c>
      <c r="E12" s="17">
        <v>1281.809</v>
      </c>
      <c r="F12" s="17">
        <v>4605.197</v>
      </c>
      <c r="G12" s="26">
        <f>G9*(1-G154)</f>
        <v>1285.1149913518316</v>
      </c>
      <c r="H12" s="5"/>
    </row>
    <row r="13">
      <c r="A13" s="16" t="s">
        <v>57</v>
      </c>
      <c r="B13" s="3">
        <f>IF(B172=0,"n.a.",B12/B172-1)</f>
        <v>0.07809358758289786</v>
      </c>
      <c r="C13" s="3">
        <f>IF(C172=0,"n.a.",C12/C172-1)</f>
        <v>0.04529531613454818</v>
      </c>
      <c r="D13" s="3">
        <f>IF(D172=0,"n.a.",D12/D172-1)</f>
        <v>0.07046856574616767</v>
      </c>
      <c r="E13" s="3">
        <f>IF(E172=0,"n.a.",E12/E172-1)</f>
        <v>0.06799260792331974</v>
      </c>
      <c r="F13" s="3">
        <f>IF(F172=0,"n.a.",F12/F172-1)</f>
        <v>0.06548360243452</v>
      </c>
      <c r="G13" s="30">
        <f>IF(G172=0,"n.a.",G12/G172-1)</f>
        <v>0.052918117626100436</v>
      </c>
      <c r="H13" s="5"/>
    </row>
    <row r="14">
      <c r="A14" s="16" t="s">
        <v>66</v>
      </c>
      <c r="B14" s="1">
        <f>B12-E172</f>
        <v>20.323000000000093</v>
      </c>
      <c r="C14" s="1">
        <f>C12-B12</f>
        <v>-90.79899999999998</v>
      </c>
      <c r="D14" s="1">
        <f>D12-C12</f>
        <v>-156.59500000000003</v>
      </c>
      <c r="E14" s="1">
        <f>E12-D12</f>
        <v>308.67599999999993</v>
      </c>
      <c r="F14" s="1"/>
      <c r="G14" s="34">
        <f>G12-E12</f>
        <v>3.305991351831608</v>
      </c>
      <c r="H14" s="5"/>
    </row>
    <row r="15">
      <c r="A15" s="7" t="s">
        <v>119</v>
      </c>
      <c r="B15" s="28">
        <f>B9-B12</f>
        <v>893.2159999999999</v>
      </c>
      <c r="C15" s="28">
        <f>C9-C12</f>
        <v>780.1669999999999</v>
      </c>
      <c r="D15" s="28">
        <f>D9-D12</f>
        <v>634.816</v>
      </c>
      <c r="E15" s="28">
        <f>E9-E12</f>
        <v>950.0260000000001</v>
      </c>
      <c r="F15" s="28">
        <f>F9-F12</f>
        <v>3258.2249999999995</v>
      </c>
      <c r="G15" s="19">
        <f>G9-G12</f>
        <v>926.7868870506327</v>
      </c>
      <c r="H15" s="5"/>
    </row>
    <row r="16">
      <c r="A16" s="66" t="s">
        <v>57</v>
      </c>
      <c r="B16" s="3">
        <f>IF(B173=0,"n.a.",B15/B173-1)</f>
        <v>0.06758076333286711</v>
      </c>
      <c r="C16" s="3">
        <f>IF(C173=0,"n.a.",C15/C173-1)</f>
        <v>0.0204344027289467</v>
      </c>
      <c r="D16" s="3">
        <f>IF(D173=0,"n.a.",D15/D173-1)</f>
        <v>0.11863821388923168</v>
      </c>
      <c r="E16" s="3">
        <f>IF(E173=0,"n.a.",E15/E173-1)</f>
        <v>0.07740671897805673</v>
      </c>
      <c r="F16" s="3">
        <f>IF(F173=0,"n.a.",F15/F173-1)</f>
        <v>0.06810309728508113</v>
      </c>
      <c r="G16" s="30">
        <f>IF(G173=0,"n.a.",G15/G173-1)</f>
        <v>0.03758428761982846</v>
      </c>
      <c r="H16" s="5"/>
    </row>
    <row r="17">
      <c r="A17" s="66" t="s">
        <v>66</v>
      </c>
      <c r="B17" s="1">
        <f>B15-E173</f>
        <v>11.444999999999936</v>
      </c>
      <c r="C17" s="1">
        <f>C15-B15</f>
        <v>-113.04899999999998</v>
      </c>
      <c r="D17" s="1">
        <f>D15-C15</f>
        <v>-145.35099999999989</v>
      </c>
      <c r="E17" s="1">
        <f>E15-D15</f>
        <v>315.21000000000004</v>
      </c>
      <c r="F17" s="1"/>
      <c r="G17" s="34">
        <f>G15-E15</f>
        <v>-23.23911294936738</v>
      </c>
      <c r="H17" s="5"/>
    </row>
    <row r="18">
      <c r="A18" s="66" t="s">
        <v>120</v>
      </c>
      <c r="B18" s="3">
        <f>B15/B9</f>
        <v>0.4225754975888743</v>
      </c>
      <c r="C18" s="3">
        <f>C15/C9</f>
        <v>0.4084868539893554</v>
      </c>
      <c r="D18" s="3">
        <f>D15/D9</f>
        <v>0.3947985912488518</v>
      </c>
      <c r="E18" s="3">
        <f>E15/E9</f>
        <v>0.4256703564555624</v>
      </c>
      <c r="F18" s="3">
        <f>F15/F9</f>
        <v>0.4143520467297825</v>
      </c>
      <c r="G18" s="30">
        <f>G15/G9</f>
        <v>0.4190000000000001</v>
      </c>
      <c r="H18" s="5"/>
    </row>
    <row r="19">
      <c r="A19" s="16" t="s">
        <v>74</v>
      </c>
      <c r="B19" s="36">
        <f>(B18-B174)*10000</f>
        <v>-23.928458953690335</v>
      </c>
      <c r="C19" s="36">
        <f>(C18-C174)*10000</f>
        <v>-58.287273901141965</v>
      </c>
      <c r="D19" s="36">
        <f>(D18-D174)*10000</f>
        <v>104.66609252836767</v>
      </c>
      <c r="E19" s="36">
        <f>(E18-E174)*10000</f>
        <v>21.441373607125612</v>
      </c>
      <c r="F19" s="36">
        <f>(F18-F174)*10000</f>
        <v>5.957335265409092</v>
      </c>
      <c r="G19" s="35">
        <f>(G18-G174)*10000</f>
        <v>-35.7549758887421</v>
      </c>
      <c r="H19" s="5"/>
    </row>
    <row r="20">
      <c r="A20" s="16" t="s">
        <v>73</v>
      </c>
      <c r="B20" s="36">
        <f>(B18-E174)*10000</f>
        <v>-9.50721505975527</v>
      </c>
      <c r="C20" s="36">
        <f>(C18-B18)*10000</f>
        <v>-140.88643599518892</v>
      </c>
      <c r="D20" s="36">
        <f>(D18-C18)*10000</f>
        <v>-136.8826274050361</v>
      </c>
      <c r="E20" s="36">
        <f>(E18-D18)*10000</f>
        <v>308.71765206710586</v>
      </c>
      <c r="F20" s="36"/>
      <c r="G20" s="35">
        <f>(G18-E18)*10000</f>
        <v>-66.70356455562299</v>
      </c>
      <c r="H20" s="5"/>
    </row>
    <row r="21">
      <c r="A21" s="27" t="s">
        <v>121</v>
      </c>
      <c r="B21" s="17">
        <v>573.534</v>
      </c>
      <c r="C21" s="17">
        <v>549.465</v>
      </c>
      <c r="D21" s="17">
        <v>533.872</v>
      </c>
      <c r="E21" s="17">
        <v>635.259</v>
      </c>
      <c r="F21" s="17">
        <v>2292.13</v>
      </c>
      <c r="G21" s="26">
        <f>G15-G27-G30-G31-(G88-G117)</f>
        <v>586.9711811302766</v>
      </c>
      <c r="H21" s="5" t="s">
        <v>180</v>
      </c>
    </row>
    <row r="22">
      <c r="A22" s="16" t="s">
        <v>57</v>
      </c>
      <c r="B22" s="3">
        <f>IF(B175=0,"n.a.",B21/B175-1)</f>
        <v>0.09006625537398372</v>
      </c>
      <c r="C22" s="3">
        <f>IF(C175=0,"n.a.",C21/C175-1)</f>
        <v>0.03704731275338036</v>
      </c>
      <c r="D22" s="3">
        <f>IF(D175=0,"n.a.",D21/D175-1)</f>
        <v>0.06410476171493484</v>
      </c>
      <c r="E22" s="3">
        <f>IF(E175=0,"n.a.",E21/E175-1)</f>
        <v>0.07154315208865714</v>
      </c>
      <c r="F22" s="3">
        <f>IF(F175=0,"n.a.",F21/F175-1)</f>
        <v>0.06584076442302567</v>
      </c>
      <c r="G22" s="30">
        <f>IF(G175=0,"n.a.",G21/G175-1)</f>
        <v>0.02342874377155768</v>
      </c>
      <c r="H22" s="5"/>
    </row>
    <row r="23">
      <c r="A23" s="16" t="s">
        <v>66</v>
      </c>
      <c r="B23" s="1">
        <f>B21-E175</f>
        <v>-19.311000000000035</v>
      </c>
      <c r="C23" s="1">
        <f>C21-B21</f>
        <v>-24.06899999999996</v>
      </c>
      <c r="D23" s="1">
        <f>D21-C21</f>
        <v>-15.593000000000075</v>
      </c>
      <c r="E23" s="1">
        <f>E21-D21</f>
        <v>101.38700000000006</v>
      </c>
      <c r="F23" s="1"/>
      <c r="G23" s="34">
        <f>G21-E21</f>
        <v>-48.287818869723424</v>
      </c>
      <c r="H23" s="5"/>
    </row>
    <row r="24">
      <c r="A24" s="16" t="s">
        <v>122</v>
      </c>
      <c r="B24" s="3">
        <f>B21/B9</f>
        <v>0.27133573002962047</v>
      </c>
      <c r="C24" s="3">
        <f>C21/C9</f>
        <v>0.28769382610038774</v>
      </c>
      <c r="D24" s="3">
        <f>D21/D9</f>
        <v>0.3320204807490784</v>
      </c>
      <c r="E24" s="3">
        <f>E21/E9</f>
        <v>0.28463528889904494</v>
      </c>
      <c r="F24" s="3">
        <f>F21/F9</f>
        <v>0.29149268600871225</v>
      </c>
      <c r="G24" s="30">
        <f>G21/G9</f>
        <v>0.2653694482841227</v>
      </c>
      <c r="H24" s="5"/>
    </row>
    <row r="25">
      <c r="A25" s="33" t="s">
        <v>74</v>
      </c>
      <c r="B25" s="36">
        <f>(B24-B176)*10000</f>
        <v>40.92262090699683</v>
      </c>
      <c r="C25" s="36">
        <f>(C24-C176)*10000</f>
        <v>5.693304849978542</v>
      </c>
      <c r="D25" s="36">
        <f>(D24-D176)*10000</f>
        <v>-77.62068171996373</v>
      </c>
      <c r="E25" s="36">
        <f>(E24-E176)*10000</f>
        <v>-1.1596892105381063</v>
      </c>
      <c r="F25" s="36">
        <f>(F24-F176)*10000</f>
        <v>-1.9873432841505112</v>
      </c>
      <c r="G25" s="35">
        <f>(G24-G176)*10000</f>
        <v>-59.662817454977926</v>
      </c>
      <c r="H25" s="5"/>
    </row>
    <row r="26">
      <c r="A26" s="33" t="s">
        <v>73</v>
      </c>
      <c r="B26" s="36">
        <f>(B24-E176)*10000</f>
        <v>-134.15527790478276</v>
      </c>
      <c r="C26" s="36">
        <f>(C24-B24)*10000</f>
        <v>163.5809607076727</v>
      </c>
      <c r="D26" s="36">
        <f>(D24-C24)*10000</f>
        <v>443.2665464869068</v>
      </c>
      <c r="E26" s="36">
        <f>(E24-D24)*10000</f>
        <v>-473.8519185003348</v>
      </c>
      <c r="F26" s="36"/>
      <c r="G26" s="35">
        <f>(G24-E24)*10000</f>
        <v>-192.65840614922257</v>
      </c>
      <c r="H26" s="5"/>
    </row>
    <row r="27">
      <c r="A27" s="27" t="s">
        <v>181</v>
      </c>
      <c r="B27" s="17">
        <v>8.814</v>
      </c>
      <c r="C27" s="17">
        <v>4.531</v>
      </c>
      <c r="D27" s="17">
        <v>19.855</v>
      </c>
      <c r="E27" s="17">
        <v>9.412</v>
      </c>
      <c r="F27" s="17">
        <v>42.612</v>
      </c>
      <c r="G27" s="26">
        <f>G155</f>
        <v>4</v>
      </c>
      <c r="H27" s="5"/>
    </row>
    <row r="28">
      <c r="A28" s="16" t="s">
        <v>57</v>
      </c>
      <c r="B28" s="3">
        <f>IF(B180=0,"n.a.",B27/B180-1)</f>
        <v>0.22382671480144412</v>
      </c>
      <c r="C28" s="3">
        <f>IF(C180=0,"n.a.",C27/C180-1)</f>
        <v>-0.40042344845838307</v>
      </c>
      <c r="D28" s="3">
        <f>IF(D180=0,"n.a.",D27/D180-1)</f>
        <v>4.745081018518519</v>
      </c>
      <c r="E28" s="3">
        <f>IF(E180=0,"n.a.",E27/E180-1)</f>
        <v>0.3914843287995269</v>
      </c>
      <c r="F28" s="3">
        <f>IF(F180=0,"n.a.",F27/F180-1)</f>
        <v>0.7059129668921895</v>
      </c>
      <c r="G28" s="30">
        <f>IF(G180=0,"n.a.",G27/G180-1)</f>
        <v>-0.5461765373269798</v>
      </c>
      <c r="H28" s="5"/>
    </row>
    <row r="29">
      <c r="A29" s="16" t="s">
        <v>66</v>
      </c>
      <c r="B29" s="1">
        <f>B27-E180</f>
        <v>2.05</v>
      </c>
      <c r="C29" s="1">
        <f>C27-B27</f>
        <v>-4.283</v>
      </c>
      <c r="D29" s="1">
        <f>D27-C27</f>
        <v>15.324000000000002</v>
      </c>
      <c r="E29" s="1">
        <f>E27-D27</f>
        <v>-10.443</v>
      </c>
      <c r="F29" s="1"/>
      <c r="G29" s="34">
        <f>G27-E27</f>
        <v>-5.412000000000001</v>
      </c>
      <c r="H29" s="5"/>
    </row>
    <row r="30">
      <c r="A30" s="27" t="s">
        <v>182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59">
        <v>0</v>
      </c>
      <c r="H30" s="5"/>
    </row>
    <row r="31">
      <c r="A31" s="27" t="s">
        <v>183</v>
      </c>
      <c r="B31" s="17">
        <v>-3.101</v>
      </c>
      <c r="C31" s="17">
        <v>-2.803</v>
      </c>
      <c r="D31" s="17">
        <v>-2.986</v>
      </c>
      <c r="E31" s="17">
        <v>-2.622</v>
      </c>
      <c r="F31" s="17">
        <v>-11.512</v>
      </c>
      <c r="G31" s="26">
        <f>G156</f>
        <v>-3</v>
      </c>
      <c r="H31" s="5"/>
    </row>
    <row r="32">
      <c r="A32" s="16" t="s">
        <v>57</v>
      </c>
      <c r="B32" s="3">
        <f>IF(B181=0,"n.a.",B31/B181-1)</f>
        <v>4.807116104868913</v>
      </c>
      <c r="C32" s="3">
        <f>IF(C181=0,"n.a.",C31/C181-1)</f>
        <v>4.8153526970954355</v>
      </c>
      <c r="D32" s="3">
        <f>IF(D181=0,"n.a.",D31/D181-1)</f>
        <v>7.435028248587571</v>
      </c>
      <c r="E32" s="3">
        <f>IF(E181=0,"n.a.",E31/E181-1)</f>
        <v>10.705357142857142</v>
      </c>
      <c r="F32" s="3">
        <f>IF(F181=0,"n.a.",F31/F181-1)</f>
        <v>6.222082810539523</v>
      </c>
      <c r="G32" s="30">
        <f>IF(G181=0,"n.a.",G31/G181-1)</f>
        <v>-0.032570138664946735</v>
      </c>
      <c r="H32" s="5"/>
    </row>
    <row r="33">
      <c r="A33" s="16" t="s">
        <v>66</v>
      </c>
      <c r="B33" s="1">
        <f>B31-E181</f>
        <v>-2.877</v>
      </c>
      <c r="C33" s="1">
        <f>C31-B31</f>
        <v>0.29800000000000004</v>
      </c>
      <c r="D33" s="1">
        <f>D31-C31</f>
        <v>-0.18300000000000027</v>
      </c>
      <c r="E33" s="1">
        <f>E31-D31</f>
        <v>0.3640000000000003</v>
      </c>
      <c r="F33" s="1"/>
      <c r="G33" s="34">
        <f>G31-E31</f>
        <v>-0.3780000000000001</v>
      </c>
      <c r="H33" s="5"/>
    </row>
    <row r="34">
      <c r="A34" s="7" t="s">
        <v>184</v>
      </c>
      <c r="B34" s="28">
        <f>B15-B21-B27-B30-B31</f>
        <v>313.9689999999999</v>
      </c>
      <c r="C34" s="28">
        <f>C15-C21-C27-C30-C31</f>
        <v>228.97399999999988</v>
      </c>
      <c r="D34" s="28">
        <f>D15-D21-D27-D30-D31</f>
        <v>84.07500000000007</v>
      </c>
      <c r="E34" s="28">
        <f>E15-E21-E27-E30-E31</f>
        <v>307.9770000000001</v>
      </c>
      <c r="F34" s="28">
        <f>F15-F21-F27-F30-F31</f>
        <v>934.9949999999994</v>
      </c>
      <c r="G34" s="19">
        <f>G15-G21-G27-G30-G31</f>
        <v>338.8157059203561</v>
      </c>
      <c r="H34" s="5"/>
    </row>
    <row r="35">
      <c r="A35" s="66" t="s">
        <v>57</v>
      </c>
      <c r="B35" s="3">
        <f>IF(B177=0,"n.a.",B34/B177-1)</f>
        <v>0.03327201103143196</v>
      </c>
      <c r="C35" s="3">
        <f>IF(C177=0,"n.a.",C34/C177-1)</f>
        <v>0.00589106148932661</v>
      </c>
      <c r="D35" s="3">
        <f>IF(D177=0,"n.a.",D34/D177-1)</f>
        <v>0.3413797504706608</v>
      </c>
      <c r="E35" s="3">
        <f>IF(E177=0,"n.a.",E34/E177-1)</f>
        <v>0.13630393234797156</v>
      </c>
      <c r="F35" s="3">
        <f>IF(F177=0,"n.a.",F34/F177-1)</f>
        <v>0.080664213295361</v>
      </c>
      <c r="G35" s="30">
        <f>IF(G177=0,"n.a.",G34/G177-1)</f>
        <v>0.07913744962195701</v>
      </c>
      <c r="H35" s="5"/>
    </row>
    <row r="36">
      <c r="A36" s="66" t="s">
        <v>66</v>
      </c>
      <c r="B36" s="1">
        <f>B34-E177</f>
        <v>42.93499999999989</v>
      </c>
      <c r="C36" s="1">
        <f>C34-B34</f>
        <v>-84.995</v>
      </c>
      <c r="D36" s="1">
        <f>D34-C34</f>
        <v>-144.8989999999998</v>
      </c>
      <c r="E36" s="1">
        <f>E34-D34</f>
        <v>223.90200000000002</v>
      </c>
      <c r="F36" s="1"/>
      <c r="G36" s="34">
        <f>G34-E34</f>
        <v>30.838705920356006</v>
      </c>
      <c r="H36" s="5"/>
    </row>
    <row r="37">
      <c r="A37" s="66" t="s">
        <v>185</v>
      </c>
      <c r="B37" s="3">
        <f>B34/B9</f>
        <v>0.1485369791881037</v>
      </c>
      <c r="C37" s="3">
        <f>C34/C9</f>
        <v>0.1198882661088698</v>
      </c>
      <c r="D37" s="3">
        <f>D34/D9</f>
        <v>0.052287106120903135</v>
      </c>
      <c r="E37" s="3">
        <f>E34/E9</f>
        <v>0.13799272795703987</v>
      </c>
      <c r="F37" s="3">
        <f>F34/F9</f>
        <v>0.11890433961193987</v>
      </c>
      <c r="G37" s="30">
        <f>G34/G9</f>
        <v>0.15317845209529102</v>
      </c>
      <c r="H37" s="5"/>
    </row>
    <row r="38">
      <c r="A38" s="16" t="s">
        <v>74</v>
      </c>
      <c r="B38" s="36">
        <f>(B37-B177/B171)*10000</f>
        <v>-58.01042814254059</v>
      </c>
      <c r="C38" s="36">
        <f>(C37-C177/C171)*10000</f>
        <v>-34.6879213258236</v>
      </c>
      <c r="D38" s="36">
        <f>(D37-D177/D171)*10000</f>
        <v>98.3849915417908</v>
      </c>
      <c r="E38" s="36">
        <f>(E37-E177/E171)*10000</f>
        <v>78.11529815851814</v>
      </c>
      <c r="F38" s="36">
        <f>(F37-F177/F171)*10000</f>
        <v>15.510535994862767</v>
      </c>
      <c r="G38" s="35">
        <f>(G37-G177/G171)*10000</f>
        <v>46.414729071873055</v>
      </c>
      <c r="H38" s="5"/>
    </row>
    <row r="39">
      <c r="A39" s="16" t="s">
        <v>73</v>
      </c>
      <c r="B39" s="36">
        <f>(B37-E177/E171)*10000</f>
        <v>183.55781046915652</v>
      </c>
      <c r="C39" s="36">
        <f>(C37-B37)*10000</f>
        <v>-286.4871307923392</v>
      </c>
      <c r="D39" s="36">
        <f>(D37-C37)*10000</f>
        <v>-676.0115998796666</v>
      </c>
      <c r="E39" s="36">
        <f>(E37-D37)*10000</f>
        <v>857.0562183613674</v>
      </c>
      <c r="F39" s="36"/>
      <c r="G39" s="35">
        <f>(G37-E37)*10000</f>
        <v>151.85724138251143</v>
      </c>
      <c r="H39" s="5"/>
    </row>
    <row r="40">
      <c r="A40" s="27" t="s">
        <v>186</v>
      </c>
      <c r="B40" s="17">
        <v>29.326</v>
      </c>
      <c r="C40" s="17">
        <v>28.005</v>
      </c>
      <c r="D40" s="17">
        <v>26.947</v>
      </c>
      <c r="E40" s="17">
        <v>27.266</v>
      </c>
      <c r="F40" s="17">
        <v>111.544</v>
      </c>
      <c r="G40" s="26">
        <f>G158</f>
        <v>27</v>
      </c>
      <c r="H40" s="5"/>
    </row>
    <row r="41">
      <c r="A41" s="16" t="s">
        <v>57</v>
      </c>
      <c r="B41" s="3">
        <f>IF(B182=0,"n.a.",B40/B182-1)</f>
        <v>0.20021281820414183</v>
      </c>
      <c r="C41" s="3">
        <f>IF(C182=0,"n.a.",C40/C182-1)</f>
        <v>0.20830996246278644</v>
      </c>
      <c r="D41" s="3">
        <f>IF(D182=0,"n.a.",D40/D182-1)</f>
        <v>0.1719653807680599</v>
      </c>
      <c r="E41" s="3">
        <f>IF(E182=0,"n.a.",E40/E182-1)</f>
        <v>0.05115848722001615</v>
      </c>
      <c r="F41" s="3">
        <f>IF(F182=0,"n.a.",F40/F182-1)</f>
        <v>0.15538153983199177</v>
      </c>
      <c r="G41" s="30">
        <f>IF(G182=0,"n.a.",G40/G182-1)</f>
        <v>-0.07931528336629612</v>
      </c>
      <c r="H41" s="5"/>
    </row>
    <row r="42">
      <c r="A42" s="16" t="s">
        <v>66</v>
      </c>
      <c r="B42" s="1">
        <f>B40-E182</f>
        <v>3.3870000000000005</v>
      </c>
      <c r="C42" s="1">
        <f>C40-B40</f>
        <v>-1.3210000000000015</v>
      </c>
      <c r="D42" s="1">
        <f>D40-C40</f>
        <v>-1.0579999999999998</v>
      </c>
      <c r="E42" s="1">
        <f>E40-D40</f>
        <v>0.31899999999999906</v>
      </c>
      <c r="F42" s="1"/>
      <c r="G42" s="34">
        <f>G40-E40</f>
        <v>-0.26599999999999824</v>
      </c>
      <c r="H42" s="5"/>
    </row>
    <row r="43">
      <c r="A43" s="27" t="s">
        <v>187</v>
      </c>
      <c r="B43" s="17">
        <v>-13.404</v>
      </c>
      <c r="C43" s="17">
        <v>-10.026</v>
      </c>
      <c r="D43" s="17">
        <v>-12.179</v>
      </c>
      <c r="E43" s="17">
        <v>-11.28</v>
      </c>
      <c r="F43" s="17">
        <v>-46.889</v>
      </c>
      <c r="G43" s="26">
        <f>-(G159+G160)</f>
        <v>-6.5</v>
      </c>
      <c r="H43" s="5"/>
    </row>
    <row r="44">
      <c r="A44" s="16" t="s">
        <v>57</v>
      </c>
      <c r="B44" s="3">
        <f>IF(B183=0,"n.a.",B43/B183-1)</f>
        <v>0.21567204788681305</v>
      </c>
      <c r="C44" s="3">
        <f>IF(C183=0,"n.a.",C43/C183-1)</f>
        <v>0.17593244194229407</v>
      </c>
      <c r="D44" s="3">
        <f>IF(D183=0,"n.a.",D43/D183-1)</f>
        <v>8.620063191153239</v>
      </c>
      <c r="E44" s="3">
        <f>IF(E183=0,"n.a.",E43/E183-1)</f>
        <v>2.4379762267601337</v>
      </c>
      <c r="F44" s="3">
        <f>IF(F183=0,"n.a.",F43/F183-1)</f>
        <v>0.9456823934603096</v>
      </c>
      <c r="G44" s="30">
        <f>IF(G183=0,"n.a.",G43/G183-1)</f>
        <v>-0.5150701283199045</v>
      </c>
      <c r="H44" s="5"/>
    </row>
    <row r="45">
      <c r="A45" s="16" t="s">
        <v>66</v>
      </c>
      <c r="B45" s="1">
        <f>B43-E183</f>
        <v>-10.123</v>
      </c>
      <c r="C45" s="1">
        <f>C43-B43</f>
        <v>3.378</v>
      </c>
      <c r="D45" s="1">
        <f>D43-C43</f>
        <v>-2.1530000000000005</v>
      </c>
      <c r="E45" s="1">
        <f>E43-D43</f>
        <v>0.8990000000000009</v>
      </c>
      <c r="F45" s="1"/>
      <c r="G45" s="34">
        <f>G43-E43</f>
        <v>4.779999999999999</v>
      </c>
      <c r="H45" s="5"/>
    </row>
    <row r="46">
      <c r="A46" s="7" t="s">
        <v>188</v>
      </c>
      <c r="B46" s="28">
        <f>B34-B40-B43</f>
        <v>298.04699999999985</v>
      </c>
      <c r="C46" s="28">
        <f>C34-C40-C43</f>
        <v>210.9949999999999</v>
      </c>
      <c r="D46" s="28">
        <f>D34-D40-D43</f>
        <v>69.30700000000007</v>
      </c>
      <c r="E46" s="28">
        <f>E34-E40-E43</f>
        <v>291.99100000000004</v>
      </c>
      <c r="F46" s="28">
        <f>F34-F40-F43</f>
        <v>870.3399999999995</v>
      </c>
      <c r="G46" s="19">
        <f>G34-G40-G43</f>
        <v>318.3157059203561</v>
      </c>
      <c r="H46" s="5"/>
    </row>
    <row r="47">
      <c r="A47" s="66" t="s">
        <v>57</v>
      </c>
      <c r="B47" s="3">
        <f>IF(B178=0,"n.a.",B46/B178-1)</f>
        <v>0.026152431907618956</v>
      </c>
      <c r="C47" s="3">
        <f>IF(C178=0,"n.a.",C46/C178-1)</f>
        <v>-0.00932942689992633</v>
      </c>
      <c r="D47" s="3">
        <f>IF(D178=0,"n.a.",D46/D178-1)</f>
        <v>0.6924373031183628</v>
      </c>
      <c r="E47" s="3">
        <f>IF(E178=0,"n.a.",E46/E178-1)</f>
        <v>0.17560070216123957</v>
      </c>
      <c r="F47" s="3">
        <f>IF(F178=0,"n.a.",F46/F178-1)</f>
        <v>0.09786063878096707</v>
      </c>
      <c r="G47" s="30">
        <f>IF(G178=0,"n.a.",G46/G178-1)</f>
        <v>0.06800506604782552</v>
      </c>
      <c r="H47" s="5"/>
    </row>
    <row r="48">
      <c r="A48" s="66" t="s">
        <v>66</v>
      </c>
      <c r="B48" s="1">
        <f>B46-E178</f>
        <v>49.67099999999985</v>
      </c>
      <c r="C48" s="1">
        <f>C46-B46</f>
        <v>-87.05199999999996</v>
      </c>
      <c r="D48" s="1">
        <f>D46-C46</f>
        <v>-141.68799999999982</v>
      </c>
      <c r="E48" s="1">
        <f>E46-D46</f>
        <v>222.68399999999997</v>
      </c>
      <c r="F48" s="1"/>
      <c r="G48" s="34">
        <f>G46-E46</f>
        <v>26.324705920356053</v>
      </c>
      <c r="H48" s="5"/>
    </row>
    <row r="49">
      <c r="A49" s="66" t="s">
        <v>189</v>
      </c>
      <c r="B49" s="63">
        <v>298.047</v>
      </c>
      <c r="C49" s="63">
        <v>210.995</v>
      </c>
      <c r="D49" s="63">
        <v>69.307</v>
      </c>
      <c r="E49" s="63">
        <v>291.991</v>
      </c>
      <c r="F49" s="63">
        <v>870.34</v>
      </c>
      <c r="G49" s="34" t="s">
        <v>117</v>
      </c>
      <c r="H49" s="5" t="s">
        <v>190</v>
      </c>
    </row>
    <row r="50">
      <c r="A50" s="66" t="s">
        <v>127</v>
      </c>
      <c r="B50" s="1">
        <f>ROUND(B46-B49,6)</f>
        <v>0</v>
      </c>
      <c r="C50" s="1">
        <f>ROUND(C46-C49,6)</f>
        <v>0</v>
      </c>
      <c r="D50" s="1">
        <f>ROUND(D46-D49,6)</f>
        <v>0</v>
      </c>
      <c r="E50" s="1">
        <f>ROUND(E46-E49,6)</f>
        <v>0</v>
      </c>
      <c r="F50" s="1">
        <f>ROUND(F46-F49,6)</f>
        <v>0</v>
      </c>
      <c r="G50" s="34" t="s">
        <v>45</v>
      </c>
      <c r="H50" s="5"/>
    </row>
    <row r="51">
      <c r="A51" s="27" t="s">
        <v>191</v>
      </c>
      <c r="B51" s="17">
        <v>70.207</v>
      </c>
      <c r="C51" s="17">
        <v>49.521</v>
      </c>
      <c r="D51" s="17">
        <v>17.693</v>
      </c>
      <c r="E51" s="17">
        <v>70.436</v>
      </c>
      <c r="F51" s="17">
        <v>207.857</v>
      </c>
      <c r="G51" s="26">
        <f>G46*G161</f>
        <v>75.75913800904475</v>
      </c>
      <c r="H51" s="5"/>
    </row>
    <row r="52">
      <c r="A52" s="16" t="s">
        <v>57</v>
      </c>
      <c r="B52" s="3">
        <f>IF(B179=0,"n.a.",IF(B51*B179&lt;0,"n.m.",B51/B179-1))</f>
        <v>0.1342552950869993</v>
      </c>
      <c r="C52" s="3">
        <f>IF(C179=0,"n.a.",IF(C51*C179&lt;0,"n.m.",C51/C179-1))</f>
        <v>0.6768590004063388</v>
      </c>
      <c r="D52" s="3" t="str">
        <f>IF(D179=0,"n.a.",IF(D51*D179&lt;0,"n.m.",D51/D179-1))</f>
        <v>n.m.</v>
      </c>
      <c r="E52" s="3">
        <f>IF(E179=0,"n.a.",IF(E51*E179&lt;0,"n.m.",E51/E179-1))</f>
        <v>2.149103590110431</v>
      </c>
      <c r="F52" s="3">
        <f>IF(F179=0,"n.a.",IF(F51*F179&lt;0,"n.m.",F51/F179-1))</f>
        <v>1.0291995743559204</v>
      </c>
      <c r="G52" s="30">
        <f>IF(G179=0,"n.a.",IF(G51*G179&lt;0,"n.m.",G51/G179-1))</f>
        <v>0.07908239931979377</v>
      </c>
      <c r="H52" s="5"/>
    </row>
    <row r="53">
      <c r="A53" s="16" t="s">
        <v>66</v>
      </c>
      <c r="B53" s="1">
        <f>B51-E179</f>
        <v>47.83999999999999</v>
      </c>
      <c r="C53" s="1">
        <f>C51-B51</f>
        <v>-20.685999999999993</v>
      </c>
      <c r="D53" s="1">
        <f>D51-C51</f>
        <v>-31.828</v>
      </c>
      <c r="E53" s="1">
        <f>E51-D51</f>
        <v>52.74300000000001</v>
      </c>
      <c r="F53" s="1"/>
      <c r="G53" s="34">
        <f>G51-E51</f>
        <v>5.32313800904474</v>
      </c>
      <c r="H53" s="5"/>
    </row>
    <row r="54">
      <c r="A54" s="16" t="s">
        <v>192</v>
      </c>
      <c r="B54" s="3">
        <f>B51/B46</f>
        <v>0.23555680815441868</v>
      </c>
      <c r="C54" s="3">
        <f>C51/C46</f>
        <v>0.23470224412900792</v>
      </c>
      <c r="D54" s="3">
        <f>D51/D46</f>
        <v>0.255284459001255</v>
      </c>
      <c r="E54" s="3">
        <f>E51/E46</f>
        <v>0.2412266131490354</v>
      </c>
      <c r="F54" s="3">
        <f>F51/F46</f>
        <v>0.23882275892180083</v>
      </c>
      <c r="G54" s="30">
        <f>G51/G46</f>
        <v>0.238</v>
      </c>
      <c r="H54" s="5"/>
    </row>
    <row r="55">
      <c r="A55" s="33" t="s">
        <v>74</v>
      </c>
      <c r="B55" s="36">
        <f>(B54-B179/B178)*10000</f>
        <v>224.5029449118463</v>
      </c>
      <c r="C55" s="36">
        <f>(C54-C179/C178)*10000</f>
        <v>960.4263909196253</v>
      </c>
      <c r="D55" s="36">
        <f>(D54-D179/D178)*10000</f>
        <v>5327.624204673975</v>
      </c>
      <c r="E55" s="36">
        <f>(E54-E179/E178)*10000</f>
        <v>1511.736289637679</v>
      </c>
      <c r="F55" s="36">
        <f>(F54-F179/F178)*10000</f>
        <v>1096.1215293764421</v>
      </c>
      <c r="G55" s="35">
        <f>(G54-G179/G178)*10000</f>
        <v>24.431918455813108</v>
      </c>
      <c r="H55" s="5"/>
    </row>
    <row r="56">
      <c r="A56" s="33" t="s">
        <v>73</v>
      </c>
      <c r="B56" s="36">
        <f>(B54-E179/E178)*10000</f>
        <v>1455.0382396915118</v>
      </c>
      <c r="C56" s="36">
        <f>(C54-B54)*10000</f>
        <v>-8.545640254107589</v>
      </c>
      <c r="D56" s="36">
        <f>(D54-C54)*10000</f>
        <v>205.82214872247096</v>
      </c>
      <c r="E56" s="36">
        <f>(E54-D54)*10000</f>
        <v>-140.57845852219614</v>
      </c>
      <c r="F56" s="36"/>
      <c r="G56" s="35">
        <f>(G54-E54)*10000</f>
        <v>-32.26613149035412</v>
      </c>
      <c r="H56" s="5"/>
    </row>
    <row r="57">
      <c r="A57" s="7" t="s">
        <v>193</v>
      </c>
      <c r="B57" s="28">
        <f>B46-B51</f>
        <v>227.83999999999986</v>
      </c>
      <c r="C57" s="28">
        <f>C46-C51</f>
        <v>161.47399999999988</v>
      </c>
      <c r="D57" s="28">
        <f>D46-D51</f>
        <v>51.614000000000075</v>
      </c>
      <c r="E57" s="28">
        <f>E46-E51</f>
        <v>221.55500000000004</v>
      </c>
      <c r="F57" s="28">
        <f>F46-F51</f>
        <v>662.4829999999995</v>
      </c>
      <c r="G57" s="19">
        <f>G46-G51</f>
        <v>242.55656791131133</v>
      </c>
      <c r="H57" s="5"/>
    </row>
    <row r="58">
      <c r="A58" s="27" t="s">
        <v>194</v>
      </c>
      <c r="B58" s="17">
        <v>0.235</v>
      </c>
      <c r="C58" s="17">
        <v>0.267</v>
      </c>
      <c r="D58" s="17">
        <v>0.25</v>
      </c>
      <c r="E58" s="17">
        <v>0.339</v>
      </c>
      <c r="F58" s="17">
        <v>1.091</v>
      </c>
      <c r="G58" s="26">
        <f>G162</f>
        <v>0.3</v>
      </c>
      <c r="H58" s="5"/>
    </row>
    <row r="59">
      <c r="A59" s="16" t="s">
        <v>57</v>
      </c>
      <c r="B59" s="3">
        <f>IF(B184=0,"n.a.",B58/B184-1)</f>
        <v>-0.7273781902552204</v>
      </c>
      <c r="C59" s="3">
        <f>IF(C184=0,"n.a.",C58/C184-1)</f>
        <v>0.08536585365853666</v>
      </c>
      <c r="D59" s="3">
        <f>IF(D184=0,"n.a.",D58/D184-1)</f>
        <v>-0.1071428571428572</v>
      </c>
      <c r="E59" s="3">
        <f>IF(E184=0,"n.a.",E58/E184-1)</f>
        <v>0.3505976095617531</v>
      </c>
      <c r="F59" s="3">
        <f>IF(F184=0,"n.a.",F58/F184-1)</f>
        <v>-0.3343502135448444</v>
      </c>
      <c r="G59" s="30">
        <f>IF(G184=0,"n.a.",G58/G184-1)</f>
        <v>0.27659574468085113</v>
      </c>
      <c r="H59" s="5"/>
    </row>
    <row r="60">
      <c r="A60" s="16" t="s">
        <v>66</v>
      </c>
      <c r="B60" s="1">
        <f>B58-E184</f>
        <v>-0.016000000000000014</v>
      </c>
      <c r="C60" s="1">
        <f>C58-B58</f>
        <v>0.03200000000000003</v>
      </c>
      <c r="D60" s="1">
        <f>D58-C58</f>
        <v>-0.017000000000000015</v>
      </c>
      <c r="E60" s="1">
        <f>E58-D58</f>
        <v>0.08900000000000002</v>
      </c>
      <c r="F60" s="1"/>
      <c r="G60" s="34">
        <f>G58-E58</f>
        <v>-0.039000000000000035</v>
      </c>
      <c r="H60" s="5"/>
    </row>
    <row r="61">
      <c r="A61" s="7" t="s">
        <v>195</v>
      </c>
      <c r="B61" s="28">
        <f>B57-B58</f>
        <v>227.60499999999985</v>
      </c>
      <c r="C61" s="28">
        <f>C57-C58</f>
        <v>161.20699999999988</v>
      </c>
      <c r="D61" s="28">
        <f>D57-D58</f>
        <v>51.364000000000075</v>
      </c>
      <c r="E61" s="28">
        <f>E57-E58</f>
        <v>221.21600000000004</v>
      </c>
      <c r="F61" s="28">
        <f>F57-F58</f>
        <v>661.3919999999995</v>
      </c>
      <c r="G61" s="19">
        <f>G57-G58</f>
        <v>242.25656791131132</v>
      </c>
      <c r="H61" s="5"/>
    </row>
    <row r="62">
      <c r="A62" s="66" t="s">
        <v>57</v>
      </c>
      <c r="B62" s="3">
        <f>IF(B191=0,"n.a.",B61/B191-1)</f>
        <v>-0.00038209511094000614</v>
      </c>
      <c r="C62" s="3">
        <f>IF(C191=0,"n.a.",C61/C191-1)</f>
        <v>-0.12006833911923387</v>
      </c>
      <c r="D62" s="3">
        <f>IF(D191=0,"n.a.",D61/D191-1)</f>
        <v>-0.01287619633316528</v>
      </c>
      <c r="E62" s="3">
        <f>IF(E191=0,"n.a.",E61/E191-1)</f>
        <v>-0.020118888367189558</v>
      </c>
      <c r="F62" s="3">
        <f>IF(F191=0,"n.a.",F61/F191-1)</f>
        <v>-0.03963478382083108</v>
      </c>
      <c r="G62" s="30">
        <f>IF(G191=0,"n.a.",G61/G191-1)</f>
        <v>0.0643727857969354</v>
      </c>
      <c r="H62" s="5"/>
    </row>
    <row r="63">
      <c r="A63" s="66" t="s">
        <v>66</v>
      </c>
      <c r="B63" s="1">
        <f>B61-E191</f>
        <v>1.8469999999998379</v>
      </c>
      <c r="C63" s="1">
        <f>C61-B61</f>
        <v>-66.39799999999997</v>
      </c>
      <c r="D63" s="1">
        <f>D61-C61</f>
        <v>-109.8429999999998</v>
      </c>
      <c r="E63" s="1">
        <f>E61-D61</f>
        <v>169.85199999999998</v>
      </c>
      <c r="F63" s="1"/>
      <c r="G63" s="34">
        <f>G61-E61</f>
        <v>21.040567911311285</v>
      </c>
      <c r="H63" s="5"/>
    </row>
    <row r="64">
      <c r="A64" s="66" t="s">
        <v>196</v>
      </c>
      <c r="B64" s="3">
        <f>B61/B9</f>
        <v>0.10767865345976302</v>
      </c>
      <c r="C64" s="3">
        <f>C61/C9</f>
        <v>0.08440621081263623</v>
      </c>
      <c r="D64" s="3">
        <f>D61/D9</f>
        <v>0.03194379921253726</v>
      </c>
      <c r="E64" s="3">
        <f>E61/E9</f>
        <v>0.09911843841502621</v>
      </c>
      <c r="F64" s="3">
        <f>F61/F9</f>
        <v>0.08410994602604305</v>
      </c>
      <c r="G64" s="30">
        <f>G61/G9</f>
        <v>0.1095241024372564</v>
      </c>
      <c r="H64" s="5"/>
    </row>
    <row r="65">
      <c r="A65" s="16" t="s">
        <v>74</v>
      </c>
      <c r="B65" s="36">
        <f>(B64-B191/B171)*10000</f>
        <v>-79.72134918270382</v>
      </c>
      <c r="C65" s="36">
        <f>(C64-C191/C171)*10000</f>
        <v>-148.7423841074967</v>
      </c>
      <c r="D65" s="36">
        <f>(D64-D191/D171)*10000</f>
        <v>-32.96170392531813</v>
      </c>
      <c r="E65" s="36">
        <f>(E64-E191/E171)*10000</f>
        <v>-93.161009046102</v>
      </c>
      <c r="F65" s="36">
        <f>(F64-F191/F171)*10000</f>
        <v>-93.0131864372806</v>
      </c>
      <c r="G65" s="35">
        <f>(G64-G191/G171)*10000</f>
        <v>18.454489774933773</v>
      </c>
      <c r="H65" s="5"/>
    </row>
    <row r="66">
      <c r="A66" s="16" t="s">
        <v>73</v>
      </c>
      <c r="B66" s="36">
        <f>(B64-E191/E171)*10000</f>
        <v>-7.558858598733925</v>
      </c>
      <c r="C66" s="36">
        <f>(C64-B64)*10000</f>
        <v>-232.72442647126786</v>
      </c>
      <c r="D66" s="36">
        <f>(D64-C64)*10000</f>
        <v>-524.6241160009897</v>
      </c>
      <c r="E66" s="36">
        <f>(E64-D64)*10000</f>
        <v>671.7463920248895</v>
      </c>
      <c r="F66" s="36"/>
      <c r="G66" s="35">
        <f>(G64-E64)*10000</f>
        <v>104.05664022230185</v>
      </c>
      <c r="H66" s="5"/>
    </row>
    <row r="67">
      <c r="A67" s="66" t="s">
        <v>197</v>
      </c>
      <c r="B67" s="63">
        <v>227.605</v>
      </c>
      <c r="C67" s="63">
        <v>161.207</v>
      </c>
      <c r="D67" s="63">
        <v>51.364</v>
      </c>
      <c r="E67" s="63">
        <v>221.216</v>
      </c>
      <c r="F67" s="63">
        <v>661.392</v>
      </c>
      <c r="G67" s="34" t="s">
        <v>117</v>
      </c>
      <c r="H67" s="5"/>
    </row>
    <row r="68">
      <c r="A68" s="66" t="s">
        <v>198</v>
      </c>
      <c r="B68" s="1">
        <f>ROUND(B61-B67,6)</f>
        <v>0</v>
      </c>
      <c r="C68" s="1">
        <f>ROUND(C61-C67,6)</f>
        <v>0</v>
      </c>
      <c r="D68" s="1">
        <f>ROUND(D61-D67,6)</f>
        <v>0</v>
      </c>
      <c r="E68" s="1">
        <f>ROUND(E61-E67,6)</f>
        <v>0</v>
      </c>
      <c r="F68" s="1">
        <f>ROUND(F61-F67,6)</f>
        <v>0</v>
      </c>
      <c r="G68" s="34" t="s">
        <v>45</v>
      </c>
      <c r="H68" s="5"/>
    </row>
    <row r="69">
      <c r="A69" s="27" t="s">
        <v>199</v>
      </c>
      <c r="B69" s="17">
        <v>127.283</v>
      </c>
      <c r="C69" s="17">
        <v>127.129</v>
      </c>
      <c r="D69" s="17">
        <v>127.045</v>
      </c>
      <c r="E69" s="17">
        <v>126.734</v>
      </c>
      <c r="F69" s="17">
        <v>127.049</v>
      </c>
      <c r="G69" s="10">
        <f>'Share Count'!G9</f>
        <v>126.49815094339623</v>
      </c>
      <c r="H69" s="5"/>
    </row>
    <row r="70">
      <c r="A70" s="27" t="s">
        <v>200</v>
      </c>
      <c r="B70" s="17">
        <v>127.95</v>
      </c>
      <c r="C70" s="17">
        <v>127.649</v>
      </c>
      <c r="D70" s="17">
        <v>127.507</v>
      </c>
      <c r="E70" s="17">
        <v>127.099</v>
      </c>
      <c r="F70" s="17">
        <v>127.554</v>
      </c>
      <c r="G70" s="10">
        <f>'Share Count'!G13</f>
        <v>126.86315094339623</v>
      </c>
      <c r="H70" s="5"/>
    </row>
    <row r="71">
      <c r="A71" s="27" t="s">
        <v>201</v>
      </c>
      <c r="B71" s="62">
        <v>1.78</v>
      </c>
      <c r="C71" s="62">
        <v>1.26</v>
      </c>
      <c r="D71" s="62">
        <v>0.4</v>
      </c>
      <c r="E71" s="62">
        <v>1.74</v>
      </c>
      <c r="F71" s="62">
        <v>5.19</v>
      </c>
      <c r="G71" s="78">
        <f>G61*(1-G163)/G69</f>
        <v>1.908396827331051</v>
      </c>
      <c r="H71" s="5"/>
    </row>
    <row r="72">
      <c r="A72" s="7" t="s">
        <v>37</v>
      </c>
      <c r="B72" s="88">
        <v>1.77</v>
      </c>
      <c r="C72" s="88">
        <v>1.26</v>
      </c>
      <c r="D72" s="88">
        <v>0.4</v>
      </c>
      <c r="E72" s="88">
        <v>1.73</v>
      </c>
      <c r="F72" s="88">
        <v>5.17</v>
      </c>
      <c r="G72" s="103">
        <f>G75</f>
        <v>1.902906148305692</v>
      </c>
      <c r="H72" s="5"/>
    </row>
    <row r="73">
      <c r="A73" s="66" t="s">
        <v>57</v>
      </c>
      <c r="B73" s="3">
        <f>IF(B192=0,"n.a.",B72/B192-1)</f>
        <v>0</v>
      </c>
      <c r="C73" s="3">
        <f>IF(C192=0,"n.a.",C72/C192-1)</f>
        <v>-0.11267605633802813</v>
      </c>
      <c r="D73" s="3">
        <f>IF(D192=0,"n.a.",D72/D192-1)</f>
        <v>0</v>
      </c>
      <c r="E73" s="3">
        <f>IF(E192=0,"n.a.",E72/E192-1)</f>
        <v>-0.017045454545454586</v>
      </c>
      <c r="F73" s="3">
        <f>IF(F192=0,"n.a.",F72/F192-1)</f>
        <v>-0.03364485981308407</v>
      </c>
      <c r="G73" s="30">
        <f>IF(G192=0,"n.a.",G72/G192-1)</f>
        <v>0.07508821938174681</v>
      </c>
      <c r="H73" s="5"/>
    </row>
    <row r="74">
      <c r="A74" s="66" t="s">
        <v>202</v>
      </c>
      <c r="B74" s="81">
        <f>B72-E192</f>
        <v>0.010000000000000009</v>
      </c>
      <c r="C74" s="81">
        <f>C72-B72</f>
        <v>-0.51</v>
      </c>
      <c r="D74" s="81">
        <f>D72-C72</f>
        <v>-0.86</v>
      </c>
      <c r="E74" s="81">
        <f>E72-D72</f>
        <v>1.33</v>
      </c>
      <c r="F74" s="81"/>
      <c r="G74" s="104">
        <f>G72-E72</f>
        <v>0.17290614830569195</v>
      </c>
      <c r="H74" s="5"/>
    </row>
    <row r="75">
      <c r="A75" s="66" t="s">
        <v>203</v>
      </c>
      <c r="B75" s="81">
        <f>B61*(1-B163)/B70</f>
        <v>1.771965611567017</v>
      </c>
      <c r="C75" s="81">
        <f>C61*(1-C163)/C70</f>
        <v>1.2574089887112307</v>
      </c>
      <c r="D75" s="81">
        <f>D61*(1-D163)/D70</f>
        <v>0.40069172672872916</v>
      </c>
      <c r="E75" s="81">
        <f>E61*(1-E163)/E70</f>
        <v>1.734409743585709</v>
      </c>
      <c r="F75" s="81">
        <f>(B61*(1-B163)+C61*(1-C163)+D61*(1-D163)+E61*(1-E163))/F70</f>
        <v>5.164579268388289</v>
      </c>
      <c r="G75" s="104">
        <f>G61*(1-G163)/G70</f>
        <v>1.902906148305692</v>
      </c>
      <c r="H75" s="5" t="s">
        <v>204</v>
      </c>
    </row>
    <row r="76">
      <c r="A76" s="16" t="s">
        <v>205</v>
      </c>
      <c r="B76" s="3">
        <f>1-B72*B70/B61</f>
        <v>0.004980119065924882</v>
      </c>
      <c r="C76" s="3">
        <f>1-C72*C70/C61</f>
        <v>0.00229059532154241</v>
      </c>
      <c r="D76" s="3">
        <f>1-D72*D70/D61</f>
        <v>0.007032162604159842</v>
      </c>
      <c r="E76" s="3">
        <f>1-E72*E70/E61</f>
        <v>0.006033605164183609</v>
      </c>
      <c r="F76" s="3">
        <f>1-F72*F70/F61</f>
        <v>0.0029299114594666387</v>
      </c>
      <c r="G76" s="30">
        <f>G163</f>
        <v>0.0035</v>
      </c>
      <c r="H76" s="5" t="s">
        <v>206</v>
      </c>
    </row>
    <row r="77">
      <c r="A77" s="33" t="s">
        <v>73</v>
      </c>
      <c r="B77" s="36"/>
      <c r="C77" s="36">
        <f>(C76-B76)*10000</f>
        <v>-26.895237443824715</v>
      </c>
      <c r="D77" s="36">
        <f>(D76-C76)*10000</f>
        <v>47.415672826174315</v>
      </c>
      <c r="E77" s="36">
        <f>(E76-D76)*10000</f>
        <v>-9.985574399762331</v>
      </c>
      <c r="F77" s="36"/>
      <c r="G77" s="35">
        <f>(G76-E76)*10000</f>
        <v>-25.336051641836086</v>
      </c>
      <c r="H77" s="5"/>
    </row>
    <row r="78">
      <c r="A78" s="33" t="s">
        <v>74</v>
      </c>
      <c r="B78" s="36" t="s">
        <v>45</v>
      </c>
      <c r="C78" s="36" t="s">
        <v>45</v>
      </c>
      <c r="D78" s="36" t="s">
        <v>45</v>
      </c>
      <c r="E78" s="36" t="s">
        <v>45</v>
      </c>
      <c r="F78" s="36" t="s">
        <v>45</v>
      </c>
      <c r="G78" s="35">
        <f>(G76-B76)*10000</f>
        <v>-14.801190659248817</v>
      </c>
      <c r="H78" s="5" t="s">
        <v>207</v>
      </c>
    </row>
    <row r="79">
      <c r="A79" s="66" t="s">
        <v>208</v>
      </c>
      <c r="B79" s="51" t="b">
        <f>ABS(B72-B75)&lt;0.006</f>
        <v>1</v>
      </c>
      <c r="C79" s="51" t="b">
        <f>ABS(C72-C75)&lt;0.006</f>
        <v>1</v>
      </c>
      <c r="D79" s="51" t="b">
        <f>ABS(D72-D75)&lt;0.006</f>
        <v>1</v>
      </c>
      <c r="E79" s="51" t="b">
        <f>ABS(E72-E75)&lt;0.006</f>
        <v>1</v>
      </c>
      <c r="F79" s="51" t="b">
        <f>ABS(F72-F75)&lt;0.006</f>
        <v>1</v>
      </c>
      <c r="G79" s="34" t="s">
        <v>45</v>
      </c>
      <c r="H79" s="5"/>
    </row>
    <row r="80">
      <c r="A80" s="4"/>
      <c r="B80" s="4"/>
      <c r="C80" s="4"/>
      <c r="D80" s="4"/>
      <c r="E80" s="4"/>
      <c r="F80" s="4"/>
      <c r="G80" s="39"/>
      <c r="H80" s="5"/>
    </row>
    <row r="81">
      <c r="A81" s="7" t="s">
        <v>209</v>
      </c>
      <c r="B81" s="4"/>
      <c r="C81" s="4"/>
      <c r="D81" s="4"/>
      <c r="E81" s="4"/>
      <c r="F81" s="4"/>
      <c r="G81" s="39"/>
      <c r="H81" s="5"/>
    </row>
    <row r="82">
      <c r="A82" s="27" t="s">
        <v>133</v>
      </c>
      <c r="B82" s="9">
        <f>'Segment - CPG'!B105</f>
        <v>169.121</v>
      </c>
      <c r="C82" s="9">
        <f>'Segment - CPG'!C105</f>
        <v>98.63099999999997</v>
      </c>
      <c r="D82" s="9">
        <f>'Segment - CPG'!D105</f>
        <v>30.311999999999955</v>
      </c>
      <c r="E82" s="9">
        <f>'Segment - CPG'!E105</f>
        <v>175.05800000000013</v>
      </c>
      <c r="F82" s="9">
        <f>'Segment - CPG'!F105</f>
        <v>473.1219999999999</v>
      </c>
      <c r="G82" s="10">
        <f>'Segment - CPG'!G105</f>
        <v>180.98964696415817</v>
      </c>
      <c r="H82" s="5"/>
    </row>
    <row r="83">
      <c r="A83" s="27" t="s">
        <v>169</v>
      </c>
      <c r="B83" s="9">
        <f>'Segment - PCG'!B106</f>
        <v>86.99499999999996</v>
      </c>
      <c r="C83" s="9">
        <f>'Segment - PCG'!C106</f>
        <v>82.82900000000002</v>
      </c>
      <c r="D83" s="9">
        <f>'Segment - PCG'!D106</f>
        <v>66.78600000000003</v>
      </c>
      <c r="E83" s="9">
        <f>'Segment - PCG'!E106</f>
        <v>84.88900000000011</v>
      </c>
      <c r="F83" s="9">
        <f>'Segment - PCG'!F106</f>
        <v>321.4990000000002</v>
      </c>
      <c r="G83" s="10">
        <f>'Segment - PCG'!G106</f>
        <v>92.5258171697323</v>
      </c>
      <c r="H83" s="5"/>
    </row>
    <row r="84">
      <c r="A84" s="27" t="s">
        <v>175</v>
      </c>
      <c r="B84" s="9">
        <f>'Segment - Consumer'!B106</f>
        <v>119.85099999999994</v>
      </c>
      <c r="C84" s="9">
        <f>'Segment - Consumer'!C106</f>
        <v>89.995</v>
      </c>
      <c r="D84" s="9">
        <f>'Segment - Consumer'!D106</f>
        <v>58.51800000000004</v>
      </c>
      <c r="E84" s="9">
        <f>'Segment - Consumer'!E106</f>
        <v>123.34499999999984</v>
      </c>
      <c r="F84" s="9">
        <f>'Segment - Consumer'!F106</f>
        <v>391.70899999999995</v>
      </c>
      <c r="G84" s="10">
        <f>'Segment - Consumer'!G106</f>
        <v>119.30024178646556</v>
      </c>
      <c r="H84" s="5"/>
    </row>
    <row r="85">
      <c r="A85" s="27" t="s">
        <v>210</v>
      </c>
      <c r="B85" s="17">
        <v>-38.175</v>
      </c>
      <c r="C85" s="17">
        <v>-44.823</v>
      </c>
      <c r="D85" s="17">
        <v>-39.216</v>
      </c>
      <c r="E85" s="17">
        <v>-44.692</v>
      </c>
      <c r="F85" s="17">
        <v>-166.906</v>
      </c>
      <c r="G85" s="26">
        <f>G157</f>
        <v>-42</v>
      </c>
      <c r="H85" s="5"/>
    </row>
    <row r="86">
      <c r="A86" s="16" t="s">
        <v>57</v>
      </c>
      <c r="B86" s="3">
        <f>IF(B185=0,"n.a.",B85/B185-1)</f>
        <v>0.2524606299212597</v>
      </c>
      <c r="C86" s="3">
        <f>IF(C185=0,"n.a.",C85/C185-1)</f>
        <v>0.29146857982539554</v>
      </c>
      <c r="D86" s="3">
        <f>IF(D185=0,"n.a.",D85/D185-1)</f>
        <v>0.0008422019753464571</v>
      </c>
      <c r="E86" s="3">
        <f>IF(E185=0,"n.a.",E85/E185-1)</f>
        <v>0.2641285285964814</v>
      </c>
      <c r="F86" s="3">
        <f>IF(F185=0,"n.a.",F85/F185-1)</f>
        <v>0.19454066588417174</v>
      </c>
      <c r="G86" s="30">
        <f>IF(G185=0,"n.a.",G85/G185-1)</f>
        <v>0.10019646365422408</v>
      </c>
      <c r="H86" s="5"/>
    </row>
    <row r="87">
      <c r="A87" s="16" t="s">
        <v>66</v>
      </c>
      <c r="B87" s="1">
        <f>B85-E185</f>
        <v>-2.820999999999998</v>
      </c>
      <c r="C87" s="1">
        <f>C85-B85</f>
        <v>-6.648000000000003</v>
      </c>
      <c r="D87" s="1">
        <f>D85-C85</f>
        <v>5.606999999999999</v>
      </c>
      <c r="E87" s="1">
        <f>E85-D85</f>
        <v>-5.475999999999999</v>
      </c>
      <c r="F87" s="1"/>
      <c r="G87" s="34">
        <f>G85-E85</f>
        <v>2.692</v>
      </c>
      <c r="H87" s="5"/>
    </row>
    <row r="88">
      <c r="A88" s="7" t="s">
        <v>211</v>
      </c>
      <c r="B88" s="28">
        <f>B82+B83+B84+B85</f>
        <v>337.7919999999999</v>
      </c>
      <c r="C88" s="28">
        <f>C82+C83+C84+C85</f>
        <v>226.63199999999998</v>
      </c>
      <c r="D88" s="28">
        <f>D82+D83+D84+D85</f>
        <v>116.40000000000003</v>
      </c>
      <c r="E88" s="28">
        <f>E82+E83+E84+E85</f>
        <v>338.6000000000001</v>
      </c>
      <c r="F88" s="28">
        <f>F82+F83+F84+F85</f>
        <v>1019.424</v>
      </c>
      <c r="G88" s="19">
        <f>G82+G83+G84+G85</f>
        <v>350.81570592035604</v>
      </c>
      <c r="H88" s="5"/>
    </row>
    <row r="89">
      <c r="A89" s="66" t="s">
        <v>57</v>
      </c>
      <c r="B89" s="3">
        <f>IF(B186=0,"n.a.",B88/B186-1)</f>
        <v>0.028780966187694323</v>
      </c>
      <c r="C89" s="3">
        <f>IF(C186=0,"n.a.",C88/C186-1)</f>
        <v>-0.11151186313098849</v>
      </c>
      <c r="D89" s="3">
        <f>IF(D186=0,"n.a.",D88/D186-1)</f>
        <v>0.4878061250575185</v>
      </c>
      <c r="E89" s="3">
        <f>IF(E186=0,"n.a.",E88/E186-1)</f>
        <v>0.07705080206249204</v>
      </c>
      <c r="F89" s="3">
        <f>IF(F186=0,"n.a.",F88/F186-1)</f>
        <v>0.044458628875517325</v>
      </c>
      <c r="G89" s="30">
        <f>IF(G186=0,"n.a.",G88/G186-1)</f>
        <v>0.038555400721024036</v>
      </c>
      <c r="H89" s="5"/>
    </row>
    <row r="90">
      <c r="A90" s="66" t="s">
        <v>66</v>
      </c>
      <c r="B90" s="1">
        <f>B88-E186</f>
        <v>23.414999999999907</v>
      </c>
      <c r="C90" s="1">
        <f>C88-B88</f>
        <v>-111.15999999999994</v>
      </c>
      <c r="D90" s="1">
        <f>D88-C88</f>
        <v>-110.23199999999994</v>
      </c>
      <c r="E90" s="1">
        <f>E88-D88</f>
        <v>222.20000000000005</v>
      </c>
      <c r="F90" s="1"/>
      <c r="G90" s="34">
        <f>G88-E88</f>
        <v>12.215705920355958</v>
      </c>
      <c r="H90" s="5"/>
    </row>
    <row r="91">
      <c r="A91" s="66" t="s">
        <v>134</v>
      </c>
      <c r="B91" s="3">
        <f>B88/B9</f>
        <v>0.15980750734597343</v>
      </c>
      <c r="C91" s="3">
        <f>C88/C9</f>
        <v>0.1186620206870011</v>
      </c>
      <c r="D91" s="3">
        <f>D88/D9</f>
        <v>0.0723903556642655</v>
      </c>
      <c r="E91" s="3">
        <f>E88/E9</f>
        <v>0.15171372435686334</v>
      </c>
      <c r="F91" s="3">
        <f>F88/F9</f>
        <v>0.12964126814000318</v>
      </c>
      <c r="G91" s="30">
        <f>G88/G9</f>
        <v>0.15860364754232725</v>
      </c>
      <c r="H91" s="5"/>
    </row>
    <row r="92">
      <c r="A92" s="16" t="s">
        <v>74</v>
      </c>
      <c r="B92" s="36">
        <f>(B91-B187)*10000</f>
        <v>-69.6607783760897</v>
      </c>
      <c r="C92" s="36">
        <f>(C91-C187)*10000</f>
        <v>-195.66729046107235</v>
      </c>
      <c r="D92" s="36">
        <f>(D91-D187)*10000</f>
        <v>194.05110208944274</v>
      </c>
      <c r="E92" s="36">
        <f>(E91-E187)*10000</f>
        <v>7.143127404894423</v>
      </c>
      <c r="F92" s="36">
        <f>(F91-F187)*10000</f>
        <v>-27.44209851338858</v>
      </c>
      <c r="G92" s="35">
        <f>(G91-G187)*10000</f>
        <v>-12.038598036461789</v>
      </c>
      <c r="H92" s="5"/>
    </row>
    <row r="93">
      <c r="A93" s="16" t="s">
        <v>73</v>
      </c>
      <c r="B93" s="36">
        <f>(B91-E187)*10000</f>
        <v>88.08095729599536</v>
      </c>
      <c r="C93" s="36">
        <f>(C91-B91)*10000</f>
        <v>-411.4548665897233</v>
      </c>
      <c r="D93" s="36">
        <f>(D91-C91)*10000</f>
        <v>-462.71665022735607</v>
      </c>
      <c r="E93" s="36">
        <f>(E91-D91)*10000</f>
        <v>793.2336869259784</v>
      </c>
      <c r="F93" s="36"/>
      <c r="G93" s="35">
        <f>(G91-E91)*10000</f>
        <v>68.89923185463914</v>
      </c>
      <c r="H93" s="5"/>
    </row>
    <row r="94">
      <c r="A94" s="27" t="s">
        <v>212</v>
      </c>
      <c r="B94" s="9">
        <f>'Cash Flow Statement'!B10</f>
        <v>51.464</v>
      </c>
      <c r="C94" s="9">
        <f>'Cash Flow Statement'!C10</f>
        <v>52.043000000000006</v>
      </c>
      <c r="D94" s="9">
        <f>'Cash Flow Statement'!D10</f>
        <v>52.291</v>
      </c>
      <c r="E94" s="9">
        <f>'Cash Flow Statement'!E10</f>
        <v>57.69200000000001</v>
      </c>
      <c r="F94" s="9">
        <f>'Cash Flow Statement'!F10</f>
        <v>213.49</v>
      </c>
      <c r="G94" s="10">
        <f>'Cash Flow Statement'!G10</f>
        <v>57</v>
      </c>
      <c r="H94" s="5"/>
    </row>
    <row r="95">
      <c r="A95" s="7" t="s">
        <v>213</v>
      </c>
      <c r="B95" s="28">
        <f>B88+B94</f>
        <v>389.2559999999999</v>
      </c>
      <c r="C95" s="28">
        <f>C88+C94</f>
        <v>278.67499999999995</v>
      </c>
      <c r="D95" s="28">
        <f>D88+D94</f>
        <v>168.69100000000003</v>
      </c>
      <c r="E95" s="28">
        <f>E88+E94</f>
        <v>396.2920000000001</v>
      </c>
      <c r="F95" s="28">
        <f>F88+F94</f>
        <v>1232.914</v>
      </c>
      <c r="G95" s="19">
        <f>G88+G94</f>
        <v>407.81570592035604</v>
      </c>
      <c r="H95" s="5" t="s">
        <v>214</v>
      </c>
    </row>
    <row r="96">
      <c r="A96" s="66" t="s">
        <v>215</v>
      </c>
      <c r="B96" s="3">
        <f>IF(B190=0,"n.a.",B95/B190-1)</f>
        <v>0.039326937710765675</v>
      </c>
      <c r="C96" s="3">
        <f>IF(C190=0,"n.a.",C95/C190-1)</f>
        <v>-0.07611542465371957</v>
      </c>
      <c r="D96" s="3">
        <f>IF(D190=0,"n.a.",D95/D190-1)</f>
        <v>0.34324162917545875</v>
      </c>
      <c r="E96" s="3">
        <f>IF(E190=0,"n.a.",E95/E190-1)</f>
        <v>0.07651477079796298</v>
      </c>
      <c r="F96" s="3">
        <f>IF(F190=0,"n.a.",F95/F190-1)</f>
        <v>0.05388884757379242</v>
      </c>
      <c r="G96" s="30">
        <f>IF(G190=0,"n.a.",G95/G190-1)</f>
        <v>0.04767994820980559</v>
      </c>
      <c r="H96" s="5"/>
    </row>
    <row r="97">
      <c r="A97" s="66" t="s">
        <v>66</v>
      </c>
      <c r="B97" s="1">
        <f>B95-E190</f>
        <v>21.130999999999915</v>
      </c>
      <c r="C97" s="1">
        <f>C95-B95</f>
        <v>-110.58099999999996</v>
      </c>
      <c r="D97" s="1">
        <f>D95-C95</f>
        <v>-109.98399999999992</v>
      </c>
      <c r="E97" s="1">
        <f>E95-D95</f>
        <v>227.60100000000006</v>
      </c>
      <c r="F97" s="1"/>
      <c r="G97" s="34">
        <f>G95-E95</f>
        <v>11.523705920355951</v>
      </c>
      <c r="H97" s="5"/>
    </row>
    <row r="98">
      <c r="A98" s="66" t="s">
        <v>216</v>
      </c>
      <c r="B98" s="3">
        <f>B95/B9</f>
        <v>0.18415483812365077</v>
      </c>
      <c r="C98" s="3">
        <f>C95/C9</f>
        <v>0.14591116265553863</v>
      </c>
      <c r="D98" s="3">
        <f>D95/D9</f>
        <v>0.1049106656989743</v>
      </c>
      <c r="E98" s="3">
        <f>E95/E9</f>
        <v>0.1775633055310989</v>
      </c>
      <c r="F98" s="3">
        <f>F95/F9</f>
        <v>0.15679102558657032</v>
      </c>
      <c r="G98" s="30">
        <f>G95/G9</f>
        <v>0.18437332591574948</v>
      </c>
      <c r="H98" s="5"/>
    </row>
    <row r="99">
      <c r="A99" s="16" t="s">
        <v>74</v>
      </c>
      <c r="B99" s="36">
        <f>(B98-B190/B171)*10000</f>
        <v>-60.77329975622436</v>
      </c>
      <c r="C99" s="36">
        <f>(C98-C190/C171)*10000</f>
        <v>-175.47926780536903</v>
      </c>
      <c r="D99" s="36">
        <f>(D98-D190/D171)*10000</f>
        <v>198.5836176591897</v>
      </c>
      <c r="E99" s="36">
        <f>(E98-E190/E171)*10000</f>
        <v>7.480219662145682</v>
      </c>
      <c r="F99" s="36">
        <f>(F98-F190/F171)*10000</f>
        <v>-18.862413477886143</v>
      </c>
      <c r="G99" s="35">
        <f>(G98-G190/G171)*10000</f>
        <v>2.184877920987094</v>
      </c>
      <c r="H99" s="5"/>
    </row>
    <row r="100">
      <c r="A100" s="16" t="s">
        <v>73</v>
      </c>
      <c r="B100" s="36">
        <f>(B98-E190/E171)*10000</f>
        <v>73.39554558766449</v>
      </c>
      <c r="C100" s="36">
        <f>(C98-B98)*10000</f>
        <v>-382.4367546811214</v>
      </c>
      <c r="D100" s="36">
        <f>(D98-C98)*10000</f>
        <v>-410.00496956564336</v>
      </c>
      <c r="E100" s="36">
        <f>(E98-D98)*10000</f>
        <v>726.526398321246</v>
      </c>
      <c r="F100" s="36"/>
      <c r="G100" s="35">
        <f>(G98-E98)*10000</f>
        <v>68.10020384650589</v>
      </c>
      <c r="H100" s="5"/>
    </row>
    <row r="101">
      <c r="A101" s="4"/>
      <c r="B101" s="4"/>
      <c r="C101" s="4"/>
      <c r="D101" s="4"/>
      <c r="E101" s="4"/>
      <c r="F101" s="4"/>
      <c r="G101" s="39"/>
      <c r="H101" s="5"/>
    </row>
    <row r="102">
      <c r="A102" s="7" t="s">
        <v>217</v>
      </c>
      <c r="B102" s="4"/>
      <c r="C102" s="4"/>
      <c r="D102" s="4"/>
      <c r="E102" s="4"/>
      <c r="F102" s="4"/>
      <c r="G102" s="39"/>
      <c r="H102" s="5"/>
    </row>
    <row r="103">
      <c r="A103" s="27" t="s">
        <v>184</v>
      </c>
      <c r="B103" s="13">
        <f>B34</f>
        <v>313.9689999999999</v>
      </c>
      <c r="C103" s="13">
        <f>C34</f>
        <v>228.97399999999988</v>
      </c>
      <c r="D103" s="13">
        <f>D34</f>
        <v>84.07500000000007</v>
      </c>
      <c r="E103" s="13">
        <f>E34</f>
        <v>307.9770000000001</v>
      </c>
      <c r="F103" s="13">
        <f>F34</f>
        <v>934.9949999999994</v>
      </c>
      <c r="G103" s="26">
        <f>G34</f>
        <v>338.8157059203561</v>
      </c>
      <c r="H103" s="5"/>
    </row>
    <row r="104">
      <c r="A104" s="27" t="s">
        <v>218</v>
      </c>
      <c r="B104" s="17">
        <v>10.599</v>
      </c>
      <c r="C104" s="17">
        <v>6.637</v>
      </c>
      <c r="D104" s="17">
        <v>3.132</v>
      </c>
      <c r="E104" s="17">
        <v>2.691</v>
      </c>
      <c r="F104" s="17">
        <v>23.059</v>
      </c>
      <c r="G104" s="26">
        <f>G164</f>
        <v>2.5</v>
      </c>
      <c r="H104" s="5"/>
    </row>
    <row r="105">
      <c r="A105" s="27" t="s">
        <v>219</v>
      </c>
      <c r="B105" s="17">
        <v>0</v>
      </c>
      <c r="C105" s="17">
        <v>0</v>
      </c>
      <c r="D105" s="17">
        <v>22.11</v>
      </c>
      <c r="E105" s="17">
        <v>9.972</v>
      </c>
      <c r="F105" s="17">
        <v>32.082</v>
      </c>
      <c r="G105" s="26">
        <f>G165</f>
        <v>3.5</v>
      </c>
      <c r="H105" s="5"/>
    </row>
    <row r="106">
      <c r="A106" s="27" t="s">
        <v>220</v>
      </c>
      <c r="B106" s="17">
        <v>2.966</v>
      </c>
      <c r="C106" s="17">
        <v>4.44</v>
      </c>
      <c r="D106" s="17">
        <v>3.643</v>
      </c>
      <c r="E106" s="17">
        <v>2.69</v>
      </c>
      <c r="F106" s="17">
        <v>13.739</v>
      </c>
      <c r="G106" s="26">
        <f>G166</f>
        <v>3</v>
      </c>
      <c r="H106" s="5"/>
    </row>
    <row r="107">
      <c r="A107" s="27" t="s">
        <v>221</v>
      </c>
      <c r="B107" s="17">
        <v>3.141</v>
      </c>
      <c r="C107" s="17">
        <v>3.201</v>
      </c>
      <c r="D107" s="17">
        <v>3.229</v>
      </c>
      <c r="E107" s="17">
        <v>7.749</v>
      </c>
      <c r="F107" s="17">
        <v>17.32</v>
      </c>
      <c r="G107" s="26">
        <f>G167</f>
        <v>3</v>
      </c>
      <c r="H107" s="5"/>
    </row>
    <row r="108">
      <c r="A108" s="27" t="s">
        <v>222</v>
      </c>
      <c r="B108" s="17">
        <v>0</v>
      </c>
      <c r="C108" s="17">
        <v>-4.34</v>
      </c>
      <c r="D108" s="17">
        <v>0.11</v>
      </c>
      <c r="E108" s="17">
        <v>-1.641</v>
      </c>
      <c r="F108" s="17">
        <v>-5.871</v>
      </c>
      <c r="G108" s="59">
        <v>0</v>
      </c>
      <c r="H108" s="5"/>
    </row>
    <row r="109">
      <c r="A109" s="27" t="s">
        <v>131</v>
      </c>
      <c r="B109" s="17">
        <v>7.117</v>
      </c>
      <c r="C109" s="17">
        <v>0.827</v>
      </c>
      <c r="D109" s="17">
        <v>0.101</v>
      </c>
      <c r="E109" s="17">
        <v>0.151</v>
      </c>
      <c r="F109" s="17">
        <v>8.196</v>
      </c>
      <c r="G109" s="26">
        <f>G168</f>
        <v>0</v>
      </c>
      <c r="H109" s="5"/>
    </row>
    <row r="110">
      <c r="A110" s="27" t="s">
        <v>132</v>
      </c>
      <c r="B110" s="17">
        <v>0</v>
      </c>
      <c r="C110" s="17">
        <v>-0.4</v>
      </c>
      <c r="D110" s="17">
        <v>0</v>
      </c>
      <c r="E110" s="17">
        <v>0</v>
      </c>
      <c r="F110" s="17">
        <v>-0.4</v>
      </c>
      <c r="G110" s="59">
        <v>0</v>
      </c>
      <c r="H110" s="5"/>
    </row>
    <row r="111">
      <c r="A111" s="27" t="s">
        <v>223</v>
      </c>
      <c r="B111" s="17">
        <v>0</v>
      </c>
      <c r="C111" s="17">
        <v>-12.707</v>
      </c>
      <c r="D111" s="17">
        <v>0</v>
      </c>
      <c r="E111" s="17">
        <v>-1.71</v>
      </c>
      <c r="F111" s="17">
        <v>-14.417</v>
      </c>
      <c r="G111" s="59">
        <v>0</v>
      </c>
      <c r="H111" s="5"/>
    </row>
    <row r="112">
      <c r="A112" s="27" t="s">
        <v>224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59">
        <v>0</v>
      </c>
      <c r="H112" s="5"/>
    </row>
    <row r="113">
      <c r="A113" s="27" t="s">
        <v>225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59">
        <v>0</v>
      </c>
      <c r="H113" s="5"/>
    </row>
    <row r="114">
      <c r="A114" s="27" t="s">
        <v>168</v>
      </c>
      <c r="B114" s="17">
        <v>0</v>
      </c>
      <c r="C114" s="17">
        <v>0</v>
      </c>
      <c r="D114" s="17">
        <v>0</v>
      </c>
      <c r="E114" s="17">
        <v>1</v>
      </c>
      <c r="F114" s="17">
        <v>1</v>
      </c>
      <c r="G114" s="59">
        <v>0</v>
      </c>
      <c r="H114" s="5"/>
    </row>
    <row r="115">
      <c r="A115" s="27" t="s">
        <v>174</v>
      </c>
      <c r="B115" s="17">
        <v>0</v>
      </c>
      <c r="C115" s="17">
        <v>0</v>
      </c>
      <c r="D115" s="17">
        <v>0</v>
      </c>
      <c r="E115" s="17">
        <v>9.721</v>
      </c>
      <c r="F115" s="17">
        <v>9.721</v>
      </c>
      <c r="G115" s="59">
        <v>0</v>
      </c>
      <c r="H115" s="5"/>
    </row>
    <row r="116">
      <c r="A116" s="16" t="s">
        <v>226</v>
      </c>
      <c r="B116" s="1">
        <f>B104+B105+B106+B107+B108</f>
        <v>16.706000000000003</v>
      </c>
      <c r="C116" s="1">
        <f>C104+C105+C106+C107+C108</f>
        <v>9.938</v>
      </c>
      <c r="D116" s="1">
        <f>D104+D105+D106+D107+D108</f>
        <v>32.224000000000004</v>
      </c>
      <c r="E116" s="1">
        <f>E104+E105+E106+E107+E108</f>
        <v>21.461</v>
      </c>
      <c r="F116" s="1">
        <f>F104+F105+F106+F107+F108</f>
        <v>80.32900000000002</v>
      </c>
      <c r="G116" s="34">
        <f>G104+G105+G106+G107+G108</f>
        <v>12</v>
      </c>
      <c r="H116" s="5"/>
    </row>
    <row r="117">
      <c r="A117" s="73" t="s">
        <v>227</v>
      </c>
      <c r="B117" s="28">
        <f>B104+B105+B106+B107+B108+B109+B110+B111+B112+B113+B114+B115</f>
        <v>23.823000000000004</v>
      </c>
      <c r="C117" s="28">
        <f>C104+C105+C106+C107+C108+C109+C110+C111+C112+C113+C114+C115</f>
        <v>-2.3420000000000005</v>
      </c>
      <c r="D117" s="28">
        <f>D104+D105+D106+D107+D108+D109+D110+D111+D112+D113+D114+D115</f>
        <v>32.325</v>
      </c>
      <c r="E117" s="28">
        <f>E104+E105+E106+E107+E108+E109+E110+E111+E112+E113+E114+E115</f>
        <v>30.622999999999998</v>
      </c>
      <c r="F117" s="28">
        <f>F104+F105+F106+F107+F108+F109+F110+F111+F112+F113+F114+F115</f>
        <v>84.42900000000002</v>
      </c>
      <c r="G117" s="19">
        <f>G104+G105+G106+G107+G108+G109+G110+G111+G112+G113+G114+G115</f>
        <v>12</v>
      </c>
      <c r="H117" s="5"/>
    </row>
    <row r="118">
      <c r="A118" s="16" t="s">
        <v>57</v>
      </c>
      <c r="B118" s="3">
        <f>IF(B188=0,"n.a.",IF(B117*B188&lt;0,"n.m.",B117/B188-1))</f>
        <v>-0.026957480700894543</v>
      </c>
      <c r="C118" s="3" t="str">
        <f>IF(C188=0,"n.a.",IF(C117*C188&lt;0,"n.m.",C117/C188-1))</f>
        <v>n.m.</v>
      </c>
      <c r="D118" s="3">
        <f>IF(D188=0,"n.a.",IF(D117*D188&lt;0,"n.m.",D117/D188-1))</f>
        <v>1.0777092171230227</v>
      </c>
      <c r="E118" s="3">
        <f>IF(E188=0,"n.a.",IF(E117*E188&lt;0,"n.m.",E117/E188-1))</f>
        <v>-0.29347299448584585</v>
      </c>
      <c r="F118" s="3">
        <f>IF(F188=0,"n.a.",IF(F117*F188&lt;0,"n.m.",F117/F188-1))</f>
        <v>-0.23819105452642386</v>
      </c>
      <c r="G118" s="30">
        <f>IF(G188=0,"n.a.",IF(G117*G188&lt;0,"n.m.",G117/G188-1))</f>
        <v>-0.49628510263191106</v>
      </c>
      <c r="H118" s="5"/>
    </row>
    <row r="119">
      <c r="A119" s="16" t="s">
        <v>66</v>
      </c>
      <c r="B119" s="1">
        <f>B117-E188</f>
        <v>-19.520000000000014</v>
      </c>
      <c r="C119" s="1">
        <f>C117-B117</f>
        <v>-26.165000000000006</v>
      </c>
      <c r="D119" s="1">
        <f>D117-C117</f>
        <v>34.667</v>
      </c>
      <c r="E119" s="1">
        <f>E117-D117</f>
        <v>-1.7020000000000053</v>
      </c>
      <c r="F119" s="1"/>
      <c r="G119" s="34">
        <f>G117-E117</f>
        <v>-18.622999999999998</v>
      </c>
      <c r="H119" s="5"/>
    </row>
    <row r="120">
      <c r="A120" s="7" t="s">
        <v>228</v>
      </c>
      <c r="B120" s="28">
        <f>B103+B117</f>
        <v>337.79199999999986</v>
      </c>
      <c r="C120" s="28">
        <f>C103+C117</f>
        <v>226.63199999999986</v>
      </c>
      <c r="D120" s="28">
        <f>D103+D117</f>
        <v>116.40000000000008</v>
      </c>
      <c r="E120" s="28">
        <f>E103+E117</f>
        <v>338.6000000000001</v>
      </c>
      <c r="F120" s="28">
        <f>F103+F117</f>
        <v>1019.4239999999994</v>
      </c>
      <c r="G120" s="19">
        <f>G103+G117</f>
        <v>350.8157059203561</v>
      </c>
      <c r="H120" s="5"/>
    </row>
    <row r="121">
      <c r="A121" s="66" t="s">
        <v>229</v>
      </c>
      <c r="B121" s="63">
        <v>337.792</v>
      </c>
      <c r="C121" s="63">
        <v>226.632</v>
      </c>
      <c r="D121" s="63">
        <v>116.4</v>
      </c>
      <c r="E121" s="63">
        <v>338.6</v>
      </c>
      <c r="F121" s="63">
        <v>1019.424</v>
      </c>
      <c r="G121" s="34" t="s">
        <v>117</v>
      </c>
      <c r="H121" s="5"/>
    </row>
    <row r="122">
      <c r="A122" s="66" t="s">
        <v>230</v>
      </c>
      <c r="B122" s="1">
        <f>ROUND(B120-B88,6)</f>
        <v>0</v>
      </c>
      <c r="C122" s="1">
        <f>ROUND(C120-C88,6)</f>
        <v>0</v>
      </c>
      <c r="D122" s="1">
        <f>ROUND(D120-D88,6)</f>
        <v>0</v>
      </c>
      <c r="E122" s="1">
        <f>ROUND(E120-E88,6)</f>
        <v>0</v>
      </c>
      <c r="F122" s="1">
        <f>ROUND(F120-F88,6)</f>
        <v>0</v>
      </c>
      <c r="G122" s="34" t="s">
        <v>45</v>
      </c>
      <c r="H122" s="5" t="s">
        <v>231</v>
      </c>
    </row>
    <row r="123">
      <c r="A123" s="66" t="s">
        <v>232</v>
      </c>
      <c r="B123" s="1">
        <f>ROUND(B120-B121,6)</f>
        <v>0</v>
      </c>
      <c r="C123" s="1">
        <f>ROUND(C120-C121,6)</f>
        <v>0</v>
      </c>
      <c r="D123" s="1">
        <f>ROUND(D120-D121,6)</f>
        <v>0</v>
      </c>
      <c r="E123" s="1">
        <f>ROUND(E120-E121,6)</f>
        <v>0</v>
      </c>
      <c r="F123" s="1">
        <f>ROUND(F120-F121,6)</f>
        <v>0</v>
      </c>
      <c r="G123" s="34" t="s">
        <v>45</v>
      </c>
      <c r="H123" s="5"/>
    </row>
    <row r="124">
      <c r="A124" s="4"/>
      <c r="B124" s="4"/>
      <c r="C124" s="4"/>
      <c r="D124" s="4"/>
      <c r="E124" s="4"/>
      <c r="F124" s="4"/>
      <c r="G124" s="39"/>
      <c r="H124" s="5"/>
    </row>
    <row r="125">
      <c r="A125" s="7" t="s">
        <v>233</v>
      </c>
      <c r="B125" s="4"/>
      <c r="C125" s="4"/>
      <c r="D125" s="4"/>
      <c r="E125" s="4"/>
      <c r="F125" s="4"/>
      <c r="G125" s="39"/>
      <c r="H125" s="5"/>
    </row>
    <row r="126">
      <c r="A126" s="27" t="s">
        <v>37</v>
      </c>
      <c r="B126" s="20">
        <f>B72</f>
        <v>1.77</v>
      </c>
      <c r="C126" s="20">
        <f>C72</f>
        <v>1.26</v>
      </c>
      <c r="D126" s="20">
        <f>D72</f>
        <v>0.4</v>
      </c>
      <c r="E126" s="20">
        <f>E72</f>
        <v>1.73</v>
      </c>
      <c r="F126" s="20">
        <f>F72</f>
        <v>5.17</v>
      </c>
      <c r="G126" s="78">
        <f>G72</f>
        <v>1.902906148305692</v>
      </c>
      <c r="H126" s="5"/>
    </row>
    <row r="127">
      <c r="A127" s="27" t="s">
        <v>130</v>
      </c>
      <c r="B127" s="62">
        <v>0.1</v>
      </c>
      <c r="C127" s="62">
        <v>0.05</v>
      </c>
      <c r="D127" s="62">
        <v>0.19</v>
      </c>
      <c r="E127" s="62">
        <v>0.13</v>
      </c>
      <c r="F127" s="62">
        <v>0.46</v>
      </c>
      <c r="G127" s="78">
        <f>(G104+G105+G106+G107+G108)*(1-G161)*(1-G163)/G70</f>
        <v>0.0718253955718441</v>
      </c>
      <c r="H127" s="5"/>
    </row>
    <row r="128">
      <c r="A128" s="27" t="s">
        <v>131</v>
      </c>
      <c r="B128" s="62">
        <v>0.04</v>
      </c>
      <c r="C128" s="62">
        <v>0.01</v>
      </c>
      <c r="D128" s="62">
        <v>0</v>
      </c>
      <c r="E128" s="62">
        <v>0</v>
      </c>
      <c r="F128" s="62">
        <v>0.05</v>
      </c>
      <c r="G128" s="78">
        <f>G109*(1-G161)*(1-G163)/G70</f>
        <v>0</v>
      </c>
      <c r="H128" s="5"/>
    </row>
    <row r="129">
      <c r="A129" s="27" t="s">
        <v>234</v>
      </c>
      <c r="B129" s="62">
        <v>0</v>
      </c>
      <c r="C129" s="62">
        <v>-0.1</v>
      </c>
      <c r="D129" s="62">
        <v>0</v>
      </c>
      <c r="E129" s="62">
        <v>-0.01</v>
      </c>
      <c r="F129" s="62">
        <v>-0.11</v>
      </c>
      <c r="G129" s="78">
        <f>(G111+G110)*(1-G161)*(1-G163)/G70</f>
        <v>0</v>
      </c>
      <c r="H129" s="5"/>
    </row>
    <row r="130">
      <c r="A130" s="27" t="s">
        <v>168</v>
      </c>
      <c r="B130" s="62">
        <v>0</v>
      </c>
      <c r="C130" s="62">
        <v>0</v>
      </c>
      <c r="D130" s="62">
        <v>0</v>
      </c>
      <c r="E130" s="62">
        <v>0.01</v>
      </c>
      <c r="F130" s="62">
        <v>0.01</v>
      </c>
      <c r="G130" s="78">
        <f>G114*(1-G161)*(1-G163)/G70</f>
        <v>0</v>
      </c>
      <c r="H130" s="5"/>
    </row>
    <row r="131">
      <c r="A131" s="27" t="s">
        <v>235</v>
      </c>
      <c r="B131" s="62">
        <v>0</v>
      </c>
      <c r="C131" s="62">
        <v>0</v>
      </c>
      <c r="D131" s="62">
        <v>0</v>
      </c>
      <c r="E131" s="62">
        <v>0.06</v>
      </c>
      <c r="F131" s="62">
        <v>0.06</v>
      </c>
      <c r="G131" s="78">
        <f>(G115+G113+G112)*(1-G161)*(1-G163)/G70</f>
        <v>0</v>
      </c>
      <c r="H131" s="5"/>
    </row>
    <row r="132">
      <c r="A132" s="27" t="s">
        <v>236</v>
      </c>
      <c r="B132" s="62">
        <v>-0.03</v>
      </c>
      <c r="C132" s="62">
        <v>-0.02</v>
      </c>
      <c r="D132" s="62">
        <v>-0.02</v>
      </c>
      <c r="E132" s="62">
        <v>-0.03</v>
      </c>
      <c r="F132" s="62">
        <v>-0.11</v>
      </c>
      <c r="G132" s="78">
        <f>-G160*(1-G161)*(1-G163)/G70</f>
        <v>0</v>
      </c>
      <c r="H132" s="5"/>
    </row>
    <row r="133">
      <c r="A133" s="27" t="s">
        <v>237</v>
      </c>
      <c r="B133" s="62">
        <v>0</v>
      </c>
      <c r="C133" s="62">
        <v>0</v>
      </c>
      <c r="D133" s="62">
        <v>0</v>
      </c>
      <c r="E133" s="62">
        <v>0</v>
      </c>
      <c r="F133" s="62">
        <v>0</v>
      </c>
      <c r="G133" s="69">
        <v>0</v>
      </c>
      <c r="H133" s="5"/>
    </row>
    <row r="134">
      <c r="A134" s="7" t="s">
        <v>238</v>
      </c>
      <c r="B134" s="76">
        <f>B126+B127+B128+B129+B130+B131+B132+B133</f>
        <v>1.8800000000000001</v>
      </c>
      <c r="C134" s="76">
        <f>C126+C127+C128+C129+C130+C131+C132+C133</f>
        <v>1.2</v>
      </c>
      <c r="D134" s="76">
        <f>D126+D127+D128+D129+D130+D131+D132+D133</f>
        <v>0.5700000000000001</v>
      </c>
      <c r="E134" s="76">
        <f>E126+E127+E128+E129+E130+E131+E132+E133</f>
        <v>1.89</v>
      </c>
      <c r="F134" s="76">
        <f>F126+F127+F128+F129+F130+F131+F132+F133</f>
        <v>5.5299999999999985</v>
      </c>
      <c r="G134" s="103">
        <f>G126+G127+G128+G129+G130+G131+G132+G133</f>
        <v>1.9747315438775361</v>
      </c>
      <c r="H134" s="5"/>
    </row>
    <row r="135">
      <c r="A135" s="66" t="s">
        <v>57</v>
      </c>
      <c r="B135" s="3">
        <f>IF(B193=0,"n.a.",B134/B193-1)</f>
        <v>0.021739130434782705</v>
      </c>
      <c r="C135" s="3">
        <f>IF(C193=0,"n.a.",C134/C193-1)</f>
        <v>-0.13669064748201432</v>
      </c>
      <c r="D135" s="3">
        <f>IF(D193=0,"n.a.",D134/D193-1)</f>
        <v>0.6285714285714288</v>
      </c>
      <c r="E135" s="3">
        <f>IF(E193=0,"n.a.",E134/E193-1)</f>
        <v>0.09883720930232553</v>
      </c>
      <c r="F135" s="3">
        <f>IF(F193=0,"n.a.",F134/F193-1)</f>
        <v>0.043396226415094</v>
      </c>
      <c r="G135" s="30">
        <f>IF(G193=0,"n.a.",G134/G193-1)</f>
        <v>0.05038911908379573</v>
      </c>
      <c r="H135" s="5"/>
    </row>
    <row r="136">
      <c r="A136" s="66" t="s">
        <v>202</v>
      </c>
      <c r="B136" s="81">
        <f>B134-E193</f>
        <v>0.16000000000000014</v>
      </c>
      <c r="C136" s="81">
        <f>C134-B134</f>
        <v>-0.6800000000000002</v>
      </c>
      <c r="D136" s="81">
        <f>D134-C134</f>
        <v>-0.6299999999999999</v>
      </c>
      <c r="E136" s="81">
        <f>E134-D134</f>
        <v>1.3199999999999998</v>
      </c>
      <c r="F136" s="81"/>
      <c r="G136" s="104">
        <f>G134-E134</f>
        <v>0.08473154387753623</v>
      </c>
      <c r="H136" s="5"/>
    </row>
    <row r="137">
      <c r="A137" s="66" t="s">
        <v>239</v>
      </c>
      <c r="B137" s="86">
        <v>1.88</v>
      </c>
      <c r="C137" s="86">
        <v>1.2</v>
      </c>
      <c r="D137" s="86">
        <v>0.57</v>
      </c>
      <c r="E137" s="86">
        <v>1.89</v>
      </c>
      <c r="F137" s="86">
        <v>5.53</v>
      </c>
      <c r="G137" s="104" t="s">
        <v>117</v>
      </c>
      <c r="H137" s="5"/>
    </row>
    <row r="138">
      <c r="A138" s="66" t="s">
        <v>240</v>
      </c>
      <c r="B138" s="81">
        <f>ROUND(B134-B137,6)</f>
        <v>0</v>
      </c>
      <c r="C138" s="81">
        <f>ROUND(C134-C137,6)</f>
        <v>0</v>
      </c>
      <c r="D138" s="81">
        <f>ROUND(D134-D137,6)</f>
        <v>0</v>
      </c>
      <c r="E138" s="81">
        <f>ROUND(E134-E137,6)</f>
        <v>0</v>
      </c>
      <c r="F138" s="81">
        <f>ROUND(F134-F137,6)</f>
        <v>0</v>
      </c>
      <c r="G138" s="104" t="s">
        <v>45</v>
      </c>
      <c r="H138" s="5" t="s">
        <v>241</v>
      </c>
    </row>
    <row r="139">
      <c r="A139" s="66" t="s">
        <v>242</v>
      </c>
      <c r="B139" s="84">
        <f>Inputs!D100</f>
        <v>1.88</v>
      </c>
      <c r="C139" s="84">
        <f>Inputs!D101</f>
        <v>1.2</v>
      </c>
      <c r="D139" s="84">
        <f>Inputs!D102</f>
        <v>0.57</v>
      </c>
      <c r="E139" s="84">
        <f>Inputs!D103</f>
        <v>1.89</v>
      </c>
      <c r="F139" s="81"/>
      <c r="G139" s="95">
        <f>Inputs!B106</f>
        <v>1.95</v>
      </c>
      <c r="H139" s="5" t="s">
        <v>243</v>
      </c>
    </row>
    <row r="140">
      <c r="A140" s="4"/>
      <c r="B140" s="4"/>
      <c r="C140" s="4"/>
      <c r="D140" s="4"/>
      <c r="E140" s="4"/>
      <c r="F140" s="4"/>
      <c r="G140" s="39"/>
      <c r="H140" s="5"/>
    </row>
    <row r="141">
      <c r="A141" s="7" t="s">
        <v>244</v>
      </c>
      <c r="B141" s="4"/>
      <c r="C141" s="4"/>
      <c r="D141" s="4"/>
      <c r="E141" s="4"/>
      <c r="F141" s="4"/>
      <c r="G141" s="39"/>
      <c r="H141" s="5"/>
    </row>
    <row r="142">
      <c r="A142" s="27" t="s">
        <v>211</v>
      </c>
      <c r="B142" s="13">
        <f>B88</f>
        <v>337.7919999999999</v>
      </c>
      <c r="C142" s="13">
        <f>C88</f>
        <v>226.63199999999998</v>
      </c>
      <c r="D142" s="13">
        <f>D88</f>
        <v>116.40000000000003</v>
      </c>
      <c r="E142" s="13">
        <f>E88</f>
        <v>338.6000000000001</v>
      </c>
      <c r="F142" s="13">
        <f>F88</f>
        <v>1019.424</v>
      </c>
      <c r="G142" s="26">
        <f>G88</f>
        <v>350.81570592035604</v>
      </c>
      <c r="H142" s="5"/>
    </row>
    <row r="143">
      <c r="A143" s="27" t="s">
        <v>245</v>
      </c>
      <c r="B143" s="13">
        <f>-B40</f>
        <v>-29.326</v>
      </c>
      <c r="C143" s="13">
        <f>-C40</f>
        <v>-28.005</v>
      </c>
      <c r="D143" s="13">
        <f>-D40</f>
        <v>-26.947</v>
      </c>
      <c r="E143" s="13">
        <f>-E40</f>
        <v>-27.266</v>
      </c>
      <c r="F143" s="13">
        <f>-F40</f>
        <v>-111.544</v>
      </c>
      <c r="G143" s="26">
        <f>-G40</f>
        <v>-27</v>
      </c>
      <c r="H143" s="5"/>
    </row>
    <row r="144">
      <c r="A144" s="27" t="s">
        <v>246</v>
      </c>
      <c r="B144" s="13">
        <f>B151-B88+B40</f>
        <v>7.733786911920312</v>
      </c>
      <c r="C144" s="13">
        <f>C151-C88+C40</f>
        <v>2.7506196450409313</v>
      </c>
      <c r="D144" s="13">
        <f>D151-D88+D40</f>
        <v>8.997132134454883</v>
      </c>
      <c r="E144" s="13">
        <f>E151-E88+E40</f>
        <v>6.810820394834174</v>
      </c>
      <c r="F144" s="13">
        <f>F151-F88+F40</f>
        <v>26.292359086250272</v>
      </c>
      <c r="G144" s="26">
        <f>G159</f>
        <v>6.5</v>
      </c>
      <c r="H144" s="5" t="s">
        <v>247</v>
      </c>
    </row>
    <row r="145">
      <c r="A145" s="7" t="s">
        <v>248</v>
      </c>
      <c r="B145" s="28">
        <f>B142+B143+B144</f>
        <v>316.1997869119202</v>
      </c>
      <c r="C145" s="28">
        <f>C142+C143+C144</f>
        <v>201.3776196450409</v>
      </c>
      <c r="D145" s="28">
        <f>D142+D143+D144</f>
        <v>98.45013213445492</v>
      </c>
      <c r="E145" s="28">
        <f>E142+E143+E144</f>
        <v>318.14482039483426</v>
      </c>
      <c r="F145" s="28">
        <f>F142+F143+F144</f>
        <v>934.1723590862503</v>
      </c>
      <c r="G145" s="19">
        <f>G142+G143+G144</f>
        <v>330.31570592035604</v>
      </c>
      <c r="H145" s="5"/>
    </row>
    <row r="146">
      <c r="A146" s="27" t="s">
        <v>249</v>
      </c>
      <c r="B146" s="13">
        <f>-B145*B54</f>
        <v>-74.48301254407926</v>
      </c>
      <c r="C146" s="13">
        <f>-C145*C54</f>
        <v>-47.26377924804889</v>
      </c>
      <c r="D146" s="13">
        <f>-D145*D54</f>
        <v>-25.132788720546394</v>
      </c>
      <c r="E146" s="13">
        <f>-E145*E54</f>
        <v>-76.74499751475403</v>
      </c>
      <c r="F146" s="13">
        <f>SUM(B146:E146)</f>
        <v>-223.62457802742858</v>
      </c>
      <c r="G146" s="26">
        <f>-G145*G54</f>
        <v>-78.61513800904473</v>
      </c>
      <c r="H146" s="5"/>
    </row>
    <row r="147">
      <c r="A147" s="27" t="s">
        <v>194</v>
      </c>
      <c r="B147" s="13">
        <f>-B58</f>
        <v>-0.235</v>
      </c>
      <c r="C147" s="13">
        <f>-C58</f>
        <v>-0.267</v>
      </c>
      <c r="D147" s="13">
        <f>-D58</f>
        <v>-0.25</v>
      </c>
      <c r="E147" s="13">
        <f>-E58</f>
        <v>-0.339</v>
      </c>
      <c r="F147" s="13">
        <f>-F58</f>
        <v>-1.091</v>
      </c>
      <c r="G147" s="26">
        <f>-G58</f>
        <v>-0.3</v>
      </c>
      <c r="H147" s="5"/>
    </row>
    <row r="148">
      <c r="A148" s="7" t="s">
        <v>250</v>
      </c>
      <c r="B148" s="28">
        <f>B137*B70/(1-B163)</f>
        <v>241.48177436784093</v>
      </c>
      <c r="C148" s="28">
        <f>C137*C70/(1-C163)</f>
        <v>153.84684039699204</v>
      </c>
      <c r="D148" s="28">
        <f>D137*D70/(1-D163)</f>
        <v>73.06734341390852</v>
      </c>
      <c r="E148" s="28">
        <f>E137*E70/(1-E163)</f>
        <v>241.06082288008025</v>
      </c>
      <c r="F148" s="28">
        <f>SUM(B148:E148)</f>
        <v>709.4567810588217</v>
      </c>
      <c r="G148" s="19">
        <f>G145+G146+G147</f>
        <v>251.4005679113113</v>
      </c>
      <c r="H148" s="5" t="s">
        <v>251</v>
      </c>
    </row>
    <row r="149">
      <c r="A149" s="66" t="s">
        <v>252</v>
      </c>
      <c r="B149" s="3"/>
      <c r="C149" s="3"/>
      <c r="D149" s="3"/>
      <c r="E149" s="3"/>
      <c r="F149" s="3"/>
      <c r="G149" s="30">
        <f>G148/B148-1</f>
        <v>0.04107470872050745</v>
      </c>
      <c r="H149" s="5"/>
    </row>
    <row r="150">
      <c r="A150" s="7" t="s">
        <v>253</v>
      </c>
      <c r="B150" s="76">
        <f>B148*(1-B163)/B70</f>
        <v>1.88</v>
      </c>
      <c r="C150" s="76">
        <f>C148*(1-C163)/C70</f>
        <v>1.2</v>
      </c>
      <c r="D150" s="76">
        <f>D148*(1-D163)/D70</f>
        <v>0.57</v>
      </c>
      <c r="E150" s="76">
        <f>E148*(1-E163)/E70</f>
        <v>1.89</v>
      </c>
      <c r="F150" s="76">
        <f>(B148*(1-B163)+C148*(1-C163)+D148*(1-D163)+E148*(1-E163))/F70</f>
        <v>5.5397784467754825</v>
      </c>
      <c r="G150" s="103">
        <f>G148*(1-G163)/G70</f>
        <v>1.974731543877536</v>
      </c>
      <c r="H150" s="5" t="s">
        <v>254</v>
      </c>
    </row>
    <row r="151">
      <c r="A151" s="66" t="s">
        <v>255</v>
      </c>
      <c r="B151" s="1">
        <f>(B137*B70/(1-B163)+B58)/(1-B54)</f>
        <v>316.1997869119202</v>
      </c>
      <c r="C151" s="1">
        <f>(C137*C70/(1-C163)+C58)/(1-C54)</f>
        <v>201.3776196450409</v>
      </c>
      <c r="D151" s="1">
        <f>(D137*D70/(1-D163)+D58)/(1-D54)</f>
        <v>98.45013213445492</v>
      </c>
      <c r="E151" s="1">
        <f>(E137*E70/(1-E163)+E58)/(1-E54)</f>
        <v>318.14482039483426</v>
      </c>
      <c r="F151" s="1">
        <f>SUM(B151:E151)</f>
        <v>934.1723590862503</v>
      </c>
      <c r="G151" s="34"/>
      <c r="H151" s="5"/>
    </row>
    <row r="152">
      <c r="A152" s="4"/>
      <c r="B152" s="4"/>
      <c r="C152" s="4"/>
      <c r="D152" s="4"/>
      <c r="E152" s="4"/>
      <c r="F152" s="4"/>
      <c r="G152" s="39"/>
      <c r="H152" s="5"/>
    </row>
    <row r="153">
      <c r="A153" s="7" t="s">
        <v>256</v>
      </c>
      <c r="B153" s="4"/>
      <c r="C153" s="4"/>
      <c r="D153" s="4"/>
      <c r="E153" s="4"/>
      <c r="F153" s="4"/>
      <c r="G153" s="39"/>
      <c r="H153" s="5"/>
    </row>
    <row r="154">
      <c r="A154" s="66" t="s">
        <v>120</v>
      </c>
      <c r="B154" s="3"/>
      <c r="C154" s="3"/>
      <c r="D154" s="3"/>
      <c r="E154" s="3"/>
      <c r="F154" s="3"/>
      <c r="G154" s="82">
        <v>0.419</v>
      </c>
      <c r="H154" s="5" t="s">
        <v>257</v>
      </c>
    </row>
    <row r="155">
      <c r="A155" s="27" t="s">
        <v>258</v>
      </c>
      <c r="B155" s="13"/>
      <c r="C155" s="13"/>
      <c r="D155" s="13"/>
      <c r="E155" s="13"/>
      <c r="F155" s="13"/>
      <c r="G155" s="59">
        <v>4</v>
      </c>
      <c r="H155" s="5" t="s">
        <v>259</v>
      </c>
    </row>
    <row r="156">
      <c r="A156" s="27" t="s">
        <v>260</v>
      </c>
      <c r="B156" s="13"/>
      <c r="C156" s="13"/>
      <c r="D156" s="13"/>
      <c r="E156" s="13"/>
      <c r="F156" s="13"/>
      <c r="G156" s="59">
        <v>-3</v>
      </c>
      <c r="H156" s="5" t="s">
        <v>261</v>
      </c>
    </row>
    <row r="157">
      <c r="A157" s="27" t="s">
        <v>262</v>
      </c>
      <c r="B157" s="13"/>
      <c r="C157" s="13"/>
      <c r="D157" s="13"/>
      <c r="E157" s="13"/>
      <c r="F157" s="13"/>
      <c r="G157" s="59">
        <v>-42</v>
      </c>
      <c r="H157" s="5" t="s">
        <v>263</v>
      </c>
    </row>
    <row r="158">
      <c r="A158" s="27" t="s">
        <v>264</v>
      </c>
      <c r="B158" s="13"/>
      <c r="C158" s="13"/>
      <c r="D158" s="13"/>
      <c r="E158" s="13"/>
      <c r="F158" s="13"/>
      <c r="G158" s="59">
        <v>27</v>
      </c>
      <c r="H158" s="5" t="s">
        <v>265</v>
      </c>
    </row>
    <row r="159">
      <c r="A159" s="27" t="s">
        <v>266</v>
      </c>
      <c r="B159" s="13"/>
      <c r="C159" s="13"/>
      <c r="D159" s="13"/>
      <c r="E159" s="13"/>
      <c r="F159" s="13"/>
      <c r="G159" s="59">
        <v>6.5</v>
      </c>
      <c r="H159" s="5" t="s">
        <v>267</v>
      </c>
    </row>
    <row r="160">
      <c r="A160" s="27" t="s">
        <v>268</v>
      </c>
      <c r="B160" s="13"/>
      <c r="C160" s="13"/>
      <c r="D160" s="13"/>
      <c r="E160" s="13"/>
      <c r="F160" s="13"/>
      <c r="G160" s="59">
        <v>0</v>
      </c>
      <c r="H160" s="5" t="s">
        <v>269</v>
      </c>
    </row>
    <row r="161">
      <c r="A161" s="66" t="s">
        <v>192</v>
      </c>
      <c r="B161" s="3"/>
      <c r="C161" s="3"/>
      <c r="D161" s="3"/>
      <c r="E161" s="3"/>
      <c r="F161" s="3"/>
      <c r="G161" s="82">
        <v>0.238</v>
      </c>
      <c r="H161" s="5" t="s">
        <v>270</v>
      </c>
    </row>
    <row r="162">
      <c r="A162" s="27" t="s">
        <v>271</v>
      </c>
      <c r="B162" s="13"/>
      <c r="C162" s="13"/>
      <c r="D162" s="13"/>
      <c r="E162" s="13"/>
      <c r="F162" s="13"/>
      <c r="G162" s="59">
        <v>0.3</v>
      </c>
      <c r="H162" s="5" t="s">
        <v>272</v>
      </c>
    </row>
    <row r="163">
      <c r="A163" s="66" t="s">
        <v>273</v>
      </c>
      <c r="B163" s="113">
        <v>0.0038751345532831</v>
      </c>
      <c r="C163" s="113">
        <v>0.004342243202838586</v>
      </c>
      <c r="D163" s="113">
        <v>0.0053150066194221635</v>
      </c>
      <c r="E163" s="113">
        <v>0.0035</v>
      </c>
      <c r="F163" s="122">
        <f>1-F150*F70/F148</f>
        <v>0.003997256964109019</v>
      </c>
      <c r="G163" s="121">
        <v>0.0035</v>
      </c>
      <c r="H163" s="5" t="s">
        <v>274</v>
      </c>
    </row>
    <row r="164">
      <c r="A164" s="27" t="s">
        <v>275</v>
      </c>
      <c r="B164" s="13"/>
      <c r="C164" s="13"/>
      <c r="D164" s="13"/>
      <c r="E164" s="13"/>
      <c r="F164" s="13"/>
      <c r="G164" s="59">
        <v>2.5</v>
      </c>
      <c r="H164" s="5" t="s">
        <v>276</v>
      </c>
    </row>
    <row r="165">
      <c r="A165" s="27" t="s">
        <v>277</v>
      </c>
      <c r="B165" s="13"/>
      <c r="C165" s="13"/>
      <c r="D165" s="13"/>
      <c r="E165" s="13"/>
      <c r="F165" s="13"/>
      <c r="G165" s="59">
        <v>3.5</v>
      </c>
      <c r="H165" s="5" t="s">
        <v>278</v>
      </c>
    </row>
    <row r="166">
      <c r="A166" s="27" t="s">
        <v>279</v>
      </c>
      <c r="B166" s="13"/>
      <c r="C166" s="13"/>
      <c r="D166" s="13"/>
      <c r="E166" s="13"/>
      <c r="F166" s="13"/>
      <c r="G166" s="59">
        <v>3</v>
      </c>
      <c r="H166" s="5" t="s">
        <v>280</v>
      </c>
    </row>
    <row r="167">
      <c r="A167" s="27" t="s">
        <v>281</v>
      </c>
      <c r="B167" s="13"/>
      <c r="C167" s="13"/>
      <c r="D167" s="13"/>
      <c r="E167" s="13"/>
      <c r="F167" s="13"/>
      <c r="G167" s="59">
        <v>3</v>
      </c>
      <c r="H167" s="5" t="s">
        <v>282</v>
      </c>
    </row>
    <row r="168">
      <c r="A168" s="27" t="s">
        <v>283</v>
      </c>
      <c r="B168" s="13"/>
      <c r="C168" s="13"/>
      <c r="D168" s="13"/>
      <c r="E168" s="13"/>
      <c r="F168" s="13"/>
      <c r="G168" s="59">
        <v>0</v>
      </c>
      <c r="H168" s="5" t="s">
        <v>284</v>
      </c>
    </row>
    <row r="169">
      <c r="A169" s="4"/>
      <c r="B169" s="4"/>
      <c r="C169" s="4"/>
      <c r="D169" s="4"/>
      <c r="E169" s="4"/>
      <c r="F169" s="4"/>
      <c r="G169" s="39"/>
      <c r="H169" s="5"/>
    </row>
    <row r="170">
      <c r="A170" s="7" t="s">
        <v>285</v>
      </c>
      <c r="B170" s="4"/>
      <c r="C170" s="4"/>
      <c r="D170" s="4"/>
      <c r="E170" s="4"/>
      <c r="F170" s="4"/>
      <c r="G170" s="39"/>
      <c r="H170" s="5"/>
    </row>
    <row r="171">
      <c r="A171" s="27" t="s">
        <v>143</v>
      </c>
      <c r="B171" s="17">
        <v>1968.789</v>
      </c>
      <c r="C171" s="17">
        <v>1845.318</v>
      </c>
      <c r="D171" s="17">
        <v>1476.562</v>
      </c>
      <c r="E171" s="17">
        <v>2081.975</v>
      </c>
      <c r="F171" s="17">
        <v>7372.644</v>
      </c>
      <c r="G171" s="26">
        <f>B9</f>
        <v>2113.743</v>
      </c>
      <c r="H171" s="5"/>
    </row>
    <row r="172">
      <c r="A172" s="27" t="s">
        <v>154</v>
      </c>
      <c r="B172" s="17">
        <v>1132.116</v>
      </c>
      <c r="C172" s="17">
        <v>1080.774</v>
      </c>
      <c r="D172" s="17">
        <v>909.072</v>
      </c>
      <c r="E172" s="17">
        <v>1200.204</v>
      </c>
      <c r="F172" s="17">
        <v>4322.166</v>
      </c>
      <c r="G172" s="26">
        <f>B12</f>
        <v>1220.527</v>
      </c>
      <c r="H172" s="5"/>
    </row>
    <row r="173">
      <c r="A173" s="27" t="s">
        <v>286</v>
      </c>
      <c r="B173" s="13">
        <f>B171-B172</f>
        <v>836.673</v>
      </c>
      <c r="C173" s="13">
        <f>C171-C172</f>
        <v>764.5440000000001</v>
      </c>
      <c r="D173" s="13">
        <f>D171-D172</f>
        <v>567.4899999999999</v>
      </c>
      <c r="E173" s="13">
        <f>E171-E172</f>
        <v>881.771</v>
      </c>
      <c r="F173" s="13">
        <f>F171-F172</f>
        <v>3050.478</v>
      </c>
      <c r="G173" s="26">
        <f>G171-G172</f>
        <v>893.2159999999999</v>
      </c>
      <c r="H173" s="5"/>
    </row>
    <row r="174">
      <c r="A174" s="16" t="s">
        <v>155</v>
      </c>
      <c r="B174" s="3">
        <f>B173/B171</f>
        <v>0.42496834348424334</v>
      </c>
      <c r="C174" s="3">
        <f>C173/C171</f>
        <v>0.4143155813794696</v>
      </c>
      <c r="D174" s="3">
        <f>D173/D171</f>
        <v>0.38433198199601504</v>
      </c>
      <c r="E174" s="3">
        <f>E173/E171</f>
        <v>0.42352621909484983</v>
      </c>
      <c r="F174" s="3">
        <f>F173/F171</f>
        <v>0.4137563132032416</v>
      </c>
      <c r="G174" s="30">
        <f>G173/G171</f>
        <v>0.4225754975888743</v>
      </c>
      <c r="H174" s="5"/>
    </row>
    <row r="175">
      <c r="A175" s="27" t="s">
        <v>156</v>
      </c>
      <c r="B175" s="17">
        <v>526.146</v>
      </c>
      <c r="C175" s="17">
        <v>529.836</v>
      </c>
      <c r="D175" s="17">
        <v>501.71</v>
      </c>
      <c r="E175" s="17">
        <v>592.845</v>
      </c>
      <c r="F175" s="17">
        <v>2150.537</v>
      </c>
      <c r="G175" s="26">
        <f>B21</f>
        <v>573.534</v>
      </c>
      <c r="H175" s="5"/>
    </row>
    <row r="176">
      <c r="A176" s="16" t="s">
        <v>157</v>
      </c>
      <c r="B176" s="3">
        <f>B175/B171</f>
        <v>0.2672434679389208</v>
      </c>
      <c r="C176" s="3">
        <f>C175/C171</f>
        <v>0.2871244956153899</v>
      </c>
      <c r="D176" s="3">
        <f>D175/D171</f>
        <v>0.3397825489210748</v>
      </c>
      <c r="E176" s="3">
        <f>E175/E171</f>
        <v>0.28475125782009875</v>
      </c>
      <c r="F176" s="3">
        <f>F175/F171</f>
        <v>0.2916914203371273</v>
      </c>
      <c r="G176" s="30">
        <f>G175/G171</f>
        <v>0.27133573002962047</v>
      </c>
      <c r="H176" s="5"/>
    </row>
    <row r="177">
      <c r="A177" s="27" t="s">
        <v>287</v>
      </c>
      <c r="B177" s="17">
        <v>303.859</v>
      </c>
      <c r="C177" s="17">
        <v>227.633</v>
      </c>
      <c r="D177" s="17">
        <v>62.678</v>
      </c>
      <c r="E177" s="17">
        <v>271.034</v>
      </c>
      <c r="F177" s="17">
        <v>865.204</v>
      </c>
      <c r="G177" s="26">
        <f>B34</f>
        <v>313.9689999999999</v>
      </c>
      <c r="H177" s="5"/>
    </row>
    <row r="178">
      <c r="A178" s="27" t="s">
        <v>288</v>
      </c>
      <c r="B178" s="17">
        <v>290.451</v>
      </c>
      <c r="C178" s="17">
        <v>212.982</v>
      </c>
      <c r="D178" s="17">
        <v>40.951</v>
      </c>
      <c r="E178" s="17">
        <v>248.376</v>
      </c>
      <c r="F178" s="17">
        <v>792.76</v>
      </c>
      <c r="G178" s="26">
        <f>B46</f>
        <v>298.04699999999985</v>
      </c>
      <c r="H178" s="5"/>
    </row>
    <row r="179">
      <c r="A179" s="27" t="s">
        <v>289</v>
      </c>
      <c r="B179" s="17">
        <v>61.897</v>
      </c>
      <c r="C179" s="17">
        <v>29.532</v>
      </c>
      <c r="D179" s="17">
        <v>-11.363</v>
      </c>
      <c r="E179" s="17">
        <v>22.367</v>
      </c>
      <c r="F179" s="17">
        <v>102.433</v>
      </c>
      <c r="G179" s="26">
        <f>B51</f>
        <v>70.207</v>
      </c>
      <c r="H179" s="5"/>
    </row>
    <row r="180">
      <c r="A180" s="27" t="s">
        <v>290</v>
      </c>
      <c r="B180" s="17">
        <v>7.202</v>
      </c>
      <c r="C180" s="17">
        <v>7.557</v>
      </c>
      <c r="D180" s="17">
        <v>3.456</v>
      </c>
      <c r="E180" s="17">
        <v>6.764</v>
      </c>
      <c r="F180" s="17">
        <v>24.979</v>
      </c>
      <c r="G180" s="26">
        <f>B27</f>
        <v>8.814</v>
      </c>
      <c r="H180" s="5"/>
    </row>
    <row r="181">
      <c r="A181" s="27" t="s">
        <v>291</v>
      </c>
      <c r="B181" s="17">
        <v>-0.534</v>
      </c>
      <c r="C181" s="17">
        <v>-0.482</v>
      </c>
      <c r="D181" s="17">
        <v>-0.354</v>
      </c>
      <c r="E181" s="17">
        <v>-0.224</v>
      </c>
      <c r="F181" s="17">
        <v>-1.594</v>
      </c>
      <c r="G181" s="26">
        <f>B31</f>
        <v>-3.101</v>
      </c>
      <c r="H181" s="5"/>
    </row>
    <row r="182">
      <c r="A182" s="27" t="s">
        <v>292</v>
      </c>
      <c r="B182" s="17">
        <v>24.434</v>
      </c>
      <c r="C182" s="17">
        <v>23.177</v>
      </c>
      <c r="D182" s="17">
        <v>22.993</v>
      </c>
      <c r="E182" s="17">
        <v>25.939</v>
      </c>
      <c r="F182" s="17">
        <v>96.543</v>
      </c>
      <c r="G182" s="26">
        <f>B40</f>
        <v>29.326</v>
      </c>
      <c r="H182" s="5"/>
    </row>
    <row r="183">
      <c r="A183" s="27" t="s">
        <v>293</v>
      </c>
      <c r="B183" s="17">
        <v>-11.026</v>
      </c>
      <c r="C183" s="17">
        <v>-8.526</v>
      </c>
      <c r="D183" s="17">
        <v>-1.266</v>
      </c>
      <c r="E183" s="17">
        <v>-3.281</v>
      </c>
      <c r="F183" s="17">
        <v>-24.099</v>
      </c>
      <c r="G183" s="26">
        <f>B43</f>
        <v>-13.404</v>
      </c>
      <c r="H183" s="5"/>
    </row>
    <row r="184">
      <c r="A184" s="27" t="s">
        <v>294</v>
      </c>
      <c r="B184" s="17">
        <v>0.862</v>
      </c>
      <c r="C184" s="17">
        <v>0.246</v>
      </c>
      <c r="D184" s="17">
        <v>0.28</v>
      </c>
      <c r="E184" s="17">
        <v>0.251</v>
      </c>
      <c r="F184" s="17">
        <v>1.639</v>
      </c>
      <c r="G184" s="26">
        <f>B58</f>
        <v>0.235</v>
      </c>
      <c r="H184" s="5"/>
    </row>
    <row r="185">
      <c r="A185" s="27" t="s">
        <v>295</v>
      </c>
      <c r="B185" s="17">
        <v>-30.48</v>
      </c>
      <c r="C185" s="17">
        <v>-34.707</v>
      </c>
      <c r="D185" s="17">
        <v>-39.183</v>
      </c>
      <c r="E185" s="17">
        <v>-35.354</v>
      </c>
      <c r="F185" s="17">
        <v>-139.724</v>
      </c>
      <c r="G185" s="26">
        <f>B85</f>
        <v>-38.175</v>
      </c>
      <c r="H185" s="5"/>
    </row>
    <row r="186">
      <c r="A186" s="27" t="s">
        <v>161</v>
      </c>
      <c r="B186" s="17">
        <v>328.342</v>
      </c>
      <c r="C186" s="17">
        <v>255.076</v>
      </c>
      <c r="D186" s="17">
        <v>78.236</v>
      </c>
      <c r="E186" s="17">
        <v>314.377</v>
      </c>
      <c r="F186" s="17">
        <v>976.031</v>
      </c>
      <c r="G186" s="26">
        <f>B88</f>
        <v>337.7919999999999</v>
      </c>
      <c r="H186" s="5"/>
    </row>
    <row r="187">
      <c r="A187" s="16" t="s">
        <v>162</v>
      </c>
      <c r="B187" s="3">
        <f>B186/B171</f>
        <v>0.1667735851835824</v>
      </c>
      <c r="C187" s="3">
        <f>C186/C171</f>
        <v>0.13822874973310834</v>
      </c>
      <c r="D187" s="3">
        <f>D186/D171</f>
        <v>0.05298524545532122</v>
      </c>
      <c r="E187" s="3">
        <f>E186/E171</f>
        <v>0.1509994116163739</v>
      </c>
      <c r="F187" s="3">
        <f>F186/F171</f>
        <v>0.13238547799134204</v>
      </c>
      <c r="G187" s="30">
        <f>G186/G171</f>
        <v>0.15980750734597343</v>
      </c>
      <c r="H187" s="5"/>
    </row>
    <row r="188">
      <c r="A188" s="27" t="s">
        <v>296</v>
      </c>
      <c r="B188" s="13">
        <f>B186-B177</f>
        <v>24.483000000000004</v>
      </c>
      <c r="C188" s="13">
        <f>C186-C177</f>
        <v>27.442999999999984</v>
      </c>
      <c r="D188" s="13">
        <f>D186-D177</f>
        <v>15.558000000000007</v>
      </c>
      <c r="E188" s="13">
        <f>E186-E177</f>
        <v>43.34300000000002</v>
      </c>
      <c r="F188" s="13">
        <f>F186-F177</f>
        <v>110.827</v>
      </c>
      <c r="G188" s="26">
        <f>G186-G177</f>
        <v>23.823000000000036</v>
      </c>
      <c r="H188" s="5"/>
    </row>
    <row r="189">
      <c r="A189" s="27" t="s">
        <v>297</v>
      </c>
      <c r="B189" s="9">
        <f>'Cash Flow Statement'!B115</f>
        <v>46.185</v>
      </c>
      <c r="C189" s="9">
        <f>'Cash Flow Statement'!C115</f>
        <v>46.55799999999999</v>
      </c>
      <c r="D189" s="9">
        <f>'Cash Flow Statement'!D115</f>
        <v>47.34900000000002</v>
      </c>
      <c r="E189" s="9">
        <f>'Cash Flow Statement'!E115</f>
        <v>53.74799999999999</v>
      </c>
      <c r="F189" s="9">
        <f>'Cash Flow Statement'!F115</f>
        <v>193.84</v>
      </c>
      <c r="G189" s="10">
        <f>'Cash Flow Statement'!G115</f>
        <v>51.464</v>
      </c>
      <c r="H189" s="5"/>
    </row>
    <row r="190">
      <c r="A190" s="27" t="s">
        <v>298</v>
      </c>
      <c r="B190" s="13">
        <f>B186+B189</f>
        <v>374.527</v>
      </c>
      <c r="C190" s="13">
        <f>C186+C189</f>
        <v>301.634</v>
      </c>
      <c r="D190" s="13">
        <f>D186+D189</f>
        <v>125.58500000000002</v>
      </c>
      <c r="E190" s="13">
        <f>E186+E189</f>
        <v>368.125</v>
      </c>
      <c r="F190" s="13">
        <f>F186+F189</f>
        <v>1169.8709999999999</v>
      </c>
      <c r="G190" s="26">
        <f>G186+G189</f>
        <v>389.2559999999999</v>
      </c>
      <c r="H190" s="5"/>
    </row>
    <row r="191">
      <c r="A191" s="27" t="s">
        <v>299</v>
      </c>
      <c r="B191" s="17">
        <v>227.692</v>
      </c>
      <c r="C191" s="17">
        <v>183.204</v>
      </c>
      <c r="D191" s="17">
        <v>52.034</v>
      </c>
      <c r="E191" s="17">
        <v>225.758</v>
      </c>
      <c r="F191" s="17">
        <v>688.688</v>
      </c>
      <c r="G191" s="26">
        <f>B61</f>
        <v>227.60499999999985</v>
      </c>
      <c r="H191" s="5"/>
    </row>
    <row r="192">
      <c r="A192" s="27" t="s">
        <v>300</v>
      </c>
      <c r="B192" s="62">
        <v>1.77</v>
      </c>
      <c r="C192" s="62">
        <v>1.42</v>
      </c>
      <c r="D192" s="62">
        <v>0.4</v>
      </c>
      <c r="E192" s="62">
        <v>1.76</v>
      </c>
      <c r="F192" s="62">
        <v>5.35</v>
      </c>
      <c r="G192" s="78">
        <f>B72</f>
        <v>1.77</v>
      </c>
      <c r="H192" s="5"/>
    </row>
    <row r="193">
      <c r="A193" s="27" t="s">
        <v>301</v>
      </c>
      <c r="B193" s="62">
        <v>1.84</v>
      </c>
      <c r="C193" s="62">
        <v>1.39</v>
      </c>
      <c r="D193" s="62">
        <v>0.35</v>
      </c>
      <c r="E193" s="62">
        <v>1.72</v>
      </c>
      <c r="F193" s="62">
        <v>5.3</v>
      </c>
      <c r="G193" s="78">
        <f>B134</f>
        <v>1.8800000000000001</v>
      </c>
      <c r="H193" s="5"/>
    </row>
    <row r="194">
      <c r="A194" s="4"/>
      <c r="B194" s="4"/>
      <c r="C194" s="4"/>
      <c r="D194" s="4"/>
      <c r="E194" s="4"/>
      <c r="F194" s="4"/>
      <c r="G194" s="39"/>
      <c r="H194" s="5"/>
    </row>
    <row r="195">
      <c r="A195" s="7" t="s">
        <v>302</v>
      </c>
      <c r="B195" s="4"/>
      <c r="C195" s="4"/>
      <c r="D195" s="4"/>
      <c r="E195" s="4"/>
      <c r="F195" s="4"/>
      <c r="G195" s="39"/>
      <c r="H195" s="5"/>
    </row>
    <row r="196">
      <c r="A196" s="5" t="s">
        <v>303</v>
      </c>
      <c r="B196" s="1"/>
      <c r="C196" s="1"/>
      <c r="D196" s="1"/>
      <c r="E196" s="1"/>
      <c r="F196" s="1">
        <f>ROUND(F9-SUM(B9:E9),6)</f>
        <v>0</v>
      </c>
      <c r="G196" s="34"/>
      <c r="H196" s="5"/>
    </row>
    <row r="197">
      <c r="A197" s="5" t="s">
        <v>304</v>
      </c>
      <c r="B197" s="1"/>
      <c r="C197" s="1"/>
      <c r="D197" s="1"/>
      <c r="E197" s="1"/>
      <c r="F197" s="1">
        <f>ROUND(F61-SUM(B61:E61),6)</f>
        <v>0</v>
      </c>
      <c r="G197" s="34"/>
      <c r="H197" s="5"/>
    </row>
    <row r="198">
      <c r="A198" s="5" t="s">
        <v>305</v>
      </c>
      <c r="B198" s="1"/>
      <c r="C198" s="1"/>
      <c r="D198" s="1"/>
      <c r="E198" s="1"/>
      <c r="F198" s="1">
        <f>ROUND(F88-SUM(B88:E88),6)</f>
        <v>0</v>
      </c>
      <c r="G198" s="34"/>
      <c r="H198" s="5"/>
    </row>
    <row r="199">
      <c r="A199" s="5" t="s">
        <v>306</v>
      </c>
      <c r="B199" s="84">
        <f>Inputs!D100-B137</f>
        <v>0</v>
      </c>
      <c r="C199" s="84">
        <f>Inputs!D101-C137</f>
        <v>0</v>
      </c>
      <c r="D199" s="84">
        <f>Inputs!D102-D137</f>
        <v>0</v>
      </c>
      <c r="E199" s="84">
        <f>Inputs!D103-E137</f>
        <v>0</v>
      </c>
      <c r="F199" s="81"/>
      <c r="G199" s="104"/>
      <c r="H199" s="5" t="s">
        <v>307</v>
      </c>
    </row>
    <row r="200">
      <c r="A200" s="5" t="s">
        <v>308</v>
      </c>
      <c r="B200" s="40">
        <f>ROUND(Inputs!H100-B9,6)</f>
        <v>-0.003</v>
      </c>
      <c r="C200" s="40">
        <f>ROUND(Inputs!H101-C9,6)</f>
        <v>0.005</v>
      </c>
      <c r="D200" s="40">
        <f>ROUND(Inputs!H102-D9,6)</f>
        <v>0.001</v>
      </c>
      <c r="E200" s="40">
        <f>ROUND(Inputs!H103-E9,6)</f>
        <v>0.005</v>
      </c>
      <c r="F200" s="1"/>
      <c r="G200" s="34"/>
      <c r="H200" s="5"/>
    </row>
    <row r="201">
      <c r="A201" s="7" t="s">
        <v>309</v>
      </c>
      <c r="B201" s="43"/>
      <c r="C201" s="43"/>
      <c r="D201" s="43"/>
      <c r="E201" s="43"/>
      <c r="F201" s="43"/>
      <c r="G201" s="58" t="b">
        <f>AND(MAX(ABS(B50),ABS(C50),ABS(D50),ABS(E50),ABS(F50))&lt;0.001,MAX(ABS(B68),ABS(C68),ABS(D68),ABS(E68),ABS(F68))&lt;0.001,AND(B79,C79,D79,E79,F79),MAX(ABS(B122),ABS(C122),ABS(D122),ABS(E122),ABS(F122))&lt;0.001,MAX(ABS(B123),ABS(C123),ABS(D123),ABS(E123),ABS(F123))&lt;0.001,MAX(ABS(B138),ABS(C138),ABS(D138),ABS(E138),ABS(F138))&lt;0.001,ABS(F196)&lt;0.001,ABS(F197)&lt;0.001,ABS(F198)&lt;0.001,MAX(ABS(B199),ABS(C199),ABS(D199),ABS(E199))&lt;0.001)</f>
        <v>1</v>
      </c>
      <c r="H201" s="5"/>
    </row>
    <row r="202">
      <c r="A202" s="4"/>
      <c r="B202" s="4"/>
      <c r="C202" s="4"/>
      <c r="D202" s="4"/>
      <c r="E202" s="4"/>
      <c r="F202" s="4"/>
      <c r="G202" s="39"/>
      <c r="H202" s="5"/>
    </row>
    <row r="203">
      <c r="A203" s="4"/>
      <c r="B203" s="4"/>
      <c r="C203" s="4"/>
      <c r="D203" s="4"/>
      <c r="E203" s="4"/>
      <c r="F203" s="4"/>
      <c r="G203" s="39"/>
      <c r="H203" s="5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6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310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311</v>
      </c>
      <c r="B8" s="4"/>
      <c r="C8" s="4"/>
      <c r="D8" s="4"/>
      <c r="E8" s="4"/>
      <c r="F8" s="4"/>
      <c r="G8" s="39"/>
      <c r="H8" s="5"/>
    </row>
    <row r="9">
      <c r="A9" s="27" t="s">
        <v>312</v>
      </c>
      <c r="B9" s="17">
        <v>297.075</v>
      </c>
      <c r="C9" s="17">
        <v>316.592</v>
      </c>
      <c r="D9" s="17">
        <v>294.206</v>
      </c>
      <c r="E9" s="17">
        <v>315.188</v>
      </c>
      <c r="F9" s="13">
        <f>E9</f>
        <v>315.188</v>
      </c>
      <c r="G9" s="10">
        <f>E9+'Cash Flow Statement'!G59</f>
        <v>429.7413479113113</v>
      </c>
      <c r="H9" s="5"/>
    </row>
    <row r="10">
      <c r="A10" s="27" t="s">
        <v>313</v>
      </c>
      <c r="B10" s="17">
        <v>1515.499</v>
      </c>
      <c r="C10" s="17">
        <v>1370.136</v>
      </c>
      <c r="D10" s="17">
        <v>1261.112</v>
      </c>
      <c r="E10" s="17">
        <v>1700.717</v>
      </c>
      <c r="F10" s="13">
        <f>E10</f>
        <v>1700.717</v>
      </c>
      <c r="G10" s="10">
        <f>E10-'Cash Flow Statement'!G23</f>
        <v>1651.3860000000002</v>
      </c>
      <c r="H10" s="5"/>
    </row>
    <row r="11">
      <c r="A11" s="27" t="s">
        <v>314</v>
      </c>
      <c r="B11" s="17">
        <v>-42.506</v>
      </c>
      <c r="C11" s="17">
        <v>-39.612</v>
      </c>
      <c r="D11" s="17">
        <v>-37.717</v>
      </c>
      <c r="E11" s="17">
        <v>-39.179</v>
      </c>
      <c r="F11" s="13">
        <f>E11</f>
        <v>-39.179</v>
      </c>
      <c r="G11" s="26">
        <f>E11</f>
        <v>-39.179</v>
      </c>
      <c r="H11" s="5"/>
    </row>
    <row r="12">
      <c r="A12" s="73" t="s">
        <v>315</v>
      </c>
      <c r="B12" s="28">
        <f>B10+B11</f>
        <v>1472.993</v>
      </c>
      <c r="C12" s="28">
        <f>C10+C11</f>
        <v>1330.524</v>
      </c>
      <c r="D12" s="28">
        <f>D10+D11</f>
        <v>1223.395</v>
      </c>
      <c r="E12" s="28">
        <f>E10+E11</f>
        <v>1661.538</v>
      </c>
      <c r="F12" s="28">
        <f>F10+F11</f>
        <v>1661.538</v>
      </c>
      <c r="G12" s="19">
        <f>G10+G11</f>
        <v>1612.207</v>
      </c>
      <c r="H12" s="5"/>
    </row>
    <row r="13">
      <c r="A13" s="16" t="s">
        <v>316</v>
      </c>
      <c r="B13" s="40">
        <f>B12/'Income Statement'!B9*B$6</f>
        <v>64.11155755453714</v>
      </c>
      <c r="C13" s="40">
        <f>C12/'Income Statement'!C9*C$6</f>
        <v>63.39494265391552</v>
      </c>
      <c r="D13" s="40">
        <f>D12/'Income Statement'!D9*D$6</f>
        <v>68.47577255248767</v>
      </c>
      <c r="E13" s="40">
        <f>E12/'Income Statement'!E9*E$6</f>
        <v>68.49139654141099</v>
      </c>
      <c r="F13" s="40">
        <f>F12/'Income Statement'!F9*F$6</f>
        <v>77.12435756341196</v>
      </c>
      <c r="G13" s="24">
        <f>G12/'Income Statement'!G9*G$6</f>
        <v>67.05679191661325</v>
      </c>
      <c r="H13" s="5"/>
    </row>
    <row r="14">
      <c r="A14" s="27" t="s">
        <v>317</v>
      </c>
      <c r="B14" s="17">
        <v>1068.183</v>
      </c>
      <c r="C14" s="17">
        <v>1083.42</v>
      </c>
      <c r="D14" s="17">
        <v>1120.273</v>
      </c>
      <c r="E14" s="17">
        <v>1058.911</v>
      </c>
      <c r="F14" s="13">
        <f>E14</f>
        <v>1058.911</v>
      </c>
      <c r="G14" s="10">
        <f>E14-'Cash Flow Statement'!G24</f>
        <v>1074.9160000000002</v>
      </c>
      <c r="H14" s="5"/>
    </row>
    <row r="15">
      <c r="A15" s="27" t="s">
        <v>318</v>
      </c>
      <c r="B15" s="17">
        <v>365.271</v>
      </c>
      <c r="C15" s="17">
        <v>390.636</v>
      </c>
      <c r="D15" s="17">
        <v>415.566</v>
      </c>
      <c r="E15" s="17">
        <v>423.198</v>
      </c>
      <c r="F15" s="13">
        <f>E15</f>
        <v>423.198</v>
      </c>
      <c r="G15" s="10">
        <f>E15-'Cash Flow Statement'!G25</f>
        <v>441.24899999999997</v>
      </c>
      <c r="H15" s="5"/>
    </row>
    <row r="16">
      <c r="A16" s="7" t="s">
        <v>319</v>
      </c>
      <c r="B16" s="28">
        <f>B9+B12+B14+B15</f>
        <v>3203.5220000000004</v>
      </c>
      <c r="C16" s="28">
        <f>C9+C12+C14+C15</f>
        <v>3121.172</v>
      </c>
      <c r="D16" s="28">
        <f>D9+D12+D14+D15</f>
        <v>3053.4399999999996</v>
      </c>
      <c r="E16" s="28">
        <f>E9+E12+E14+E15</f>
        <v>3458.835</v>
      </c>
      <c r="F16" s="28">
        <f>F9+F12+F14+F15</f>
        <v>3458.835</v>
      </c>
      <c r="G16" s="19">
        <f>G9+G12+G14+G15</f>
        <v>3558.1133479113114</v>
      </c>
      <c r="H16" s="5"/>
    </row>
    <row r="17">
      <c r="A17" s="27" t="s">
        <v>320</v>
      </c>
      <c r="B17" s="17">
        <v>2805.421</v>
      </c>
      <c r="C17" s="17">
        <v>2826.384</v>
      </c>
      <c r="D17" s="17">
        <v>2885.364</v>
      </c>
      <c r="E17" s="17">
        <v>2919.058</v>
      </c>
      <c r="F17" s="13">
        <f>E17</f>
        <v>2919.058</v>
      </c>
      <c r="G17" s="10">
        <f>E17-'Cash Flow Statement'!G34</f>
        <v>2976.558</v>
      </c>
      <c r="H17" s="5"/>
    </row>
    <row r="18">
      <c r="A18" s="27" t="s">
        <v>321</v>
      </c>
      <c r="B18" s="17">
        <v>-1306.637</v>
      </c>
      <c r="C18" s="17">
        <v>-1328.094</v>
      </c>
      <c r="D18" s="17">
        <v>-1365.007</v>
      </c>
      <c r="E18" s="17">
        <v>-1362.54</v>
      </c>
      <c r="F18" s="13">
        <f>E18</f>
        <v>-1362.54</v>
      </c>
      <c r="G18" s="10">
        <f>E18-('Cash Flow Statement'!G10-G62)</f>
        <v>-1407.54</v>
      </c>
      <c r="H18" s="5"/>
    </row>
    <row r="19">
      <c r="A19" s="73" t="s">
        <v>322</v>
      </c>
      <c r="B19" s="28">
        <f>B17+B18</f>
        <v>1498.7839999999999</v>
      </c>
      <c r="C19" s="28">
        <f>C17+C18</f>
        <v>1498.29</v>
      </c>
      <c r="D19" s="28">
        <f>D17+D18</f>
        <v>1520.357</v>
      </c>
      <c r="E19" s="28">
        <f>E17+E18</f>
        <v>1556.518</v>
      </c>
      <c r="F19" s="28">
        <f>F17+F18</f>
        <v>1556.518</v>
      </c>
      <c r="G19" s="19">
        <f>G17+G18</f>
        <v>1569.018</v>
      </c>
      <c r="H19" s="5"/>
    </row>
    <row r="20">
      <c r="A20" s="27" t="s">
        <v>323</v>
      </c>
      <c r="B20" s="17">
        <v>1657.612</v>
      </c>
      <c r="C20" s="17">
        <v>1664.72</v>
      </c>
      <c r="D20" s="17">
        <v>1680.867</v>
      </c>
      <c r="E20" s="17">
        <v>1688.164</v>
      </c>
      <c r="F20" s="13">
        <f>E20</f>
        <v>1688.164</v>
      </c>
      <c r="G20" s="26">
        <f>E20</f>
        <v>1688.164</v>
      </c>
      <c r="H20" s="5"/>
    </row>
    <row r="21">
      <c r="A21" s="27" t="s">
        <v>324</v>
      </c>
      <c r="B21" s="17">
        <v>832.195</v>
      </c>
      <c r="C21" s="17">
        <v>825.801</v>
      </c>
      <c r="D21" s="17">
        <v>821.466</v>
      </c>
      <c r="E21" s="17">
        <v>824.638</v>
      </c>
      <c r="F21" s="13">
        <f>E21</f>
        <v>824.638</v>
      </c>
      <c r="G21" s="26">
        <f>E21-G62</f>
        <v>812.638</v>
      </c>
      <c r="H21" s="5"/>
    </row>
    <row r="22">
      <c r="A22" s="27" t="s">
        <v>325</v>
      </c>
      <c r="B22" s="17">
        <v>394.831</v>
      </c>
      <c r="C22" s="17">
        <v>404.65</v>
      </c>
      <c r="D22" s="17">
        <v>398.726</v>
      </c>
      <c r="E22" s="17">
        <v>396.936</v>
      </c>
      <c r="F22" s="13">
        <f>E22</f>
        <v>396.936</v>
      </c>
      <c r="G22" s="26">
        <f>E22</f>
        <v>396.936</v>
      </c>
      <c r="H22" s="5"/>
    </row>
    <row r="23">
      <c r="A23" s="27" t="s">
        <v>326</v>
      </c>
      <c r="B23" s="17">
        <v>147.436</v>
      </c>
      <c r="C23" s="17">
        <v>152.794</v>
      </c>
      <c r="D23" s="17">
        <v>161.144</v>
      </c>
      <c r="E23" s="17">
        <v>116.474</v>
      </c>
      <c r="F23" s="13">
        <f>E23</f>
        <v>116.474</v>
      </c>
      <c r="G23" s="26">
        <f>E23</f>
        <v>116.474</v>
      </c>
      <c r="H23" s="5"/>
    </row>
    <row r="24">
      <c r="A24" s="27" t="s">
        <v>327</v>
      </c>
      <c r="B24" s="17">
        <v>210.165</v>
      </c>
      <c r="C24" s="17">
        <v>202.813</v>
      </c>
      <c r="D24" s="17">
        <v>248.654</v>
      </c>
      <c r="E24" s="17">
        <v>303.04</v>
      </c>
      <c r="F24" s="13">
        <f>E24</f>
        <v>303.04</v>
      </c>
      <c r="G24" s="26">
        <f>E24</f>
        <v>303.04</v>
      </c>
      <c r="H24" s="5"/>
    </row>
    <row r="25">
      <c r="A25" s="73" t="s">
        <v>328</v>
      </c>
      <c r="B25" s="28">
        <f>B20+B21+B22+B23+B24</f>
        <v>3242.2390000000005</v>
      </c>
      <c r="C25" s="28">
        <f>C20+C21+C22+C23+C24</f>
        <v>3250.7780000000002</v>
      </c>
      <c r="D25" s="28">
        <f>D20+D21+D22+D23+D24</f>
        <v>3310.8570000000004</v>
      </c>
      <c r="E25" s="28">
        <f>E20+E21+E22+E23+E24</f>
        <v>3329.2520000000004</v>
      </c>
      <c r="F25" s="28">
        <f>F20+F21+F22+F23+F24</f>
        <v>3329.2520000000004</v>
      </c>
      <c r="G25" s="19">
        <f>G20+G21+G22+G23+G24</f>
        <v>3317.2520000000004</v>
      </c>
      <c r="H25" s="5"/>
    </row>
    <row r="26">
      <c r="A26" s="7" t="s">
        <v>329</v>
      </c>
      <c r="B26" s="28">
        <f>B16+B19+B25</f>
        <v>7944.545000000001</v>
      </c>
      <c r="C26" s="28">
        <f>C16+C19+C25</f>
        <v>7870.24</v>
      </c>
      <c r="D26" s="28">
        <f>D16+D19+D25</f>
        <v>7884.654</v>
      </c>
      <c r="E26" s="28">
        <f>E16+E19+E25</f>
        <v>8344.605</v>
      </c>
      <c r="F26" s="28">
        <f>F16+F19+F25</f>
        <v>8344.605</v>
      </c>
      <c r="G26" s="19">
        <f>G16+G19+G25</f>
        <v>8444.383347911313</v>
      </c>
      <c r="H26" s="5"/>
    </row>
    <row r="27">
      <c r="A27" s="7" t="s">
        <v>330</v>
      </c>
      <c r="B27" s="4"/>
      <c r="C27" s="4"/>
      <c r="D27" s="4"/>
      <c r="E27" s="4"/>
      <c r="F27" s="4"/>
      <c r="G27" s="39"/>
      <c r="H27" s="5"/>
    </row>
    <row r="28">
      <c r="A28" s="27" t="s">
        <v>331</v>
      </c>
      <c r="B28" s="17">
        <v>762.013</v>
      </c>
      <c r="C28" s="17">
        <v>741.172</v>
      </c>
      <c r="D28" s="17">
        <v>675.445</v>
      </c>
      <c r="E28" s="17">
        <v>853.524</v>
      </c>
      <c r="F28" s="13">
        <f>E28</f>
        <v>853.524</v>
      </c>
      <c r="G28" s="10">
        <f>E28+'Cash Flow Statement'!G26</f>
        <v>861.334</v>
      </c>
      <c r="H28" s="5"/>
    </row>
    <row r="29">
      <c r="A29" s="27" t="s">
        <v>332</v>
      </c>
      <c r="B29" s="17">
        <v>7.434</v>
      </c>
      <c r="C29" s="17">
        <v>8.287</v>
      </c>
      <c r="D29" s="17">
        <v>8.383</v>
      </c>
      <c r="E29" s="17">
        <v>407.834</v>
      </c>
      <c r="F29" s="13">
        <f>E29</f>
        <v>407.834</v>
      </c>
      <c r="G29" s="26">
        <f>E29</f>
        <v>407.834</v>
      </c>
      <c r="H29" s="5"/>
    </row>
    <row r="30">
      <c r="A30" s="27" t="s">
        <v>333</v>
      </c>
      <c r="B30" s="17">
        <v>189.846</v>
      </c>
      <c r="C30" s="17">
        <v>230.48</v>
      </c>
      <c r="D30" s="17">
        <v>230.559</v>
      </c>
      <c r="E30" s="17">
        <v>307.299</v>
      </c>
      <c r="F30" s="13">
        <f>E30</f>
        <v>307.299</v>
      </c>
      <c r="G30" s="10">
        <f>E30+'Cash Flow Statement'!G27</f>
        <v>208.003</v>
      </c>
      <c r="H30" s="5"/>
    </row>
    <row r="31">
      <c r="A31" s="27" t="s">
        <v>334</v>
      </c>
      <c r="B31" s="17">
        <v>30.749</v>
      </c>
      <c r="C31" s="17">
        <v>32.517</v>
      </c>
      <c r="D31" s="17">
        <v>32.995</v>
      </c>
      <c r="E31" s="17">
        <v>51.258</v>
      </c>
      <c r="F31" s="13">
        <f>E31</f>
        <v>51.258</v>
      </c>
      <c r="G31" s="10">
        <f>E31+'Cash Flow Statement'!G28</f>
        <v>45.160000000000004</v>
      </c>
      <c r="H31" s="5"/>
    </row>
    <row r="32">
      <c r="A32" s="27" t="s">
        <v>335</v>
      </c>
      <c r="B32" s="17">
        <v>424.834</v>
      </c>
      <c r="C32" s="17">
        <v>393.87</v>
      </c>
      <c r="D32" s="17">
        <v>391.052</v>
      </c>
      <c r="E32" s="17">
        <v>441.148</v>
      </c>
      <c r="F32" s="13">
        <f>E32</f>
        <v>441.148</v>
      </c>
      <c r="G32" s="10">
        <f>E32+'Cash Flow Statement'!G29</f>
        <v>483.88100000000003</v>
      </c>
      <c r="H32" s="5"/>
    </row>
    <row r="33">
      <c r="A33" s="7" t="s">
        <v>336</v>
      </c>
      <c r="B33" s="28">
        <f>B28+B29+B30+B31+B32</f>
        <v>1414.876</v>
      </c>
      <c r="C33" s="28">
        <f>C28+C29+C30+C31+C32</f>
        <v>1406.326</v>
      </c>
      <c r="D33" s="28">
        <f>D28+D29+D30+D31+D32</f>
        <v>1338.4340000000002</v>
      </c>
      <c r="E33" s="28">
        <f>E28+E29+E30+E31+E32</f>
        <v>2061.063</v>
      </c>
      <c r="F33" s="28">
        <f>F28+F29+F30+F31+F32</f>
        <v>2061.063</v>
      </c>
      <c r="G33" s="19">
        <f>G28+G29+G30+G31+G32</f>
        <v>2006.212</v>
      </c>
      <c r="H33" s="5"/>
    </row>
    <row r="34">
      <c r="A34" s="27" t="s">
        <v>337</v>
      </c>
      <c r="B34" s="17">
        <v>2661.99</v>
      </c>
      <c r="C34" s="17">
        <v>2511.588</v>
      </c>
      <c r="D34" s="17">
        <v>2547.104</v>
      </c>
      <c r="E34" s="17">
        <v>2125.69</v>
      </c>
      <c r="F34" s="13">
        <f>E34</f>
        <v>2125.69</v>
      </c>
      <c r="G34" s="10">
        <f>E34+'Cash Flow Statement'!G44+'Cash Flow Statement'!G45</f>
        <v>2125.69</v>
      </c>
      <c r="H34" s="5"/>
    </row>
    <row r="35">
      <c r="A35" s="27" t="s">
        <v>338</v>
      </c>
      <c r="B35" s="17">
        <v>340.42</v>
      </c>
      <c r="C35" s="17">
        <v>348.248</v>
      </c>
      <c r="D35" s="17">
        <v>342.845</v>
      </c>
      <c r="E35" s="17">
        <v>341.283</v>
      </c>
      <c r="F35" s="13">
        <f>E35</f>
        <v>341.283</v>
      </c>
      <c r="G35" s="26">
        <f>E35</f>
        <v>341.283</v>
      </c>
      <c r="H35" s="5"/>
    </row>
    <row r="36">
      <c r="A36" s="27" t="s">
        <v>339</v>
      </c>
      <c r="B36" s="17">
        <v>243.524</v>
      </c>
      <c r="C36" s="17">
        <v>242.297</v>
      </c>
      <c r="D36" s="17">
        <v>245.022</v>
      </c>
      <c r="E36" s="17">
        <v>258.641</v>
      </c>
      <c r="F36" s="13">
        <f>E36</f>
        <v>258.641</v>
      </c>
      <c r="G36" s="26">
        <f>E36</f>
        <v>258.641</v>
      </c>
      <c r="H36" s="5"/>
    </row>
    <row r="37">
      <c r="A37" s="27" t="s">
        <v>326</v>
      </c>
      <c r="B37" s="17">
        <v>227.141</v>
      </c>
      <c r="C37" s="17">
        <v>230.968</v>
      </c>
      <c r="D37" s="17">
        <v>263.129</v>
      </c>
      <c r="E37" s="17">
        <v>244.823</v>
      </c>
      <c r="F37" s="13">
        <f>E37</f>
        <v>244.823</v>
      </c>
      <c r="G37" s="26">
        <f>E37</f>
        <v>244.823</v>
      </c>
      <c r="H37" s="5"/>
    </row>
    <row r="38">
      <c r="A38" s="73" t="s">
        <v>340</v>
      </c>
      <c r="B38" s="28">
        <f>B34+B35+B36+B37</f>
        <v>3473.075</v>
      </c>
      <c r="C38" s="28">
        <f>C34+C35+C36+C37</f>
        <v>3333.101</v>
      </c>
      <c r="D38" s="28">
        <f>D34+D35+D36+D37</f>
        <v>3398.0999999999995</v>
      </c>
      <c r="E38" s="28">
        <f>E34+E35+E36+E37</f>
        <v>2970.437</v>
      </c>
      <c r="F38" s="28">
        <f>F34+F35+F36+F37</f>
        <v>2970.437</v>
      </c>
      <c r="G38" s="19">
        <f>G34+G35+G36+G37</f>
        <v>2970.437</v>
      </c>
      <c r="H38" s="5"/>
    </row>
    <row r="39">
      <c r="A39" s="7" t="s">
        <v>341</v>
      </c>
      <c r="B39" s="28">
        <f>B33+B38</f>
        <v>4887.951</v>
      </c>
      <c r="C39" s="28">
        <f>C33+C38</f>
        <v>4739.427</v>
      </c>
      <c r="D39" s="28">
        <f>D33+D38</f>
        <v>4736.534</v>
      </c>
      <c r="E39" s="28">
        <f>E33+E38</f>
        <v>5031.5</v>
      </c>
      <c r="F39" s="28">
        <f>F33+F38</f>
        <v>5031.5</v>
      </c>
      <c r="G39" s="19">
        <f>G33+G38</f>
        <v>4976.648999999999</v>
      </c>
      <c r="H39" s="5"/>
    </row>
    <row r="40">
      <c r="A40" s="7" t="s">
        <v>342</v>
      </c>
      <c r="B40" s="4"/>
      <c r="C40" s="4"/>
      <c r="D40" s="4"/>
      <c r="E40" s="4"/>
      <c r="F40" s="4"/>
      <c r="G40" s="39"/>
      <c r="H40" s="5"/>
    </row>
    <row r="41">
      <c r="A41" s="27" t="s">
        <v>343</v>
      </c>
      <c r="B41" s="17">
        <v>1.282</v>
      </c>
      <c r="C41" s="17">
        <v>1.281</v>
      </c>
      <c r="D41" s="17">
        <v>1.279</v>
      </c>
      <c r="E41" s="17">
        <v>1.276</v>
      </c>
      <c r="F41" s="13">
        <f>E41</f>
        <v>1.276</v>
      </c>
      <c r="G41" s="26">
        <f>E41</f>
        <v>1.276</v>
      </c>
      <c r="H41" s="5"/>
    </row>
    <row r="42">
      <c r="A42" s="27" t="s">
        <v>344</v>
      </c>
      <c r="B42" s="17">
        <v>1183.272</v>
      </c>
      <c r="C42" s="17">
        <v>1192.372</v>
      </c>
      <c r="D42" s="17">
        <v>1202.259</v>
      </c>
      <c r="E42" s="17">
        <v>1210.651</v>
      </c>
      <c r="F42" s="13">
        <f>E42</f>
        <v>1210.651</v>
      </c>
      <c r="G42" s="10">
        <f>E42+'Cash Flow Statement'!G17</f>
        <v>1218.651</v>
      </c>
      <c r="H42" s="5"/>
    </row>
    <row r="43">
      <c r="A43" s="27" t="s">
        <v>345</v>
      </c>
      <c r="B43" s="17">
        <v>-973.372</v>
      </c>
      <c r="C43" s="17">
        <v>-991.176</v>
      </c>
      <c r="D43" s="17">
        <v>-1009.239</v>
      </c>
      <c r="E43" s="17">
        <v>-1036.645</v>
      </c>
      <c r="F43" s="13">
        <f>E43</f>
        <v>-1036.645</v>
      </c>
      <c r="G43" s="10">
        <f>E43+'Cash Flow Statement'!G49+'Cash Flow Statement'!G52</f>
        <v>-1063.645</v>
      </c>
      <c r="H43" s="5"/>
    </row>
    <row r="44">
      <c r="A44" s="27" t="s">
        <v>346</v>
      </c>
      <c r="B44" s="17">
        <v>-512.832</v>
      </c>
      <c r="C44" s="17">
        <v>-521.915</v>
      </c>
      <c r="D44" s="17">
        <v>-478.803</v>
      </c>
      <c r="E44" s="17">
        <v>-447.2</v>
      </c>
      <c r="F44" s="13">
        <f>E44</f>
        <v>-447.2</v>
      </c>
      <c r="G44" s="26">
        <f>E44</f>
        <v>-447.2</v>
      </c>
      <c r="H44" s="5"/>
    </row>
    <row r="45">
      <c r="A45" s="27" t="s">
        <v>347</v>
      </c>
      <c r="B45" s="17">
        <v>3356.848</v>
      </c>
      <c r="C45" s="17">
        <v>3448.857</v>
      </c>
      <c r="D45" s="17">
        <v>3431.151</v>
      </c>
      <c r="E45" s="17">
        <v>3583.451</v>
      </c>
      <c r="F45" s="13">
        <f>E45</f>
        <v>3583.451</v>
      </c>
      <c r="G45" s="10">
        <f>E45+'Income Statement'!G61+'Cash Flow Statement'!G46</f>
        <v>3756.7803479113113</v>
      </c>
      <c r="H45" s="5"/>
    </row>
    <row r="46">
      <c r="A46" s="73" t="s">
        <v>348</v>
      </c>
      <c r="B46" s="28">
        <f>B41+B42+B43+B44+B45</f>
        <v>3055.198</v>
      </c>
      <c r="C46" s="28">
        <f>C41+C42+C43+C44+C45</f>
        <v>3129.419</v>
      </c>
      <c r="D46" s="28">
        <f>D41+D42+D43+D44+D45</f>
        <v>3146.647</v>
      </c>
      <c r="E46" s="28">
        <f>E41+E42+E43+E44+E45</f>
        <v>3311.5330000000004</v>
      </c>
      <c r="F46" s="28">
        <f>F41+F42+F43+F44+F45</f>
        <v>3311.5330000000004</v>
      </c>
      <c r="G46" s="19">
        <f>G41+G42+G43+G44+G45</f>
        <v>3465.8623479113116</v>
      </c>
      <c r="H46" s="5"/>
    </row>
    <row r="47">
      <c r="A47" s="27" t="s">
        <v>349</v>
      </c>
      <c r="B47" s="17">
        <v>1.396</v>
      </c>
      <c r="C47" s="17">
        <v>1.394</v>
      </c>
      <c r="D47" s="17">
        <v>1.473</v>
      </c>
      <c r="E47" s="17">
        <v>1.572</v>
      </c>
      <c r="F47" s="13">
        <f>E47</f>
        <v>1.572</v>
      </c>
      <c r="G47" s="10">
        <f>E47+'Income Statement'!G58</f>
        <v>1.872</v>
      </c>
      <c r="H47" s="5"/>
    </row>
    <row r="48">
      <c r="A48" s="7" t="s">
        <v>350</v>
      </c>
      <c r="B48" s="28">
        <f>B46+B47</f>
        <v>3056.594</v>
      </c>
      <c r="C48" s="28">
        <f>C46+C47</f>
        <v>3130.8129999999996</v>
      </c>
      <c r="D48" s="28">
        <f>D46+D47</f>
        <v>3148.12</v>
      </c>
      <c r="E48" s="28">
        <f>E46+E47</f>
        <v>3313.1050000000005</v>
      </c>
      <c r="F48" s="28">
        <f>F46+F47</f>
        <v>3313.1050000000005</v>
      </c>
      <c r="G48" s="19">
        <f>G46+G47</f>
        <v>3467.7343479113115</v>
      </c>
      <c r="H48" s="5"/>
    </row>
    <row r="49">
      <c r="A49" s="7" t="s">
        <v>351</v>
      </c>
      <c r="B49" s="28">
        <f>B39+B48</f>
        <v>7944.545</v>
      </c>
      <c r="C49" s="28">
        <f>C39+C48</f>
        <v>7870.24</v>
      </c>
      <c r="D49" s="28">
        <f>D39+D48</f>
        <v>7884.6539999999995</v>
      </c>
      <c r="E49" s="28">
        <f>E39+E48</f>
        <v>8344.605</v>
      </c>
      <c r="F49" s="28">
        <f>F39+F48</f>
        <v>8344.605</v>
      </c>
      <c r="G49" s="19">
        <f>G39+G48</f>
        <v>8444.383347911311</v>
      </c>
      <c r="H49" s="5"/>
    </row>
    <row r="50">
      <c r="A50" s="4"/>
      <c r="B50" s="4"/>
      <c r="C50" s="4"/>
      <c r="D50" s="4"/>
      <c r="E50" s="4"/>
      <c r="F50" s="4"/>
      <c r="G50" s="39"/>
      <c r="H50" s="5"/>
    </row>
    <row r="51">
      <c r="A51" s="7" t="s">
        <v>352</v>
      </c>
      <c r="B51" s="28">
        <f>ROUND(B26-B39-B48,6)</f>
        <v>0</v>
      </c>
      <c r="C51" s="28">
        <f>ROUND(C26-C39-C48,6)</f>
        <v>0</v>
      </c>
      <c r="D51" s="28">
        <f>ROUND(D26-D39-D48,6)</f>
        <v>0</v>
      </c>
      <c r="E51" s="28">
        <f>ROUND(E26-E39-E48,6)</f>
        <v>0</v>
      </c>
      <c r="F51" s="28">
        <f>ROUND(F26-F39-F48,6)</f>
        <v>0</v>
      </c>
      <c r="G51" s="19">
        <f>ROUND(G26-G39-G48,6)</f>
        <v>0</v>
      </c>
      <c r="H51" s="5"/>
    </row>
    <row r="52">
      <c r="A52" s="66" t="s">
        <v>353</v>
      </c>
      <c r="B52" s="63">
        <v>7944.545</v>
      </c>
      <c r="C52" s="63">
        <v>7870.24</v>
      </c>
      <c r="D52" s="63">
        <v>7884.654</v>
      </c>
      <c r="E52" s="63">
        <v>8344.605</v>
      </c>
      <c r="F52" s="1">
        <f>E52</f>
        <v>8344.605</v>
      </c>
      <c r="G52" s="34"/>
      <c r="H52" s="5"/>
    </row>
    <row r="53">
      <c r="A53" s="5" t="s">
        <v>354</v>
      </c>
      <c r="B53" s="1">
        <f>ROUND(B26-B52,6)</f>
        <v>0</v>
      </c>
      <c r="C53" s="1">
        <f>ROUND(C26-C52,6)</f>
        <v>0</v>
      </c>
      <c r="D53" s="1">
        <f>ROUND(D26-D52,6)</f>
        <v>0</v>
      </c>
      <c r="E53" s="1">
        <f>ROUND(E26-E52,6)</f>
        <v>0</v>
      </c>
      <c r="F53" s="1">
        <f>ROUND(F26-F52,6)</f>
        <v>0</v>
      </c>
      <c r="G53" s="34"/>
      <c r="H53" s="5"/>
    </row>
    <row r="54">
      <c r="A54" s="66" t="s">
        <v>355</v>
      </c>
      <c r="B54" s="63">
        <v>4887.951</v>
      </c>
      <c r="C54" s="63">
        <v>4739.427</v>
      </c>
      <c r="D54" s="63">
        <v>4736.534</v>
      </c>
      <c r="E54" s="63">
        <v>5031.5</v>
      </c>
      <c r="F54" s="1">
        <f>E54</f>
        <v>5031.5</v>
      </c>
      <c r="G54" s="34"/>
      <c r="H54" s="5"/>
    </row>
    <row r="55">
      <c r="A55" s="5" t="s">
        <v>356</v>
      </c>
      <c r="B55" s="1">
        <f>ROUND(B39-B54,6)</f>
        <v>0</v>
      </c>
      <c r="C55" s="1">
        <f>ROUND(C39-C54,6)</f>
        <v>0</v>
      </c>
      <c r="D55" s="1">
        <f>ROUND(D39-D54,6)</f>
        <v>0</v>
      </c>
      <c r="E55" s="1">
        <f>ROUND(E39-E54,6)</f>
        <v>0</v>
      </c>
      <c r="F55" s="1">
        <f>ROUND(F39-F54,6)</f>
        <v>0</v>
      </c>
      <c r="G55" s="34"/>
      <c r="H55" s="5"/>
    </row>
    <row r="56">
      <c r="A56" s="4"/>
      <c r="B56" s="4"/>
      <c r="C56" s="4"/>
      <c r="D56" s="4"/>
      <c r="E56" s="4"/>
      <c r="F56" s="4"/>
      <c r="G56" s="39"/>
      <c r="H56" s="5"/>
    </row>
    <row r="57">
      <c r="A57" s="7" t="s">
        <v>357</v>
      </c>
      <c r="B57" s="4"/>
      <c r="C57" s="4"/>
      <c r="D57" s="4"/>
      <c r="E57" s="4"/>
      <c r="F57" s="4"/>
      <c r="G57" s="39"/>
      <c r="H57" s="5"/>
    </row>
    <row r="58">
      <c r="A58" s="27" t="s">
        <v>358</v>
      </c>
      <c r="B58" s="17">
        <v>128.219</v>
      </c>
      <c r="C58" s="17">
        <v>128.076</v>
      </c>
      <c r="D58" s="17">
        <v>127.873</v>
      </c>
      <c r="E58" s="17">
        <v>127.643</v>
      </c>
      <c r="F58" s="13">
        <f>E58</f>
        <v>127.643</v>
      </c>
      <c r="G58" s="10">
        <f>'Share Count'!G17</f>
        <v>127.40715094339623</v>
      </c>
      <c r="H58" s="5"/>
    </row>
    <row r="59">
      <c r="A59" s="27" t="s">
        <v>359</v>
      </c>
      <c r="B59" s="13">
        <f>B29+B34</f>
        <v>2669.424</v>
      </c>
      <c r="C59" s="13">
        <f>C29+C34</f>
        <v>2519.875</v>
      </c>
      <c r="D59" s="13">
        <f>D29+D34</f>
        <v>2555.4869999999996</v>
      </c>
      <c r="E59" s="13">
        <f>E29+E34</f>
        <v>2533.524</v>
      </c>
      <c r="F59" s="13">
        <f>F29+F34</f>
        <v>2533.524</v>
      </c>
      <c r="G59" s="26">
        <f>G29+G34</f>
        <v>2533.524</v>
      </c>
      <c r="H59" s="5"/>
    </row>
    <row r="60">
      <c r="A60" s="27" t="s">
        <v>360</v>
      </c>
      <c r="B60" s="13">
        <f>B59-B9</f>
        <v>2372.349</v>
      </c>
      <c r="C60" s="13">
        <f>C59-C9</f>
        <v>2203.283</v>
      </c>
      <c r="D60" s="13">
        <f>D59-D9</f>
        <v>2261.2809999999995</v>
      </c>
      <c r="E60" s="13">
        <f>E59-E9</f>
        <v>2218.336</v>
      </c>
      <c r="F60" s="13">
        <f>F59-F9</f>
        <v>2218.336</v>
      </c>
      <c r="G60" s="26">
        <f>G59-G9</f>
        <v>2103.7826520886883</v>
      </c>
      <c r="H60" s="5"/>
    </row>
    <row r="61">
      <c r="A61" s="66" t="s">
        <v>361</v>
      </c>
      <c r="B61" s="61"/>
      <c r="C61" s="61"/>
      <c r="D61" s="61"/>
      <c r="E61" s="71">
        <f>E60/'Income Statement'!F95</f>
        <v>1.7992625600812382</v>
      </c>
      <c r="F61" s="71">
        <f>F60/'Income Statement'!F95</f>
        <v>1.7992625600812382</v>
      </c>
      <c r="G61" s="68"/>
      <c r="H61" s="5"/>
    </row>
    <row r="62">
      <c r="A62" s="27" t="s">
        <v>362</v>
      </c>
      <c r="B62" s="13"/>
      <c r="C62" s="13"/>
      <c r="D62" s="13"/>
      <c r="E62" s="13"/>
      <c r="F62" s="13"/>
      <c r="G62" s="59">
        <v>12</v>
      </c>
      <c r="H62" s="5" t="s">
        <v>363</v>
      </c>
    </row>
    <row r="63">
      <c r="A63" s="4"/>
      <c r="B63" s="4"/>
      <c r="C63" s="4"/>
      <c r="D63" s="4"/>
      <c r="E63" s="4"/>
      <c r="F63" s="4"/>
      <c r="G63" s="39"/>
      <c r="H63" s="5"/>
    </row>
    <row r="64">
      <c r="A64" s="7" t="s">
        <v>364</v>
      </c>
      <c r="B64" s="43"/>
      <c r="C64" s="43"/>
      <c r="D64" s="43"/>
      <c r="E64" s="43"/>
      <c r="F64" s="43"/>
      <c r="G64" s="65" t="b">
        <f>AND(MAX(ABS(B51),ABS(C51),ABS(D51),ABS(E51),ABS(F51),ABS(G51))&lt;0.001,MAX(ABS(B53),ABS(C53),ABS(D53),ABS(E53),ABS(F53))&lt;0.001,MAX(ABS(B55),ABS(C55),ABS(D55),ABS(E55),ABS(F55))&lt;0.001)</f>
        <v>1</v>
      </c>
      <c r="H64" s="5"/>
    </row>
    <row r="65">
      <c r="A65" s="4"/>
      <c r="B65" s="4"/>
      <c r="C65" s="4"/>
      <c r="D65" s="4"/>
      <c r="E65" s="4"/>
      <c r="F65" s="4"/>
      <c r="G65" s="39"/>
      <c r="H65" s="5"/>
    </row>
    <row r="66">
      <c r="A66" s="4"/>
      <c r="B66" s="4"/>
      <c r="C66" s="4"/>
      <c r="D66" s="4"/>
      <c r="E66" s="4"/>
      <c r="F66" s="4"/>
      <c r="G66" s="39"/>
      <c r="H66" s="5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5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365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366</v>
      </c>
      <c r="B8" s="4"/>
      <c r="C8" s="4"/>
      <c r="D8" s="4"/>
      <c r="E8" s="4"/>
      <c r="F8" s="4"/>
      <c r="G8" s="39"/>
      <c r="H8" s="5"/>
    </row>
    <row r="9">
      <c r="A9" s="27" t="s">
        <v>193</v>
      </c>
      <c r="B9" s="13">
        <f>B69</f>
        <v>227.84</v>
      </c>
      <c r="C9" s="13">
        <f>C69-B69</f>
        <v>161.47400000000002</v>
      </c>
      <c r="D9" s="13">
        <f>D69-C69</f>
        <v>51.613999999999976</v>
      </c>
      <c r="E9" s="13">
        <f>E69-D69</f>
        <v>221.55499999999995</v>
      </c>
      <c r="F9" s="13">
        <f>E69</f>
        <v>662.483</v>
      </c>
      <c r="G9" s="10">
        <f>'Income Statement'!G57</f>
        <v>242.55656791131133</v>
      </c>
      <c r="H9" s="5"/>
    </row>
    <row r="10">
      <c r="A10" s="27" t="s">
        <v>367</v>
      </c>
      <c r="B10" s="13">
        <f>B70</f>
        <v>51.464</v>
      </c>
      <c r="C10" s="13">
        <f>C70-B70</f>
        <v>52.043000000000006</v>
      </c>
      <c r="D10" s="13">
        <f>D70-C70</f>
        <v>52.291</v>
      </c>
      <c r="E10" s="13">
        <f>E70-D70</f>
        <v>57.69200000000001</v>
      </c>
      <c r="F10" s="13">
        <f>E70</f>
        <v>213.49</v>
      </c>
      <c r="G10" s="59">
        <v>57</v>
      </c>
      <c r="H10" s="5" t="s">
        <v>368</v>
      </c>
    </row>
    <row r="11">
      <c r="A11" s="16" t="s">
        <v>57</v>
      </c>
      <c r="B11" s="3">
        <f>IF(B115=0,"n.a.",B10/B115-1)</f>
        <v>0.11430118003680834</v>
      </c>
      <c r="C11" s="3">
        <f>IF(C115=0,"n.a.",C10/C115-1)</f>
        <v>0.11781004338674372</v>
      </c>
      <c r="D11" s="3">
        <f>IF(D115=0,"n.a.",D10/D115-1)</f>
        <v>0.1043739044119194</v>
      </c>
      <c r="E11" s="3">
        <f>IF(E115=0,"n.a.",E10/E115-1)</f>
        <v>0.07337947458510108</v>
      </c>
      <c r="F11" s="3">
        <f>IF(F115=0,"n.a.",F10/F115-1)</f>
        <v>0.1013722657862155</v>
      </c>
      <c r="G11" s="30">
        <f>IF(G115=0,"n.a.",G10/G115-1)</f>
        <v>0.10757034043214686</v>
      </c>
      <c r="H11" s="5"/>
    </row>
    <row r="12">
      <c r="A12" s="16" t="s">
        <v>66</v>
      </c>
      <c r="B12" s="1">
        <f>B10-E115</f>
        <v>-2.283999999999992</v>
      </c>
      <c r="C12" s="1">
        <f>C10-B10</f>
        <v>0.5790000000000077</v>
      </c>
      <c r="D12" s="1">
        <f>D10-C10</f>
        <v>0.24799999999999045</v>
      </c>
      <c r="E12" s="1">
        <f>E10-D10</f>
        <v>5.4010000000000105</v>
      </c>
      <c r="F12" s="1"/>
      <c r="G12" s="34">
        <f>G10-E10</f>
        <v>-0.6920000000000073</v>
      </c>
      <c r="H12" s="5"/>
    </row>
    <row r="13">
      <c r="A13" s="27" t="s">
        <v>369</v>
      </c>
      <c r="B13" s="13">
        <f>B71</f>
        <v>0</v>
      </c>
      <c r="C13" s="13">
        <f>C71-B71</f>
        <v>-12.707</v>
      </c>
      <c r="D13" s="13">
        <f>D71-C71</f>
        <v>0</v>
      </c>
      <c r="E13" s="13">
        <f>E71-D71</f>
        <v>-1.7109999999999985</v>
      </c>
      <c r="F13" s="13">
        <f>E71</f>
        <v>-14.418</v>
      </c>
      <c r="G13" s="59">
        <v>0</v>
      </c>
      <c r="H13" s="5"/>
    </row>
    <row r="14">
      <c r="A14" s="27" t="s">
        <v>174</v>
      </c>
      <c r="B14" s="13">
        <f>B72</f>
        <v>0</v>
      </c>
      <c r="C14" s="13">
        <f>C72-B72</f>
        <v>0</v>
      </c>
      <c r="D14" s="13">
        <f>D72-C72</f>
        <v>0</v>
      </c>
      <c r="E14" s="13">
        <f>E72-D72</f>
        <v>9.721</v>
      </c>
      <c r="F14" s="13">
        <f>E72</f>
        <v>9.721</v>
      </c>
      <c r="G14" s="59">
        <v>0</v>
      </c>
      <c r="H14" s="5"/>
    </row>
    <row r="15">
      <c r="A15" s="27" t="s">
        <v>182</v>
      </c>
      <c r="B15" s="13">
        <f>B73</f>
        <v>0</v>
      </c>
      <c r="C15" s="13">
        <f>C73-B73</f>
        <v>0</v>
      </c>
      <c r="D15" s="13">
        <f>D73-C73</f>
        <v>0</v>
      </c>
      <c r="E15" s="13">
        <f>E73-D73</f>
        <v>0</v>
      </c>
      <c r="F15" s="13">
        <f>E73</f>
        <v>0</v>
      </c>
      <c r="G15" s="59">
        <v>0</v>
      </c>
      <c r="H15" s="5"/>
    </row>
    <row r="16">
      <c r="A16" s="27" t="s">
        <v>326</v>
      </c>
      <c r="B16" s="13">
        <f>B74</f>
        <v>1.304</v>
      </c>
      <c r="C16" s="13">
        <f>C74-B74</f>
        <v>-3.7329999999999997</v>
      </c>
      <c r="D16" s="13">
        <f>D74-C74</f>
        <v>25.084999999999997</v>
      </c>
      <c r="E16" s="13">
        <f>E74-D74</f>
        <v>10.176000000000002</v>
      </c>
      <c r="F16" s="13">
        <f>E74</f>
        <v>32.832</v>
      </c>
      <c r="G16" s="59">
        <v>0</v>
      </c>
      <c r="H16" s="5"/>
    </row>
    <row r="17">
      <c r="A17" s="27" t="s">
        <v>370</v>
      </c>
      <c r="B17" s="13">
        <f>B75</f>
        <v>5.475</v>
      </c>
      <c r="C17" s="13">
        <f>C75-B75</f>
        <v>9.099</v>
      </c>
      <c r="D17" s="13">
        <f>D75-C75</f>
        <v>9.885</v>
      </c>
      <c r="E17" s="13">
        <f>E75-D75</f>
        <v>8.389</v>
      </c>
      <c r="F17" s="13">
        <f>E75</f>
        <v>32.848</v>
      </c>
      <c r="G17" s="59">
        <v>8</v>
      </c>
      <c r="H17" s="5" t="s">
        <v>371</v>
      </c>
    </row>
    <row r="18">
      <c r="A18" s="16" t="s">
        <v>57</v>
      </c>
      <c r="B18" s="3">
        <f>IF(B116=0,"n.a.",B17/B116-1)</f>
        <v>-0.1206231930613556</v>
      </c>
      <c r="C18" s="3">
        <f>IF(C116=0,"n.a.",C17/C116-1)</f>
        <v>0.2425235559197052</v>
      </c>
      <c r="D18" s="3">
        <f>IF(D116=0,"n.a.",D17/D116-1)</f>
        <v>0.2441787287602264</v>
      </c>
      <c r="E18" s="3">
        <f>IF(E116=0,"n.a.",E17/E116-1)</f>
        <v>0.5120764239365532</v>
      </c>
      <c r="F18" s="3">
        <f>IF(F116=0,"n.a.",F17/F116-1)</f>
        <v>0.21470305450780258</v>
      </c>
      <c r="G18" s="30">
        <f>IF(G116=0,"n.a.",G17/G116-1)</f>
        <v>0.4611872146118723</v>
      </c>
      <c r="H18" s="5"/>
    </row>
    <row r="19">
      <c r="A19" s="16" t="s">
        <v>66</v>
      </c>
      <c r="B19" s="1">
        <f>B17-E116</f>
        <v>-0.07300000000000217</v>
      </c>
      <c r="C19" s="1">
        <f>C17-B17</f>
        <v>3.6240000000000006</v>
      </c>
      <c r="D19" s="1">
        <f>D17-C17</f>
        <v>0.7859999999999996</v>
      </c>
      <c r="E19" s="1">
        <f>E17-D17</f>
        <v>-1.4960000000000004</v>
      </c>
      <c r="F19" s="1"/>
      <c r="G19" s="34">
        <f>G17-E17</f>
        <v>-0.38899999999999935</v>
      </c>
      <c r="H19" s="5"/>
    </row>
    <row r="20">
      <c r="A20" s="27" t="s">
        <v>372</v>
      </c>
      <c r="B20" s="13">
        <f>B76</f>
        <v>-8.673</v>
      </c>
      <c r="C20" s="13">
        <f>C76-B76</f>
        <v>-5.5489999999999995</v>
      </c>
      <c r="D20" s="13">
        <f>D76-C76</f>
        <v>-3.5939999999999994</v>
      </c>
      <c r="E20" s="13">
        <f>E76-D76</f>
        <v>-7.606000000000002</v>
      </c>
      <c r="F20" s="13">
        <f>E76</f>
        <v>-25.422</v>
      </c>
      <c r="G20" s="10">
        <f>-'Income Statement'!G160</f>
        <v>0</v>
      </c>
      <c r="H20" s="5"/>
    </row>
    <row r="21">
      <c r="A21" s="27" t="s">
        <v>373</v>
      </c>
      <c r="B21" s="13">
        <f>B77</f>
        <v>0</v>
      </c>
      <c r="C21" s="13">
        <f>C77-B77</f>
        <v>-4.73</v>
      </c>
      <c r="D21" s="13">
        <f>D77-C77</f>
        <v>0.055000000000000604</v>
      </c>
      <c r="E21" s="13">
        <f>E77-D77</f>
        <v>-1.4180000000000001</v>
      </c>
      <c r="F21" s="13">
        <f>E77</f>
        <v>-6.093</v>
      </c>
      <c r="G21" s="59">
        <v>0</v>
      </c>
      <c r="H21" s="5"/>
    </row>
    <row r="22">
      <c r="A22" s="27" t="s">
        <v>327</v>
      </c>
      <c r="B22" s="13">
        <f>B78</f>
        <v>-0.324</v>
      </c>
      <c r="C22" s="13">
        <f>C78-B78</f>
        <v>0.03400000000000003</v>
      </c>
      <c r="D22" s="13">
        <f>D78-C78</f>
        <v>-0.17600000000000005</v>
      </c>
      <c r="E22" s="13">
        <f>E78-D78</f>
        <v>-0.021999999999999964</v>
      </c>
      <c r="F22" s="13">
        <f>E78</f>
        <v>-0.488</v>
      </c>
      <c r="G22" s="59">
        <v>0</v>
      </c>
      <c r="H22" s="5"/>
    </row>
    <row r="23">
      <c r="A23" s="27" t="s">
        <v>374</v>
      </c>
      <c r="B23" s="13">
        <f>B79</f>
        <v>49.331</v>
      </c>
      <c r="C23" s="13">
        <f>C79-B79</f>
        <v>141.41000000000003</v>
      </c>
      <c r="D23" s="13">
        <f>D79-C79</f>
        <v>116.15899999999996</v>
      </c>
      <c r="E23" s="13">
        <f>E79-D79</f>
        <v>-426.245</v>
      </c>
      <c r="F23" s="13">
        <f>E79</f>
        <v>-119.345</v>
      </c>
      <c r="G23" s="26">
        <f>B23</f>
        <v>49.331</v>
      </c>
      <c r="H23" s="5" t="s">
        <v>375</v>
      </c>
    </row>
    <row r="24">
      <c r="A24" s="27" t="s">
        <v>376</v>
      </c>
      <c r="B24" s="13">
        <f>B80</f>
        <v>-16.005</v>
      </c>
      <c r="C24" s="13">
        <f>C80-B80</f>
        <v>-10.409000000000002</v>
      </c>
      <c r="D24" s="13">
        <f>D80-C80</f>
        <v>-27.568999999999996</v>
      </c>
      <c r="E24" s="13">
        <f>E80-D80</f>
        <v>72.506</v>
      </c>
      <c r="F24" s="13">
        <f>E80</f>
        <v>18.523</v>
      </c>
      <c r="G24" s="26">
        <f>B24</f>
        <v>-16.005</v>
      </c>
      <c r="H24" s="5"/>
    </row>
    <row r="25">
      <c r="A25" s="27" t="s">
        <v>377</v>
      </c>
      <c r="B25" s="13">
        <f>B81</f>
        <v>-18.051</v>
      </c>
      <c r="C25" s="13">
        <f>C81-B81</f>
        <v>32.945</v>
      </c>
      <c r="D25" s="13">
        <f>D81-C81</f>
        <v>-16.354</v>
      </c>
      <c r="E25" s="13">
        <f>E81-D81</f>
        <v>-84.13600000000001</v>
      </c>
      <c r="F25" s="13">
        <f>E81</f>
        <v>-85.596</v>
      </c>
      <c r="G25" s="26">
        <f>B25</f>
        <v>-18.051</v>
      </c>
      <c r="H25" s="5"/>
    </row>
    <row r="26">
      <c r="A26" s="27" t="s">
        <v>378</v>
      </c>
      <c r="B26" s="13">
        <f>B82</f>
        <v>7.81</v>
      </c>
      <c r="C26" s="13">
        <f>C82-B82</f>
        <v>-21.365</v>
      </c>
      <c r="D26" s="13">
        <f>D82-C82</f>
        <v>-71.58699999999999</v>
      </c>
      <c r="E26" s="13">
        <f>E82-D82</f>
        <v>152.8</v>
      </c>
      <c r="F26" s="13">
        <f>E82</f>
        <v>67.658</v>
      </c>
      <c r="G26" s="26">
        <f>B26</f>
        <v>7.81</v>
      </c>
      <c r="H26" s="5"/>
    </row>
    <row r="27">
      <c r="A27" s="27" t="s">
        <v>379</v>
      </c>
      <c r="B27" s="13">
        <f>B83</f>
        <v>-99.296</v>
      </c>
      <c r="C27" s="13">
        <f>C83-B83</f>
        <v>41.029</v>
      </c>
      <c r="D27" s="13">
        <f>D83-C83</f>
        <v>-1.9129999999999967</v>
      </c>
      <c r="E27" s="13">
        <f>E83-D83</f>
        <v>75.029</v>
      </c>
      <c r="F27" s="13">
        <f>E83</f>
        <v>14.849</v>
      </c>
      <c r="G27" s="26">
        <f>B27</f>
        <v>-99.296</v>
      </c>
      <c r="H27" s="5"/>
    </row>
    <row r="28">
      <c r="A28" s="27" t="s">
        <v>380</v>
      </c>
      <c r="B28" s="13">
        <f>B84</f>
        <v>-6.098</v>
      </c>
      <c r="C28" s="13">
        <f>C84-B84</f>
        <v>1.8499999999999996</v>
      </c>
      <c r="D28" s="13">
        <f>D84-C84</f>
        <v>-0.07899999999999974</v>
      </c>
      <c r="E28" s="13">
        <f>E84-D84</f>
        <v>17.241999999999997</v>
      </c>
      <c r="F28" s="13">
        <f>E84</f>
        <v>12.915</v>
      </c>
      <c r="G28" s="26">
        <f>B28</f>
        <v>-6.098</v>
      </c>
      <c r="H28" s="5"/>
    </row>
    <row r="29">
      <c r="A29" s="27" t="s">
        <v>381</v>
      </c>
      <c r="B29" s="13">
        <f>B85</f>
        <v>42.733</v>
      </c>
      <c r="C29" s="13">
        <f>C85-B85</f>
        <v>-35.69199999999999</v>
      </c>
      <c r="D29" s="13">
        <f>D85-C85</f>
        <v>-60.354</v>
      </c>
      <c r="E29" s="13">
        <f>E85-D85</f>
        <v>138.06400000000002</v>
      </c>
      <c r="F29" s="13">
        <f>E85</f>
        <v>84.751</v>
      </c>
      <c r="G29" s="26">
        <f>B29</f>
        <v>42.733</v>
      </c>
      <c r="H29" s="5"/>
    </row>
    <row r="30">
      <c r="A30" s="7" t="s">
        <v>382</v>
      </c>
      <c r="B30" s="28">
        <f>B9+B10+B13+B14+B15+B16+B17+B20+B21+B22+B23+B24+B25+B26+B27+B28+B29</f>
        <v>237.51</v>
      </c>
      <c r="C30" s="28">
        <f>C9+C10+C13+C14+C15+C16+C17+C20+C21+C22+C23+C24+C25+C26+C27+C28+C29</f>
        <v>345.699</v>
      </c>
      <c r="D30" s="28">
        <f>D9+D10+D13+D14+D15+D16+D17+D20+D21+D22+D23+D24+D25+D26+D27+D28+D29</f>
        <v>73.46299999999995</v>
      </c>
      <c r="E30" s="28">
        <f>E9+E10+E13+E14+E15+E16+E17+E20+E21+E22+E23+E24+E25+E26+E27+E28+E29</f>
        <v>242.03599999999997</v>
      </c>
      <c r="F30" s="28">
        <f>F9+F10+F13+F14+F15+F16+F17+F20+F21+F22+F23+F24+F25+F26+F27+F28+F29</f>
        <v>898.7079999999999</v>
      </c>
      <c r="G30" s="19">
        <f>G9+G10+G13+G14+G15+G16+G17+G20+G21+G22+G23+G24+G25+G26+G27+G28+G29</f>
        <v>267.98056791131137</v>
      </c>
      <c r="H30" s="5"/>
    </row>
    <row r="31">
      <c r="A31" s="66" t="s">
        <v>57</v>
      </c>
      <c r="B31" s="3">
        <f>IF(B121=0,"n.a.",B30/B121-1)</f>
        <v>-0.04252617320879315</v>
      </c>
      <c r="C31" s="3">
        <f>IF(C121=0,"n.a.",C30/C121-1)</f>
        <v>0.2370736699719802</v>
      </c>
      <c r="D31" s="3">
        <f>IF(D121=0,"n.a.",D30/D121-1)</f>
        <v>-0.19716077985661795</v>
      </c>
      <c r="E31" s="3">
        <f>IF(E121=0,"n.a.",E30/E121-1)</f>
        <v>0.6224644384560711</v>
      </c>
      <c r="F31" s="3">
        <f>IF(F121=0,"n.a.",F30/F121-1)</f>
        <v>0.1699032791366717</v>
      </c>
      <c r="G31" s="30">
        <f>IF(G121=0,"n.a.",G30/G121-1)</f>
        <v>0.12829172629073038</v>
      </c>
      <c r="H31" s="5"/>
    </row>
    <row r="32">
      <c r="A32" s="66" t="s">
        <v>383</v>
      </c>
      <c r="B32" s="1"/>
      <c r="C32" s="1">
        <f>C30-B30</f>
        <v>108.18900000000002</v>
      </c>
      <c r="D32" s="1">
        <f>D30-C30</f>
        <v>-272.23600000000005</v>
      </c>
      <c r="E32" s="1">
        <f>E30-D30</f>
        <v>168.57300000000004</v>
      </c>
      <c r="F32" s="1"/>
      <c r="G32" s="34">
        <f>G30-E30</f>
        <v>25.944567911311395</v>
      </c>
      <c r="H32" s="5"/>
    </row>
    <row r="33">
      <c r="A33" s="7" t="s">
        <v>384</v>
      </c>
      <c r="B33" s="4"/>
      <c r="C33" s="4"/>
      <c r="D33" s="4"/>
      <c r="E33" s="4"/>
      <c r="F33" s="4"/>
      <c r="G33" s="39"/>
      <c r="H33" s="5"/>
    </row>
    <row r="34">
      <c r="A34" s="27" t="s">
        <v>385</v>
      </c>
      <c r="B34" s="13">
        <f>B87</f>
        <v>-62.461</v>
      </c>
      <c r="C34" s="13">
        <f>C87-B87</f>
        <v>-49.336</v>
      </c>
      <c r="D34" s="13">
        <f>D87-C87</f>
        <v>-47.84200000000001</v>
      </c>
      <c r="E34" s="13">
        <f>E87-D87</f>
        <v>-63.867999999999995</v>
      </c>
      <c r="F34" s="13">
        <f>E87</f>
        <v>-223.507</v>
      </c>
      <c r="G34" s="59">
        <v>-57.5</v>
      </c>
      <c r="H34" s="5" t="s">
        <v>386</v>
      </c>
    </row>
    <row r="35">
      <c r="A35" s="16" t="s">
        <v>57</v>
      </c>
      <c r="B35" s="3">
        <f>IF(B117=0,"n.a.",B34/B117-1)</f>
        <v>0.2309526624886682</v>
      </c>
      <c r="C35" s="3">
        <f>IF(C117=0,"n.a.",C34/C117-1)</f>
        <v>-0.01308261652330478</v>
      </c>
      <c r="D35" s="3">
        <f>IF(D117=0,"n.a.",D34/D117-1)</f>
        <v>-0.17785949958757208</v>
      </c>
      <c r="E35" s="3">
        <f>IF(E117=0,"n.a.",E34/E117-1)</f>
        <v>-0.10052671605216468</v>
      </c>
      <c r="F35" s="3">
        <f>IF(F117=0,"n.a.",F34/F117-1)</f>
        <v>-0.027934588787892012</v>
      </c>
      <c r="G35" s="30">
        <f>IF(G117=0,"n.a.",G34/G117-1)</f>
        <v>-0.07942556155040748</v>
      </c>
      <c r="H35" s="5"/>
    </row>
    <row r="36">
      <c r="A36" s="16" t="s">
        <v>66</v>
      </c>
      <c r="B36" s="1">
        <f>B34-E117</f>
        <v>8.545000000000002</v>
      </c>
      <c r="C36" s="1">
        <f>C34-B34</f>
        <v>13.125</v>
      </c>
      <c r="D36" s="1">
        <f>D34-C34</f>
        <v>1.4939999999999856</v>
      </c>
      <c r="E36" s="1">
        <f>E34-D34</f>
        <v>-16.025999999999982</v>
      </c>
      <c r="F36" s="1"/>
      <c r="G36" s="34">
        <f>G34-E34</f>
        <v>6.367999999999995</v>
      </c>
      <c r="H36" s="5"/>
    </row>
    <row r="37">
      <c r="A37" s="27" t="s">
        <v>387</v>
      </c>
      <c r="B37" s="13">
        <f>B88</f>
        <v>-115.695</v>
      </c>
      <c r="C37" s="13">
        <f>C88-B88</f>
        <v>-45.93800000000002</v>
      </c>
      <c r="D37" s="13">
        <f>D88-C88</f>
        <v>0.0800000000000125</v>
      </c>
      <c r="E37" s="13">
        <f>E88-D88</f>
        <v>-40.849999999999994</v>
      </c>
      <c r="F37" s="13">
        <f>E88</f>
        <v>-202.403</v>
      </c>
      <c r="G37" s="59">
        <v>0</v>
      </c>
      <c r="H37" s="5" t="s">
        <v>388</v>
      </c>
    </row>
    <row r="38">
      <c r="A38" s="27" t="s">
        <v>389</v>
      </c>
      <c r="B38" s="13">
        <f>B89</f>
        <v>-6.283</v>
      </c>
      <c r="C38" s="13">
        <f>C89-B89</f>
        <v>-14.189999999999998</v>
      </c>
      <c r="D38" s="13">
        <f>D89-C89</f>
        <v>-7.097000000000001</v>
      </c>
      <c r="E38" s="13">
        <f>E89-D89</f>
        <v>-6.701999999999998</v>
      </c>
      <c r="F38" s="13">
        <f>E89</f>
        <v>-34.272</v>
      </c>
      <c r="G38" s="59">
        <v>0</v>
      </c>
      <c r="H38" s="5"/>
    </row>
    <row r="39">
      <c r="A39" s="27" t="s">
        <v>390</v>
      </c>
      <c r="B39" s="13">
        <f>B90</f>
        <v>1.525</v>
      </c>
      <c r="C39" s="13">
        <f>C90-B90</f>
        <v>11.433</v>
      </c>
      <c r="D39" s="13">
        <f>D90-C90</f>
        <v>3.959999999999999</v>
      </c>
      <c r="E39" s="13">
        <f>E90-D90</f>
        <v>2.8629999999999995</v>
      </c>
      <c r="F39" s="13">
        <f>E90</f>
        <v>19.781</v>
      </c>
      <c r="G39" s="59">
        <v>0</v>
      </c>
      <c r="H39" s="5"/>
    </row>
    <row r="40">
      <c r="A40" s="27" t="s">
        <v>391</v>
      </c>
      <c r="B40" s="13">
        <f>B91</f>
        <v>0</v>
      </c>
      <c r="C40" s="13">
        <f>C91-B91</f>
        <v>3.866</v>
      </c>
      <c r="D40" s="13">
        <f>D91-C91</f>
        <v>14.333000000000002</v>
      </c>
      <c r="E40" s="13">
        <f>E91-D91</f>
        <v>5.037999999999997</v>
      </c>
      <c r="F40" s="13">
        <f>E91</f>
        <v>23.237</v>
      </c>
      <c r="G40" s="59">
        <v>0</v>
      </c>
      <c r="H40" s="5"/>
    </row>
    <row r="41">
      <c r="A41" s="27" t="s">
        <v>327</v>
      </c>
      <c r="B41" s="13">
        <f>B92</f>
        <v>0.523</v>
      </c>
      <c r="C41" s="13">
        <f>C92-B92</f>
        <v>-0.523</v>
      </c>
      <c r="D41" s="13">
        <f>D92-C92</f>
        <v>-0.01</v>
      </c>
      <c r="E41" s="13">
        <f>E92-D92</f>
        <v>0</v>
      </c>
      <c r="F41" s="13">
        <f>E92</f>
        <v>-0.01</v>
      </c>
      <c r="G41" s="59">
        <v>0</v>
      </c>
      <c r="H41" s="5"/>
    </row>
    <row r="42">
      <c r="A42" s="7" t="s">
        <v>392</v>
      </c>
      <c r="B42" s="28">
        <f>B34+B37+B38+B39+B40+B41</f>
        <v>-182.391</v>
      </c>
      <c r="C42" s="28">
        <f>C34+C37+C38+C39+C40+C41</f>
        <v>-94.688</v>
      </c>
      <c r="D42" s="28">
        <f>D34+D37+D38+D39+D40+D41</f>
        <v>-36.576</v>
      </c>
      <c r="E42" s="28">
        <f>E34+E37+E38+E39+E40+E41</f>
        <v>-103.51899999999999</v>
      </c>
      <c r="F42" s="28">
        <f>F34+F37+F38+F39+F40+F41</f>
        <v>-417.1739999999999</v>
      </c>
      <c r="G42" s="19">
        <f>G34+G37+G38+G39+G40+G41</f>
        <v>-57.5</v>
      </c>
      <c r="H42" s="5"/>
    </row>
    <row r="43">
      <c r="A43" s="7" t="s">
        <v>393</v>
      </c>
      <c r="B43" s="4"/>
      <c r="C43" s="4"/>
      <c r="D43" s="4"/>
      <c r="E43" s="4"/>
      <c r="F43" s="4"/>
      <c r="G43" s="39"/>
      <c r="H43" s="5"/>
    </row>
    <row r="44">
      <c r="A44" s="27" t="s">
        <v>394</v>
      </c>
      <c r="B44" s="13">
        <f>B94</f>
        <v>35</v>
      </c>
      <c r="C44" s="13">
        <f>C94-B94</f>
        <v>75</v>
      </c>
      <c r="D44" s="13">
        <f>D94-C94</f>
        <v>-61</v>
      </c>
      <c r="E44" s="13">
        <f>E94-D94</f>
        <v>35</v>
      </c>
      <c r="F44" s="13">
        <f>E94</f>
        <v>84</v>
      </c>
      <c r="G44" s="59">
        <v>0</v>
      </c>
      <c r="H44" s="5"/>
    </row>
    <row r="45">
      <c r="A45" s="27" t="s">
        <v>395</v>
      </c>
      <c r="B45" s="13">
        <f>B95</f>
        <v>-14.972</v>
      </c>
      <c r="C45" s="13">
        <f>C95-B95</f>
        <v>-221.53699999999998</v>
      </c>
      <c r="D45" s="13">
        <f>D95-C95</f>
        <v>83.01999999999998</v>
      </c>
      <c r="E45" s="13">
        <f>E95-D95</f>
        <v>-55.37299999999999</v>
      </c>
      <c r="F45" s="13">
        <f>E95</f>
        <v>-208.862</v>
      </c>
      <c r="G45" s="59">
        <v>0</v>
      </c>
      <c r="H45" s="5"/>
    </row>
    <row r="46">
      <c r="A46" s="27" t="s">
        <v>396</v>
      </c>
      <c r="B46" s="13">
        <f>B96</f>
        <v>-64.521</v>
      </c>
      <c r="C46" s="13">
        <f>C96-B96</f>
        <v>-69.198</v>
      </c>
      <c r="D46" s="13">
        <f>D96-C96</f>
        <v>-69.07</v>
      </c>
      <c r="E46" s="13">
        <f>E96-D96</f>
        <v>-68.916</v>
      </c>
      <c r="F46" s="13">
        <f>E96</f>
        <v>-271.705</v>
      </c>
      <c r="G46" s="10">
        <f>-Inputs!B115*'Balance Sheet'!E58</f>
        <v>-68.92722</v>
      </c>
      <c r="H46" s="5" t="s">
        <v>397</v>
      </c>
    </row>
    <row r="47">
      <c r="A47" s="16" t="s">
        <v>57</v>
      </c>
      <c r="B47" s="3">
        <f>IF(B118=0,"n.a.",B46/B118-1)</f>
        <v>0.09558174285132104</v>
      </c>
      <c r="C47" s="3">
        <f>IF(C118=0,"n.a.",C46/C118-1)</f>
        <v>0.05449391972204465</v>
      </c>
      <c r="D47" s="3">
        <f>IF(D118=0,"n.a.",D46/D118-1)</f>
        <v>0.05369946605644538</v>
      </c>
      <c r="E47" s="3">
        <f>IF(E118=0,"n.a.",E46/E118-1)</f>
        <v>0.052168735400540456</v>
      </c>
      <c r="F47" s="3">
        <f>IF(F118=0,"n.a.",F46/F118-1)</f>
        <v>0.06316250787477062</v>
      </c>
      <c r="G47" s="30">
        <f>IF(G118=0,"n.a.",G46/G118-1)</f>
        <v>0.06829125401032221</v>
      </c>
      <c r="H47" s="5"/>
    </row>
    <row r="48">
      <c r="A48" s="16" t="s">
        <v>66</v>
      </c>
      <c r="B48" s="1">
        <f>B46-E118</f>
        <v>0.9779999999999944</v>
      </c>
      <c r="C48" s="1">
        <f>C46-B46</f>
        <v>-4.6769999999999925</v>
      </c>
      <c r="D48" s="1">
        <f>D46-C46</f>
        <v>0.1280000000000001</v>
      </c>
      <c r="E48" s="1">
        <f>E46-D46</f>
        <v>0.15399999999999636</v>
      </c>
      <c r="F48" s="1"/>
      <c r="G48" s="34">
        <f>G46-E46</f>
        <v>-0.011220000000008667</v>
      </c>
      <c r="H48" s="5"/>
    </row>
    <row r="49">
      <c r="A49" s="27" t="s">
        <v>398</v>
      </c>
      <c r="B49" s="13">
        <f>B97</f>
        <v>-17.5</v>
      </c>
      <c r="C49" s="13">
        <f>C97-B97</f>
        <v>-17.5</v>
      </c>
      <c r="D49" s="13">
        <f>D97-C97</f>
        <v>-17.5</v>
      </c>
      <c r="E49" s="13">
        <f>E97-D97</f>
        <v>-24.997</v>
      </c>
      <c r="F49" s="13">
        <f>E97</f>
        <v>-77.497</v>
      </c>
      <c r="G49" s="59">
        <v>-25</v>
      </c>
      <c r="H49" s="5" t="s">
        <v>399</v>
      </c>
    </row>
    <row r="50">
      <c r="A50" s="16" t="s">
        <v>57</v>
      </c>
      <c r="B50" s="3">
        <f>IF(B119=0,"n.a.",B49/B119-1)</f>
        <v>0</v>
      </c>
      <c r="C50" s="3">
        <f>IF(C119=0,"n.a.",C49/C119-1)</f>
        <v>0</v>
      </c>
      <c r="D50" s="3">
        <f>IF(D119=0,"n.a.",D49/D119-1)</f>
        <v>0.00005714612263552077</v>
      </c>
      <c r="E50" s="3">
        <f>IF(E119=0,"n.a.",E49/E119-1)</f>
        <v>0.42840000000000056</v>
      </c>
      <c r="F50" s="3">
        <f>IF(F119=0,"n.a.",F49/F119-1)</f>
        <v>0.1071158159402279</v>
      </c>
      <c r="G50" s="30">
        <f>IF(G119=0,"n.a.",G49/G119-1)</f>
        <v>0.4285714285714286</v>
      </c>
      <c r="H50" s="5"/>
    </row>
    <row r="51">
      <c r="A51" s="16" t="s">
        <v>66</v>
      </c>
      <c r="B51" s="1">
        <f>B49-E119</f>
        <v>0</v>
      </c>
      <c r="C51" s="1">
        <f>C49-B49</f>
        <v>0</v>
      </c>
      <c r="D51" s="1">
        <f>D49-C49</f>
        <v>0</v>
      </c>
      <c r="E51" s="1">
        <f>E49-D49</f>
        <v>-7.497</v>
      </c>
      <c r="F51" s="1"/>
      <c r="G51" s="34">
        <f>G49-E49</f>
        <v>-0.0030000000000001137</v>
      </c>
      <c r="H51" s="5"/>
    </row>
    <row r="52">
      <c r="A52" s="27" t="s">
        <v>400</v>
      </c>
      <c r="B52" s="13">
        <f>B98</f>
        <v>-1.921</v>
      </c>
      <c r="C52" s="13">
        <f>C98-B98</f>
        <v>-0.24599999999999977</v>
      </c>
      <c r="D52" s="13">
        <f>D98-C98</f>
        <v>-1.169</v>
      </c>
      <c r="E52" s="13">
        <f>E98-D98</f>
        <v>-1.698</v>
      </c>
      <c r="F52" s="13">
        <f>E98</f>
        <v>-5.034</v>
      </c>
      <c r="G52" s="59">
        <v>-2</v>
      </c>
      <c r="H52" s="5"/>
    </row>
    <row r="53">
      <c r="A53" s="16" t="s">
        <v>57</v>
      </c>
      <c r="B53" s="3">
        <f>IF(B120=0,"n.a.",B52/B120-1)</f>
        <v>-0.8752273317744869</v>
      </c>
      <c r="C53" s="3">
        <f>IF(C120=0,"n.a.",C52/C120-1)</f>
        <v>-0.6737400530503972</v>
      </c>
      <c r="D53" s="3">
        <f>IF(D120=0,"n.a.",D52/D120-1)</f>
        <v>0.18080808080807853</v>
      </c>
      <c r="E53" s="3">
        <f>IF(E120=0,"n.a.",E52/E120-1)</f>
        <v>0.09831824062095773</v>
      </c>
      <c r="F53" s="3">
        <f>IF(F120=0,"n.a.",F52/F120-1)</f>
        <v>-0.7306004495344107</v>
      </c>
      <c r="G53" s="30">
        <f>IF(G120=0,"n.a.",G52/G120-1)</f>
        <v>0.041124414367516904</v>
      </c>
      <c r="H53" s="5"/>
    </row>
    <row r="54">
      <c r="A54" s="16" t="s">
        <v>66</v>
      </c>
      <c r="B54" s="1">
        <f>B52-E120</f>
        <v>-0.37500000000000067</v>
      </c>
      <c r="C54" s="1">
        <f>C52-B52</f>
        <v>1.6750000000000003</v>
      </c>
      <c r="D54" s="1">
        <f>D52-C52</f>
        <v>-0.9230000000000003</v>
      </c>
      <c r="E54" s="1">
        <f>E52-D52</f>
        <v>-0.5289999999999999</v>
      </c>
      <c r="F54" s="1"/>
      <c r="G54" s="34">
        <f>G52-E52</f>
        <v>-0.30200000000000005</v>
      </c>
      <c r="H54" s="5"/>
    </row>
    <row r="55">
      <c r="A55" s="27" t="s">
        <v>401</v>
      </c>
      <c r="B55" s="13">
        <f>B99</f>
        <v>0</v>
      </c>
      <c r="C55" s="13">
        <f>C99-B99</f>
        <v>0</v>
      </c>
      <c r="D55" s="13">
        <f>D99-C99</f>
        <v>0</v>
      </c>
      <c r="E55" s="13">
        <f>E99-D99</f>
        <v>0</v>
      </c>
      <c r="F55" s="13">
        <f>E99</f>
        <v>0</v>
      </c>
      <c r="G55" s="59">
        <v>0</v>
      </c>
      <c r="H55" s="5"/>
    </row>
    <row r="56">
      <c r="A56" s="27" t="s">
        <v>327</v>
      </c>
      <c r="B56" s="13">
        <f>B100</f>
        <v>-0.221</v>
      </c>
      <c r="C56" s="13">
        <f>C100-B100</f>
        <v>-0.217</v>
      </c>
      <c r="D56" s="13">
        <f>D100-C100</f>
        <v>-2.453</v>
      </c>
      <c r="E56" s="13">
        <f>E100-D100</f>
        <v>-0.242</v>
      </c>
      <c r="F56" s="13">
        <f>E100</f>
        <v>-3.133</v>
      </c>
      <c r="G56" s="59">
        <v>0</v>
      </c>
      <c r="H56" s="5"/>
    </row>
    <row r="57">
      <c r="A57" s="7" t="s">
        <v>402</v>
      </c>
      <c r="B57" s="28">
        <f>B44+B45+B46+B49+B52+B55+B56</f>
        <v>-64.135</v>
      </c>
      <c r="C57" s="28">
        <f>C44+C45+C46+C49+C52+C55+C56</f>
        <v>-233.69799999999998</v>
      </c>
      <c r="D57" s="28">
        <f>D44+D45+D46+D49+D52+D55+D56</f>
        <v>-68.17200000000001</v>
      </c>
      <c r="E57" s="28">
        <f>E44+E45+E46+E49+E52+E55+E56</f>
        <v>-116.22599999999998</v>
      </c>
      <c r="F57" s="28">
        <f>F44+F45+F46+F49+F52+F55+F56</f>
        <v>-482.231</v>
      </c>
      <c r="G57" s="19">
        <f>G44+G45+G46+G49+G52+G55+G56</f>
        <v>-95.92722</v>
      </c>
      <c r="H57" s="5"/>
    </row>
    <row r="58">
      <c r="A58" s="27" t="s">
        <v>403</v>
      </c>
      <c r="B58" s="13">
        <f>B102</f>
        <v>3.954</v>
      </c>
      <c r="C58" s="13">
        <f>C102-B102</f>
        <v>2.204</v>
      </c>
      <c r="D58" s="13">
        <f>D102-C102</f>
        <v>8.899000000000001</v>
      </c>
      <c r="E58" s="13">
        <f>E102-D102</f>
        <v>-1.309000000000001</v>
      </c>
      <c r="F58" s="13">
        <f>E102</f>
        <v>13.748</v>
      </c>
      <c r="G58" s="59">
        <v>0</v>
      </c>
      <c r="H58" s="5"/>
    </row>
    <row r="59">
      <c r="A59" s="7" t="s">
        <v>404</v>
      </c>
      <c r="B59" s="28">
        <f>B30+B42+B57+B58</f>
        <v>-5.062000000000005</v>
      </c>
      <c r="C59" s="28">
        <f>C30+C42+C57+C58</f>
        <v>19.517000000000046</v>
      </c>
      <c r="D59" s="28">
        <f>D30+D42+D57+D58</f>
        <v>-22.38600000000006</v>
      </c>
      <c r="E59" s="28">
        <f>E30+E42+E57+E58</f>
        <v>20.98200000000001</v>
      </c>
      <c r="F59" s="28">
        <f>F30+F42+F57+F58</f>
        <v>13.05099999999994</v>
      </c>
      <c r="G59" s="19">
        <f>G30+G42+G57+G58</f>
        <v>114.55334791131136</v>
      </c>
      <c r="H59" s="5"/>
    </row>
    <row r="60">
      <c r="A60" s="27" t="s">
        <v>405</v>
      </c>
      <c r="B60" s="13">
        <f>B104</f>
        <v>302.137</v>
      </c>
      <c r="C60" s="9">
        <f>'Balance Sheet'!B9</f>
        <v>297.075</v>
      </c>
      <c r="D60" s="9">
        <f>'Balance Sheet'!C9</f>
        <v>316.592</v>
      </c>
      <c r="E60" s="9">
        <f>'Balance Sheet'!D9</f>
        <v>294.206</v>
      </c>
      <c r="F60" s="13">
        <f>E104</f>
        <v>302.137</v>
      </c>
      <c r="G60" s="10">
        <f>'Balance Sheet'!E9</f>
        <v>315.188</v>
      </c>
      <c r="H60" s="5"/>
    </row>
    <row r="61">
      <c r="A61" s="7" t="s">
        <v>406</v>
      </c>
      <c r="B61" s="28">
        <f>B60+B59</f>
        <v>297.075</v>
      </c>
      <c r="C61" s="28">
        <f>C60+C59</f>
        <v>316.59200000000004</v>
      </c>
      <c r="D61" s="28">
        <f>D60+D59</f>
        <v>294.2059999999999</v>
      </c>
      <c r="E61" s="28">
        <f>E60+E59</f>
        <v>315.18800000000005</v>
      </c>
      <c r="F61" s="28">
        <f>F60+F59</f>
        <v>315.18799999999993</v>
      </c>
      <c r="G61" s="19">
        <f>G60+G59</f>
        <v>429.7413479113113</v>
      </c>
      <c r="H61" s="5"/>
    </row>
    <row r="62">
      <c r="A62" s="27" t="s">
        <v>407</v>
      </c>
      <c r="B62" s="9">
        <f>'Balance Sheet'!B9</f>
        <v>297.075</v>
      </c>
      <c r="C62" s="9">
        <f>'Balance Sheet'!C9</f>
        <v>316.592</v>
      </c>
      <c r="D62" s="9">
        <f>'Balance Sheet'!D9</f>
        <v>294.206</v>
      </c>
      <c r="E62" s="9">
        <f>'Balance Sheet'!E9</f>
        <v>315.188</v>
      </c>
      <c r="F62" s="9">
        <f>'Balance Sheet'!F9</f>
        <v>315.188</v>
      </c>
      <c r="G62" s="10">
        <f>'Balance Sheet'!G9</f>
        <v>429.7413479113113</v>
      </c>
      <c r="H62" s="5"/>
    </row>
    <row r="63">
      <c r="A63" s="5" t="s">
        <v>408</v>
      </c>
      <c r="B63" s="1">
        <f>ROUND(B61-B62,6)</f>
        <v>0</v>
      </c>
      <c r="C63" s="1">
        <f>ROUND(C61-C62,6)</f>
        <v>0</v>
      </c>
      <c r="D63" s="1">
        <f>ROUND(D61-D62,6)</f>
        <v>0</v>
      </c>
      <c r="E63" s="1">
        <f>ROUND(E61-E62,6)</f>
        <v>0</v>
      </c>
      <c r="F63" s="1">
        <f>ROUND(F61-F62,6)</f>
        <v>0</v>
      </c>
      <c r="G63" s="34" t="s">
        <v>45</v>
      </c>
      <c r="H63" s="5" t="s">
        <v>409</v>
      </c>
    </row>
    <row r="64">
      <c r="A64" s="7" t="s">
        <v>410</v>
      </c>
      <c r="B64" s="28">
        <f>B30+B34</f>
        <v>175.04899999999998</v>
      </c>
      <c r="C64" s="28">
        <f>C30+C34</f>
        <v>296.363</v>
      </c>
      <c r="D64" s="28">
        <f>D30+D34</f>
        <v>25.62099999999994</v>
      </c>
      <c r="E64" s="28">
        <f>E30+E34</f>
        <v>178.16799999999998</v>
      </c>
      <c r="F64" s="28">
        <f>F30+F34</f>
        <v>675.2009999999998</v>
      </c>
      <c r="G64" s="19">
        <f>G30+G34</f>
        <v>210.48056791131137</v>
      </c>
      <c r="H64" s="5"/>
    </row>
    <row r="65">
      <c r="A65" s="66" t="s">
        <v>411</v>
      </c>
      <c r="B65" s="3">
        <f>B64/B9</f>
        <v>0.7682979283707864</v>
      </c>
      <c r="C65" s="3">
        <f>C64/C9</f>
        <v>1.8353604914723112</v>
      </c>
      <c r="D65" s="3">
        <f>D64/D9</f>
        <v>0.49639632657805927</v>
      </c>
      <c r="E65" s="3">
        <f>E64/E9</f>
        <v>0.8041705219922819</v>
      </c>
      <c r="F65" s="3">
        <f>F64/F9</f>
        <v>1.019197473746496</v>
      </c>
      <c r="G65" s="30">
        <f>G64/G9</f>
        <v>0.8677586829488441</v>
      </c>
      <c r="H65" s="5"/>
    </row>
    <row r="66">
      <c r="A66" s="5" t="s">
        <v>412</v>
      </c>
      <c r="B66" s="1">
        <f>ROUND(ABS(B30-B86)+ABS(B42-B93)+ABS(B57-B101),6)</f>
        <v>0</v>
      </c>
      <c r="C66" s="1">
        <f>ROUND(ABS(C30-(C86-B86))+ABS(C42-(C93-B93))+ABS(C57-(C101-B101)),6)</f>
        <v>0</v>
      </c>
      <c r="D66" s="1">
        <f>ROUND(ABS(D30-(D86-C86))+ABS(D42-(D93-C93))+ABS(D57-(D101-C101)),6)</f>
        <v>0</v>
      </c>
      <c r="E66" s="1">
        <f>ROUND(ABS(E30-(E86-D86))+ABS(E42-(E93-D93))+ABS(E57-(E101-D101)),6)</f>
        <v>0</v>
      </c>
      <c r="F66" s="1">
        <f>ROUND(ABS(F30-E86)+ABS(F42-E93)+ABS(F57-E101),6)</f>
        <v>0</v>
      </c>
      <c r="G66" s="34"/>
      <c r="H66" s="5"/>
    </row>
    <row r="67">
      <c r="A67" s="4"/>
      <c r="B67" s="4"/>
      <c r="C67" s="4"/>
      <c r="D67" s="4"/>
      <c r="E67" s="4"/>
      <c r="F67" s="4"/>
      <c r="G67" s="39"/>
      <c r="H67" s="5"/>
    </row>
    <row r="68">
      <c r="A68" s="7" t="s">
        <v>413</v>
      </c>
      <c r="B68" s="4"/>
      <c r="C68" s="4"/>
      <c r="D68" s="4"/>
      <c r="E68" s="4"/>
      <c r="F68" s="4"/>
      <c r="G68" s="39"/>
      <c r="H68" s="5"/>
    </row>
    <row r="69">
      <c r="A69" s="27" t="s">
        <v>414</v>
      </c>
      <c r="B69" s="17">
        <v>227.84</v>
      </c>
      <c r="C69" s="17">
        <v>389.314</v>
      </c>
      <c r="D69" s="17">
        <v>440.928</v>
      </c>
      <c r="E69" s="17">
        <v>662.483</v>
      </c>
      <c r="F69" s="13"/>
      <c r="G69" s="26"/>
      <c r="H69" s="5"/>
    </row>
    <row r="70">
      <c r="A70" s="27" t="s">
        <v>415</v>
      </c>
      <c r="B70" s="17">
        <v>51.464</v>
      </c>
      <c r="C70" s="17">
        <v>103.507</v>
      </c>
      <c r="D70" s="17">
        <v>155.798</v>
      </c>
      <c r="E70" s="17">
        <v>213.49</v>
      </c>
      <c r="F70" s="13"/>
      <c r="G70" s="26"/>
      <c r="H70" s="5"/>
    </row>
    <row r="71">
      <c r="A71" s="27" t="s">
        <v>416</v>
      </c>
      <c r="B71" s="17">
        <v>0</v>
      </c>
      <c r="C71" s="17">
        <v>-12.707</v>
      </c>
      <c r="D71" s="17">
        <v>-12.707</v>
      </c>
      <c r="E71" s="17">
        <v>-14.418</v>
      </c>
      <c r="F71" s="13"/>
      <c r="G71" s="26"/>
      <c r="H71" s="5"/>
    </row>
    <row r="72">
      <c r="A72" s="27" t="s">
        <v>417</v>
      </c>
      <c r="B72" s="17">
        <v>0</v>
      </c>
      <c r="C72" s="17">
        <v>0</v>
      </c>
      <c r="D72" s="17">
        <v>0</v>
      </c>
      <c r="E72" s="17">
        <v>9.721</v>
      </c>
      <c r="F72" s="13"/>
      <c r="G72" s="26"/>
      <c r="H72" s="5"/>
    </row>
    <row r="73">
      <c r="A73" s="27" t="s">
        <v>418</v>
      </c>
      <c r="B73" s="17">
        <v>0</v>
      </c>
      <c r="C73" s="17">
        <v>0</v>
      </c>
      <c r="D73" s="17">
        <v>0</v>
      </c>
      <c r="E73" s="17">
        <v>0</v>
      </c>
      <c r="F73" s="13"/>
      <c r="G73" s="26"/>
      <c r="H73" s="5"/>
    </row>
    <row r="74">
      <c r="A74" s="27" t="s">
        <v>419</v>
      </c>
      <c r="B74" s="17">
        <v>1.304</v>
      </c>
      <c r="C74" s="17">
        <v>-2.429</v>
      </c>
      <c r="D74" s="17">
        <v>22.656</v>
      </c>
      <c r="E74" s="17">
        <v>32.832</v>
      </c>
      <c r="F74" s="13"/>
      <c r="G74" s="26"/>
      <c r="H74" s="5"/>
    </row>
    <row r="75">
      <c r="A75" s="27" t="s">
        <v>420</v>
      </c>
      <c r="B75" s="17">
        <v>5.475</v>
      </c>
      <c r="C75" s="17">
        <v>14.574</v>
      </c>
      <c r="D75" s="17">
        <v>24.459</v>
      </c>
      <c r="E75" s="17">
        <v>32.848</v>
      </c>
      <c r="F75" s="13"/>
      <c r="G75" s="26"/>
      <c r="H75" s="5"/>
    </row>
    <row r="76">
      <c r="A76" s="27" t="s">
        <v>421</v>
      </c>
      <c r="B76" s="17">
        <v>-8.673</v>
      </c>
      <c r="C76" s="17">
        <v>-14.222</v>
      </c>
      <c r="D76" s="17">
        <v>-17.816</v>
      </c>
      <c r="E76" s="17">
        <v>-25.422</v>
      </c>
      <c r="F76" s="13"/>
      <c r="G76" s="26"/>
      <c r="H76" s="5"/>
    </row>
    <row r="77">
      <c r="A77" s="27" t="s">
        <v>422</v>
      </c>
      <c r="B77" s="17">
        <v>0</v>
      </c>
      <c r="C77" s="17">
        <v>-4.73</v>
      </c>
      <c r="D77" s="17">
        <v>-4.675</v>
      </c>
      <c r="E77" s="17">
        <v>-6.093</v>
      </c>
      <c r="F77" s="13"/>
      <c r="G77" s="26"/>
      <c r="H77" s="5"/>
    </row>
    <row r="78">
      <c r="A78" s="27" t="s">
        <v>423</v>
      </c>
      <c r="B78" s="17">
        <v>-0.324</v>
      </c>
      <c r="C78" s="17">
        <v>-0.29</v>
      </c>
      <c r="D78" s="17">
        <v>-0.466</v>
      </c>
      <c r="E78" s="17">
        <v>-0.488</v>
      </c>
      <c r="F78" s="13"/>
      <c r="G78" s="26"/>
      <c r="H78" s="5"/>
    </row>
    <row r="79">
      <c r="A79" s="27" t="s">
        <v>424</v>
      </c>
      <c r="B79" s="17">
        <v>49.331</v>
      </c>
      <c r="C79" s="17">
        <v>190.741</v>
      </c>
      <c r="D79" s="17">
        <v>306.9</v>
      </c>
      <c r="E79" s="17">
        <v>-119.345</v>
      </c>
      <c r="F79" s="13"/>
      <c r="G79" s="26"/>
      <c r="H79" s="5"/>
    </row>
    <row r="80">
      <c r="A80" s="27" t="s">
        <v>425</v>
      </c>
      <c r="B80" s="17">
        <v>-16.005</v>
      </c>
      <c r="C80" s="17">
        <v>-26.414</v>
      </c>
      <c r="D80" s="17">
        <v>-53.983</v>
      </c>
      <c r="E80" s="17">
        <v>18.523</v>
      </c>
      <c r="F80" s="13"/>
      <c r="G80" s="26"/>
      <c r="H80" s="5"/>
    </row>
    <row r="81">
      <c r="A81" s="27" t="s">
        <v>426</v>
      </c>
      <c r="B81" s="17">
        <v>-18.051</v>
      </c>
      <c r="C81" s="17">
        <v>14.894</v>
      </c>
      <c r="D81" s="17">
        <v>-1.46</v>
      </c>
      <c r="E81" s="17">
        <v>-85.596</v>
      </c>
      <c r="F81" s="13"/>
      <c r="G81" s="26"/>
      <c r="H81" s="5"/>
    </row>
    <row r="82">
      <c r="A82" s="27" t="s">
        <v>427</v>
      </c>
      <c r="B82" s="17">
        <v>7.81</v>
      </c>
      <c r="C82" s="17">
        <v>-13.555</v>
      </c>
      <c r="D82" s="17">
        <v>-85.142</v>
      </c>
      <c r="E82" s="17">
        <v>67.658</v>
      </c>
      <c r="F82" s="13"/>
      <c r="G82" s="26"/>
      <c r="H82" s="5"/>
    </row>
    <row r="83">
      <c r="A83" s="27" t="s">
        <v>428</v>
      </c>
      <c r="B83" s="17">
        <v>-99.296</v>
      </c>
      <c r="C83" s="17">
        <v>-58.267</v>
      </c>
      <c r="D83" s="17">
        <v>-60.18</v>
      </c>
      <c r="E83" s="17">
        <v>14.849</v>
      </c>
      <c r="F83" s="13"/>
      <c r="G83" s="26"/>
      <c r="H83" s="5"/>
    </row>
    <row r="84">
      <c r="A84" s="27" t="s">
        <v>429</v>
      </c>
      <c r="B84" s="17">
        <v>-6.098</v>
      </c>
      <c r="C84" s="17">
        <v>-4.248</v>
      </c>
      <c r="D84" s="17">
        <v>-4.327</v>
      </c>
      <c r="E84" s="17">
        <v>12.915</v>
      </c>
      <c r="F84" s="13"/>
      <c r="G84" s="26"/>
      <c r="H84" s="5"/>
    </row>
    <row r="85">
      <c r="A85" s="27" t="s">
        <v>430</v>
      </c>
      <c r="B85" s="17">
        <v>42.733</v>
      </c>
      <c r="C85" s="17">
        <v>7.041</v>
      </c>
      <c r="D85" s="17">
        <v>-53.313</v>
      </c>
      <c r="E85" s="17">
        <v>84.751</v>
      </c>
      <c r="F85" s="13"/>
      <c r="G85" s="26"/>
      <c r="H85" s="5"/>
    </row>
    <row r="86">
      <c r="A86" s="27" t="s">
        <v>431</v>
      </c>
      <c r="B86" s="17">
        <v>237.51</v>
      </c>
      <c r="C86" s="17">
        <v>583.209</v>
      </c>
      <c r="D86" s="17">
        <v>656.672</v>
      </c>
      <c r="E86" s="17">
        <v>898.708</v>
      </c>
      <c r="F86" s="13"/>
      <c r="G86" s="26"/>
      <c r="H86" s="5"/>
    </row>
    <row r="87">
      <c r="A87" s="27" t="s">
        <v>432</v>
      </c>
      <c r="B87" s="17">
        <v>-62.461</v>
      </c>
      <c r="C87" s="17">
        <v>-111.797</v>
      </c>
      <c r="D87" s="17">
        <v>-159.639</v>
      </c>
      <c r="E87" s="17">
        <v>-223.507</v>
      </c>
      <c r="F87" s="13"/>
      <c r="G87" s="26"/>
      <c r="H87" s="5"/>
    </row>
    <row r="88">
      <c r="A88" s="27" t="s">
        <v>433</v>
      </c>
      <c r="B88" s="17">
        <v>-115.695</v>
      </c>
      <c r="C88" s="17">
        <v>-161.633</v>
      </c>
      <c r="D88" s="17">
        <v>-161.553</v>
      </c>
      <c r="E88" s="17">
        <v>-202.403</v>
      </c>
      <c r="F88" s="13"/>
      <c r="G88" s="26"/>
      <c r="H88" s="5"/>
    </row>
    <row r="89">
      <c r="A89" s="27" t="s">
        <v>434</v>
      </c>
      <c r="B89" s="17">
        <v>-6.283</v>
      </c>
      <c r="C89" s="17">
        <v>-20.473</v>
      </c>
      <c r="D89" s="17">
        <v>-27.57</v>
      </c>
      <c r="E89" s="17">
        <v>-34.272</v>
      </c>
      <c r="F89" s="13"/>
      <c r="G89" s="26"/>
      <c r="H89" s="5"/>
    </row>
    <row r="90">
      <c r="A90" s="27" t="s">
        <v>435</v>
      </c>
      <c r="B90" s="17">
        <v>1.525</v>
      </c>
      <c r="C90" s="17">
        <v>12.958</v>
      </c>
      <c r="D90" s="17">
        <v>16.918</v>
      </c>
      <c r="E90" s="17">
        <v>19.781</v>
      </c>
      <c r="F90" s="13"/>
      <c r="G90" s="26"/>
      <c r="H90" s="5"/>
    </row>
    <row r="91">
      <c r="A91" s="27" t="s">
        <v>436</v>
      </c>
      <c r="B91" s="17">
        <v>0</v>
      </c>
      <c r="C91" s="17">
        <v>3.866</v>
      </c>
      <c r="D91" s="17">
        <v>18.199</v>
      </c>
      <c r="E91" s="17">
        <v>23.237</v>
      </c>
      <c r="F91" s="13"/>
      <c r="G91" s="26"/>
      <c r="H91" s="5"/>
    </row>
    <row r="92">
      <c r="A92" s="27" t="s">
        <v>423</v>
      </c>
      <c r="B92" s="17">
        <v>0.523</v>
      </c>
      <c r="C92" s="17">
        <v>0</v>
      </c>
      <c r="D92" s="17">
        <v>-0.01</v>
      </c>
      <c r="E92" s="17">
        <v>-0.01</v>
      </c>
      <c r="F92" s="13"/>
      <c r="G92" s="26"/>
      <c r="H92" s="5"/>
    </row>
    <row r="93">
      <c r="A93" s="27" t="s">
        <v>437</v>
      </c>
      <c r="B93" s="17">
        <v>-182.391</v>
      </c>
      <c r="C93" s="17">
        <v>-277.079</v>
      </c>
      <c r="D93" s="17">
        <v>-313.655</v>
      </c>
      <c r="E93" s="17">
        <v>-417.174</v>
      </c>
      <c r="F93" s="13"/>
      <c r="G93" s="26"/>
      <c r="H93" s="5"/>
    </row>
    <row r="94">
      <c r="A94" s="27" t="s">
        <v>438</v>
      </c>
      <c r="B94" s="17">
        <v>35</v>
      </c>
      <c r="C94" s="17">
        <v>110</v>
      </c>
      <c r="D94" s="17">
        <v>49</v>
      </c>
      <c r="E94" s="17">
        <v>84</v>
      </c>
      <c r="F94" s="13"/>
      <c r="G94" s="26"/>
      <c r="H94" s="5"/>
    </row>
    <row r="95">
      <c r="A95" s="27" t="s">
        <v>439</v>
      </c>
      <c r="B95" s="17">
        <v>-14.972</v>
      </c>
      <c r="C95" s="17">
        <v>-236.509</v>
      </c>
      <c r="D95" s="17">
        <v>-153.489</v>
      </c>
      <c r="E95" s="17">
        <v>-208.862</v>
      </c>
      <c r="F95" s="13"/>
      <c r="G95" s="26"/>
      <c r="H95" s="5"/>
    </row>
    <row r="96">
      <c r="A96" s="27" t="s">
        <v>440</v>
      </c>
      <c r="B96" s="17">
        <v>-64.521</v>
      </c>
      <c r="C96" s="17">
        <v>-133.719</v>
      </c>
      <c r="D96" s="17">
        <v>-202.789</v>
      </c>
      <c r="E96" s="17">
        <v>-271.705</v>
      </c>
      <c r="F96" s="13"/>
      <c r="G96" s="26"/>
      <c r="H96" s="5"/>
    </row>
    <row r="97">
      <c r="A97" s="27" t="s">
        <v>441</v>
      </c>
      <c r="B97" s="17">
        <v>-17.5</v>
      </c>
      <c r="C97" s="17">
        <v>-35</v>
      </c>
      <c r="D97" s="17">
        <v>-52.5</v>
      </c>
      <c r="E97" s="17">
        <v>-77.497</v>
      </c>
      <c r="F97" s="13"/>
      <c r="G97" s="26"/>
      <c r="H97" s="5"/>
    </row>
    <row r="98">
      <c r="A98" s="27" t="s">
        <v>442</v>
      </c>
      <c r="B98" s="17">
        <v>-1.921</v>
      </c>
      <c r="C98" s="17">
        <v>-2.167</v>
      </c>
      <c r="D98" s="17">
        <v>-3.336</v>
      </c>
      <c r="E98" s="17">
        <v>-5.034</v>
      </c>
      <c r="F98" s="13"/>
      <c r="G98" s="26"/>
      <c r="H98" s="5"/>
    </row>
    <row r="99">
      <c r="A99" s="27" t="s">
        <v>443</v>
      </c>
      <c r="B99" s="17">
        <v>0</v>
      </c>
      <c r="C99" s="17">
        <v>0</v>
      </c>
      <c r="D99" s="17">
        <v>0</v>
      </c>
      <c r="E99" s="17">
        <v>0</v>
      </c>
      <c r="F99" s="13"/>
      <c r="G99" s="26"/>
      <c r="H99" s="5"/>
    </row>
    <row r="100">
      <c r="A100" s="27" t="s">
        <v>423</v>
      </c>
      <c r="B100" s="17">
        <v>-0.221</v>
      </c>
      <c r="C100" s="17">
        <v>-0.438</v>
      </c>
      <c r="D100" s="17">
        <v>-2.891</v>
      </c>
      <c r="E100" s="17">
        <v>-3.133</v>
      </c>
      <c r="F100" s="13"/>
      <c r="G100" s="26"/>
      <c r="H100" s="5"/>
    </row>
    <row r="101">
      <c r="A101" s="27" t="s">
        <v>444</v>
      </c>
      <c r="B101" s="17">
        <v>-64.135</v>
      </c>
      <c r="C101" s="17">
        <v>-297.833</v>
      </c>
      <c r="D101" s="17">
        <v>-366.005</v>
      </c>
      <c r="E101" s="17">
        <v>-482.231</v>
      </c>
      <c r="F101" s="13"/>
      <c r="G101" s="26"/>
      <c r="H101" s="5"/>
    </row>
    <row r="102">
      <c r="A102" s="27" t="s">
        <v>445</v>
      </c>
      <c r="B102" s="17">
        <v>3.954</v>
      </c>
      <c r="C102" s="17">
        <v>6.158</v>
      </c>
      <c r="D102" s="17">
        <v>15.057</v>
      </c>
      <c r="E102" s="17">
        <v>13.748</v>
      </c>
      <c r="F102" s="13"/>
      <c r="G102" s="26"/>
      <c r="H102" s="5"/>
    </row>
    <row r="103">
      <c r="A103" s="27" t="s">
        <v>446</v>
      </c>
      <c r="B103" s="17">
        <v>-5.062</v>
      </c>
      <c r="C103" s="17">
        <v>14.455</v>
      </c>
      <c r="D103" s="17">
        <v>-7.931</v>
      </c>
      <c r="E103" s="17">
        <v>13.051</v>
      </c>
      <c r="F103" s="13"/>
      <c r="G103" s="26"/>
      <c r="H103" s="5"/>
    </row>
    <row r="104">
      <c r="A104" s="27" t="s">
        <v>447</v>
      </c>
      <c r="B104" s="17">
        <v>302.137</v>
      </c>
      <c r="C104" s="17">
        <v>302.137</v>
      </c>
      <c r="D104" s="17">
        <v>302.137</v>
      </c>
      <c r="E104" s="17">
        <v>302.137</v>
      </c>
      <c r="F104" s="13"/>
      <c r="G104" s="26"/>
      <c r="H104" s="5"/>
    </row>
    <row r="105">
      <c r="A105" s="5" t="s">
        <v>448</v>
      </c>
      <c r="B105" s="1">
        <f>ROUND(SUM(B69:B85)+SUM(B87:B92)+SUM(B94:B100)+B102-B103,6)</f>
        <v>0</v>
      </c>
      <c r="C105" s="1">
        <f>ROUND(SUM(C69:C85)+SUM(C87:C92)+SUM(C94:C100)+C102-C103,6)</f>
        <v>0</v>
      </c>
      <c r="D105" s="1">
        <f>ROUND(SUM(D69:D85)+SUM(D87:D92)+SUM(D94:D100)+D102-D103,6)</f>
        <v>0</v>
      </c>
      <c r="E105" s="1">
        <f>ROUND(SUM(E69:E85)+SUM(E87:E92)+SUM(E94:E100)+E102-E103,6)</f>
        <v>0</v>
      </c>
      <c r="F105" s="1"/>
      <c r="G105" s="34"/>
      <c r="H105" s="5"/>
    </row>
    <row r="106">
      <c r="A106" s="4"/>
      <c r="B106" s="4"/>
      <c r="C106" s="4"/>
      <c r="D106" s="4"/>
      <c r="E106" s="4"/>
      <c r="F106" s="4"/>
      <c r="G106" s="39"/>
      <c r="H106" s="5"/>
    </row>
    <row r="107">
      <c r="A107" s="7" t="s">
        <v>449</v>
      </c>
      <c r="B107" s="4"/>
      <c r="C107" s="4"/>
      <c r="D107" s="4"/>
      <c r="E107" s="4"/>
      <c r="F107" s="4"/>
      <c r="G107" s="39"/>
      <c r="H107" s="5"/>
    </row>
    <row r="108">
      <c r="A108" s="66" t="s">
        <v>450</v>
      </c>
      <c r="B108" s="63">
        <v>46.185</v>
      </c>
      <c r="C108" s="63">
        <v>92.743</v>
      </c>
      <c r="D108" s="63">
        <v>140.092</v>
      </c>
      <c r="E108" s="63">
        <v>193.84</v>
      </c>
      <c r="F108" s="1"/>
      <c r="G108" s="34"/>
      <c r="H108" s="5"/>
    </row>
    <row r="109">
      <c r="A109" s="66" t="s">
        <v>451</v>
      </c>
      <c r="B109" s="63">
        <v>6.226</v>
      </c>
      <c r="C109" s="63">
        <v>13.549</v>
      </c>
      <c r="D109" s="63">
        <v>21.494</v>
      </c>
      <c r="E109" s="63">
        <v>27.042</v>
      </c>
      <c r="F109" s="1"/>
      <c r="G109" s="34"/>
      <c r="H109" s="5"/>
    </row>
    <row r="110">
      <c r="A110" s="66" t="s">
        <v>452</v>
      </c>
      <c r="B110" s="63">
        <v>-50.742</v>
      </c>
      <c r="C110" s="63">
        <v>-100.732</v>
      </c>
      <c r="D110" s="63">
        <v>-158.924</v>
      </c>
      <c r="E110" s="63">
        <v>-229.93</v>
      </c>
      <c r="F110" s="1"/>
      <c r="G110" s="34"/>
      <c r="H110" s="5"/>
    </row>
    <row r="111">
      <c r="A111" s="66" t="s">
        <v>453</v>
      </c>
      <c r="B111" s="63">
        <v>-58.892</v>
      </c>
      <c r="C111" s="63">
        <v>-124.514</v>
      </c>
      <c r="D111" s="63">
        <v>-190.064</v>
      </c>
      <c r="E111" s="63">
        <v>-255.563</v>
      </c>
      <c r="F111" s="1"/>
      <c r="G111" s="34"/>
      <c r="H111" s="5"/>
    </row>
    <row r="112">
      <c r="A112" s="66" t="s">
        <v>454</v>
      </c>
      <c r="B112" s="63">
        <v>-17.5</v>
      </c>
      <c r="C112" s="63">
        <v>-35</v>
      </c>
      <c r="D112" s="63">
        <v>-52.499</v>
      </c>
      <c r="E112" s="63">
        <v>-69.999</v>
      </c>
      <c r="F112" s="1"/>
      <c r="G112" s="34"/>
      <c r="H112" s="5"/>
    </row>
    <row r="113">
      <c r="A113" s="66" t="s">
        <v>455</v>
      </c>
      <c r="B113" s="63">
        <v>-15.396</v>
      </c>
      <c r="C113" s="63">
        <v>-16.15</v>
      </c>
      <c r="D113" s="63">
        <v>-17.14</v>
      </c>
      <c r="E113" s="63">
        <v>-18.686</v>
      </c>
      <c r="F113" s="1"/>
      <c r="G113" s="34"/>
      <c r="H113" s="5"/>
    </row>
    <row r="114">
      <c r="A114" s="66" t="s">
        <v>456</v>
      </c>
      <c r="B114" s="63">
        <v>248.059</v>
      </c>
      <c r="C114" s="63">
        <v>527.508</v>
      </c>
      <c r="D114" s="63">
        <v>619.012</v>
      </c>
      <c r="E114" s="63">
        <v>768.19</v>
      </c>
      <c r="F114" s="1"/>
      <c r="G114" s="34"/>
      <c r="H114" s="5"/>
    </row>
    <row r="115">
      <c r="A115" s="27" t="s">
        <v>457</v>
      </c>
      <c r="B115" s="13">
        <f>B108</f>
        <v>46.185</v>
      </c>
      <c r="C115" s="13">
        <f>C108-B108</f>
        <v>46.55799999999999</v>
      </c>
      <c r="D115" s="13">
        <f>D108-C108</f>
        <v>47.34900000000002</v>
      </c>
      <c r="E115" s="13">
        <f>E108-D108</f>
        <v>53.74799999999999</v>
      </c>
      <c r="F115" s="13">
        <f>E108</f>
        <v>193.84</v>
      </c>
      <c r="G115" s="26">
        <f>B10</f>
        <v>51.464</v>
      </c>
      <c r="H115" s="5"/>
    </row>
    <row r="116">
      <c r="A116" s="27" t="s">
        <v>458</v>
      </c>
      <c r="B116" s="13">
        <f>B109</f>
        <v>6.226</v>
      </c>
      <c r="C116" s="13">
        <f>C109-B109</f>
        <v>7.3229999999999995</v>
      </c>
      <c r="D116" s="13">
        <f>D109-C109</f>
        <v>7.945</v>
      </c>
      <c r="E116" s="13">
        <f>E109-D109</f>
        <v>5.548000000000002</v>
      </c>
      <c r="F116" s="13">
        <f>E109</f>
        <v>27.042</v>
      </c>
      <c r="G116" s="26">
        <f>B17</f>
        <v>5.475</v>
      </c>
      <c r="H116" s="5"/>
    </row>
    <row r="117">
      <c r="A117" s="27" t="s">
        <v>459</v>
      </c>
      <c r="B117" s="13">
        <f>B110</f>
        <v>-50.742</v>
      </c>
      <c r="C117" s="13">
        <f>C110-B110</f>
        <v>-49.99</v>
      </c>
      <c r="D117" s="13">
        <f>D110-C110</f>
        <v>-58.19200000000001</v>
      </c>
      <c r="E117" s="13">
        <f>E110-D110</f>
        <v>-71.006</v>
      </c>
      <c r="F117" s="13">
        <f>E110</f>
        <v>-229.93</v>
      </c>
      <c r="G117" s="26">
        <f>B34</f>
        <v>-62.461</v>
      </c>
      <c r="H117" s="5"/>
    </row>
    <row r="118">
      <c r="A118" s="27" t="s">
        <v>460</v>
      </c>
      <c r="B118" s="13">
        <f>B111</f>
        <v>-58.892</v>
      </c>
      <c r="C118" s="13">
        <f>C111-B111</f>
        <v>-65.62199999999999</v>
      </c>
      <c r="D118" s="13">
        <f>D111-C111</f>
        <v>-65.55</v>
      </c>
      <c r="E118" s="13">
        <f>E111-D111</f>
        <v>-65.499</v>
      </c>
      <c r="F118" s="13">
        <f>E111</f>
        <v>-255.563</v>
      </c>
      <c r="G118" s="26">
        <f>B46</f>
        <v>-64.521</v>
      </c>
      <c r="H118" s="5"/>
    </row>
    <row r="119">
      <c r="A119" s="27" t="s">
        <v>461</v>
      </c>
      <c r="B119" s="13">
        <f>B112</f>
        <v>-17.5</v>
      </c>
      <c r="C119" s="13">
        <f>C112-B112</f>
        <v>-17.5</v>
      </c>
      <c r="D119" s="13">
        <f>D112-C112</f>
        <v>-17.499000000000002</v>
      </c>
      <c r="E119" s="13">
        <f>E112-D112</f>
        <v>-17.499999999999993</v>
      </c>
      <c r="F119" s="13">
        <f>E112</f>
        <v>-69.999</v>
      </c>
      <c r="G119" s="26">
        <f>B49</f>
        <v>-17.5</v>
      </c>
      <c r="H119" s="5"/>
    </row>
    <row r="120">
      <c r="A120" s="27" t="s">
        <v>462</v>
      </c>
      <c r="B120" s="13">
        <f>B113</f>
        <v>-15.396</v>
      </c>
      <c r="C120" s="13">
        <f>C113-B113</f>
        <v>-0.7539999999999978</v>
      </c>
      <c r="D120" s="13">
        <f>D113-C113</f>
        <v>-0.990000000000002</v>
      </c>
      <c r="E120" s="13">
        <f>E113-D113</f>
        <v>-1.5459999999999994</v>
      </c>
      <c r="F120" s="13">
        <f>E113</f>
        <v>-18.686</v>
      </c>
      <c r="G120" s="26">
        <f>B52</f>
        <v>-1.921</v>
      </c>
      <c r="H120" s="5"/>
    </row>
    <row r="121">
      <c r="A121" s="27" t="s">
        <v>463</v>
      </c>
      <c r="B121" s="13">
        <f>B114</f>
        <v>248.059</v>
      </c>
      <c r="C121" s="13">
        <f>C114-B114</f>
        <v>279.44900000000007</v>
      </c>
      <c r="D121" s="13">
        <f>D114-C114</f>
        <v>91.5039999999999</v>
      </c>
      <c r="E121" s="13">
        <f>E114-D114</f>
        <v>149.1780000000001</v>
      </c>
      <c r="F121" s="13">
        <f>E114</f>
        <v>768.19</v>
      </c>
      <c r="G121" s="26">
        <f>B30</f>
        <v>237.51</v>
      </c>
      <c r="H121" s="5"/>
    </row>
    <row r="122">
      <c r="A122" s="4"/>
      <c r="B122" s="4"/>
      <c r="C122" s="4"/>
      <c r="D122" s="4"/>
      <c r="E122" s="4"/>
      <c r="F122" s="4"/>
      <c r="G122" s="39"/>
      <c r="H122" s="5"/>
    </row>
    <row r="123">
      <c r="A123" s="7" t="s">
        <v>464</v>
      </c>
      <c r="B123" s="43"/>
      <c r="C123" s="43"/>
      <c r="D123" s="43"/>
      <c r="E123" s="43"/>
      <c r="F123" s="43"/>
      <c r="G123" s="65" t="b">
        <f>AND(MAX(ABS(B63),ABS(C63),ABS(D63),ABS(E63),ABS(F63))&lt;0.001,MAX(ABS(B66),ABS(C66),ABS(D66),ABS(E66),ABS(F66))&lt;0.001,MAX(ABS(B105),ABS(C105),ABS(D105),ABS(E105))&lt;0.001)</f>
        <v>1</v>
      </c>
      <c r="H123" s="5"/>
    </row>
    <row r="124">
      <c r="A124" s="4"/>
      <c r="B124" s="4"/>
      <c r="C124" s="4"/>
      <c r="D124" s="4"/>
      <c r="E124" s="4"/>
      <c r="F124" s="4"/>
      <c r="G124" s="39"/>
      <c r="H124" s="5"/>
    </row>
    <row r="125">
      <c r="A125" s="4"/>
      <c r="B125" s="4"/>
      <c r="C125" s="4"/>
      <c r="D125" s="4"/>
      <c r="E125" s="4"/>
      <c r="F125" s="4"/>
      <c r="G125" s="39"/>
      <c r="H125" s="5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1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465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466</v>
      </c>
      <c r="B8" s="4"/>
      <c r="C8" s="4"/>
      <c r="D8" s="4"/>
      <c r="E8" s="4"/>
      <c r="F8" s="4"/>
      <c r="G8" s="39"/>
      <c r="H8" s="5"/>
    </row>
    <row r="9">
      <c r="A9" s="27" t="s">
        <v>102</v>
      </c>
      <c r="B9" s="9">
        <f>'Segment - CPG'!B35+'Segment - PCG'!B35+'Segment - Consumer'!B35</f>
        <v>1512.215</v>
      </c>
      <c r="C9" s="9">
        <f>'Segment - CPG'!C35+'Segment - PCG'!C35+'Segment - Consumer'!C35</f>
        <v>1327.373</v>
      </c>
      <c r="D9" s="9">
        <f>'Segment - CPG'!D35+'Segment - PCG'!D35+'Segment - Consumer'!D35</f>
        <v>1102.328</v>
      </c>
      <c r="E9" s="9">
        <f>'Segment - CPG'!E35+'Segment - PCG'!E35+'Segment - Consumer'!E35</f>
        <v>1579.8249999999998</v>
      </c>
      <c r="F9" s="9">
        <f>'Segment - CPG'!F35+'Segment - PCG'!F35+'Segment - Consumer'!F35</f>
        <v>5521.741</v>
      </c>
      <c r="G9" s="10">
        <f>'Segment - CPG'!G35+'Segment - PCG'!G35+'Segment - Consumer'!G35</f>
        <v>1581.4325804631521</v>
      </c>
      <c r="H9" s="5" t="s">
        <v>467</v>
      </c>
    </row>
    <row r="10">
      <c r="A10" s="16" t="s">
        <v>57</v>
      </c>
      <c r="B10" s="3">
        <f>IF(B41=0,"n.a.",B9/B41-1)</f>
        <v>0.06382612011224853</v>
      </c>
      <c r="C10" s="3">
        <f>IF(C41=0,"n.a.",C9/C41-1)</f>
        <v>0.028570255164071856</v>
      </c>
      <c r="D10" s="3">
        <f>IF(D41=0,"n.a.",D9/D41-1)</f>
        <v>0.06341550002315266</v>
      </c>
      <c r="E10" s="3">
        <f>IF(E41=0,"n.a.",E9/E41-1)</f>
        <v>0.05781463427699052</v>
      </c>
      <c r="F10" s="3">
        <f>IF(F41=0,"n.a.",F9/F41-1)</f>
        <v>0.053352860000511315</v>
      </c>
      <c r="G10" s="30">
        <f>IF(G41=0,"n.a.",G9/G41-1)</f>
        <v>0.04577231442827401</v>
      </c>
      <c r="H10" s="5"/>
    </row>
    <row r="11">
      <c r="A11" s="16" t="s">
        <v>66</v>
      </c>
      <c r="B11" s="1">
        <f>B9-E41</f>
        <v>18.7349999999999</v>
      </c>
      <c r="C11" s="1">
        <f>C9-B9</f>
        <v>-184.84199999999987</v>
      </c>
      <c r="D11" s="1">
        <f>D9-C9</f>
        <v>-225.04500000000007</v>
      </c>
      <c r="E11" s="1">
        <f>E9-D9</f>
        <v>477.49699999999984</v>
      </c>
      <c r="F11" s="1"/>
      <c r="G11" s="34">
        <f>G9-E9</f>
        <v>1.607580463152317</v>
      </c>
      <c r="H11" s="5"/>
    </row>
    <row r="12">
      <c r="A12" s="16" t="s">
        <v>59</v>
      </c>
      <c r="B12" s="3">
        <f>B9/B36</f>
        <v>0.7154204650234205</v>
      </c>
      <c r="C12" s="3">
        <f>C9/C36</f>
        <v>0.6949978925543028</v>
      </c>
      <c r="D12" s="3">
        <f>D9/D36</f>
        <v>0.6855491063460346</v>
      </c>
      <c r="E12" s="3">
        <f>E9/E36</f>
        <v>0.707859227944718</v>
      </c>
      <c r="F12" s="3">
        <f>F9/F36</f>
        <v>0.7022058589759013</v>
      </c>
      <c r="G12" s="30">
        <f>G9/G36</f>
        <v>0.7149650696102914</v>
      </c>
      <c r="H12" s="5"/>
    </row>
    <row r="13">
      <c r="A13" s="27" t="s">
        <v>105</v>
      </c>
      <c r="B13" s="9">
        <f>'Segment - CPG'!B41+'Segment - PCG'!B41+'Segment - Consumer'!B41</f>
        <v>148.816</v>
      </c>
      <c r="C13" s="9">
        <f>'Segment - CPG'!C41+'Segment - PCG'!C41+'Segment - Consumer'!C41</f>
        <v>126.752</v>
      </c>
      <c r="D13" s="9">
        <f>'Segment - CPG'!D41+'Segment - PCG'!D41+'Segment - Consumer'!D41</f>
        <v>91.838</v>
      </c>
      <c r="E13" s="9">
        <f>'Segment - CPG'!E41+'Segment - PCG'!E41+'Segment - Consumer'!E41</f>
        <v>146.32300000000004</v>
      </c>
      <c r="F13" s="9">
        <f>'Segment - CPG'!F41+'Segment - PCG'!F41+'Segment - Consumer'!F41</f>
        <v>513.729</v>
      </c>
      <c r="G13" s="10">
        <f>'Segment - CPG'!G41+'Segment - PCG'!G41+'Segment - Consumer'!G41</f>
        <v>156.25881462192</v>
      </c>
      <c r="H13" s="5"/>
    </row>
    <row r="14">
      <c r="A14" s="16" t="s">
        <v>57</v>
      </c>
      <c r="B14" s="3">
        <f>IF(B42=0,"n.a.",B13/B42-1)</f>
        <v>0.011019470902346562</v>
      </c>
      <c r="C14" s="3">
        <f>IF(C42=0,"n.a.",C13/C42-1)</f>
        <v>-0.06839045400089683</v>
      </c>
      <c r="D14" s="3">
        <f>IF(D42=0,"n.a.",D13/D42-1)</f>
        <v>0.05440935027956684</v>
      </c>
      <c r="E14" s="3">
        <f>IF(E42=0,"n.a.",E13/E42-1)</f>
        <v>-0.016752230942908897</v>
      </c>
      <c r="F14" s="3">
        <f>IF(F42=0,"n.a.",F13/F42-1)</f>
        <v>-0.010472565614851326</v>
      </c>
      <c r="G14" s="30">
        <f>IF(G42=0,"n.a.",G13/G42-1)</f>
        <v>0.05001353767014294</v>
      </c>
      <c r="H14" s="5"/>
    </row>
    <row r="15">
      <c r="A15" s="16" t="s">
        <v>66</v>
      </c>
      <c r="B15" s="1">
        <f>B13-E42</f>
        <v>0</v>
      </c>
      <c r="C15" s="1">
        <f>C13-B13</f>
        <v>-22.064000000000007</v>
      </c>
      <c r="D15" s="1">
        <f>D13-C13</f>
        <v>-34.914</v>
      </c>
      <c r="E15" s="1">
        <f>E13-D13</f>
        <v>54.48500000000004</v>
      </c>
      <c r="F15" s="1"/>
      <c r="G15" s="34">
        <f>G13-E13</f>
        <v>9.935814621919974</v>
      </c>
      <c r="H15" s="5"/>
    </row>
    <row r="16">
      <c r="A16" s="16" t="s">
        <v>59</v>
      </c>
      <c r="B16" s="3">
        <f>B13/B36</f>
        <v>0.07040401789621539</v>
      </c>
      <c r="C16" s="3">
        <f>C13/C36</f>
        <v>0.06636595205495589</v>
      </c>
      <c r="D16" s="3">
        <f>D13/D36</f>
        <v>0.057114995562670204</v>
      </c>
      <c r="E16" s="3">
        <f>E13/E36</f>
        <v>0.06556174627604641</v>
      </c>
      <c r="F16" s="3">
        <f>F13/F36</f>
        <v>0.06533148036567286</v>
      </c>
      <c r="G16" s="30">
        <f>G13/G36</f>
        <v>0.07064455080384362</v>
      </c>
      <c r="H16" s="5"/>
    </row>
    <row r="17">
      <c r="A17" s="27" t="s">
        <v>106</v>
      </c>
      <c r="B17" s="9">
        <f>'Segment - CPG'!B47+'Segment - PCG'!B47+'Segment - Consumer'!B47</f>
        <v>312.362</v>
      </c>
      <c r="C17" s="9">
        <f>'Segment - CPG'!C47+'Segment - PCG'!C47+'Segment - Consumer'!C47</f>
        <v>304.089</v>
      </c>
      <c r="D17" s="9">
        <f>'Segment - CPG'!D47+'Segment - PCG'!D47+'Segment - Consumer'!D47</f>
        <v>269.39</v>
      </c>
      <c r="E17" s="9">
        <f>'Segment - CPG'!E47+'Segment - PCG'!E47+'Segment - Consumer'!E47</f>
        <v>336.279</v>
      </c>
      <c r="F17" s="9">
        <f>'Segment - CPG'!F47+'Segment - PCG'!F47+'Segment - Consumer'!F47</f>
        <v>1222.1200000000001</v>
      </c>
      <c r="G17" s="10">
        <f>'Segment - CPG'!G47+'Segment - PCG'!G47+'Segment - Consumer'!G47</f>
        <v>326.72371942790403</v>
      </c>
      <c r="H17" s="5"/>
    </row>
    <row r="18">
      <c r="A18" s="16" t="s">
        <v>57</v>
      </c>
      <c r="B18" s="3">
        <f>IF(B43=0,"n.a.",B17/B43-1)</f>
        <v>0.2070935031610841</v>
      </c>
      <c r="C18" s="3">
        <f>IF(C43=0,"n.a.",C17/C43-1)</f>
        <v>0.13909356188449817</v>
      </c>
      <c r="D18" s="3">
        <f>IF(D43=0,"n.a.",D17/D43-1)</f>
        <v>0.20105754054945746</v>
      </c>
      <c r="E18" s="3">
        <f>IF(E43=0,"n.a.",E17/E43-1)</f>
        <v>0.11089124610602186</v>
      </c>
      <c r="F18" s="3">
        <f>IF(F43=0,"n.a.",F17/F43-1)</f>
        <v>0.16090104432838714</v>
      </c>
      <c r="G18" s="30">
        <f>IF(G43=0,"n.a.",G17/G43-1)</f>
        <v>0.04597780596840839</v>
      </c>
      <c r="H18" s="5"/>
    </row>
    <row r="19">
      <c r="A19" s="16" t="s">
        <v>66</v>
      </c>
      <c r="B19" s="1">
        <f>B17-E43</f>
        <v>9.65100000000001</v>
      </c>
      <c r="C19" s="1">
        <f>C17-B17</f>
        <v>-8.273000000000025</v>
      </c>
      <c r="D19" s="1">
        <f>D17-C17</f>
        <v>-34.69900000000001</v>
      </c>
      <c r="E19" s="1">
        <f>E17-D17</f>
        <v>66.88900000000001</v>
      </c>
      <c r="F19" s="1"/>
      <c r="G19" s="34">
        <f>G17-E17</f>
        <v>-9.555280572095967</v>
      </c>
      <c r="H19" s="5"/>
    </row>
    <row r="20">
      <c r="A20" s="16" t="s">
        <v>59</v>
      </c>
      <c r="B20" s="3">
        <f>B17/B36</f>
        <v>0.14777671646931534</v>
      </c>
      <c r="C20" s="3">
        <f>C17/C36</f>
        <v>0.15921765332649176</v>
      </c>
      <c r="D20" s="3">
        <f>D17/D36</f>
        <v>0.16753640818210028</v>
      </c>
      <c r="E20" s="3">
        <f>E17/E36</f>
        <v>0.15067377292676207</v>
      </c>
      <c r="F20" s="3">
        <f>F17/F36</f>
        <v>0.15541834076817956</v>
      </c>
      <c r="G20" s="30">
        <f>G17/G36</f>
        <v>0.1477116695899181</v>
      </c>
      <c r="H20" s="5"/>
    </row>
    <row r="21">
      <c r="A21" s="27" t="s">
        <v>107</v>
      </c>
      <c r="B21" s="9">
        <f>'Segment - CPG'!B53+'Segment - PCG'!B53+'Segment - Consumer'!B53</f>
        <v>70.916</v>
      </c>
      <c r="C21" s="9">
        <f>'Segment - CPG'!C53+'Segment - PCG'!C53+'Segment - Consumer'!C53</f>
        <v>76.871</v>
      </c>
      <c r="D21" s="9">
        <f>'Segment - CPG'!D53+'Segment - PCG'!D53+'Segment - Consumer'!D53</f>
        <v>70.952</v>
      </c>
      <c r="E21" s="9">
        <f>'Segment - CPG'!E53+'Segment - PCG'!E53+'Segment - Consumer'!E53</f>
        <v>86.24099999999999</v>
      </c>
      <c r="F21" s="9">
        <f>'Segment - CPG'!F53+'Segment - PCG'!F53+'Segment - Consumer'!F53</f>
        <v>304.98</v>
      </c>
      <c r="G21" s="10">
        <f>'Segment - CPG'!G53+'Segment - PCG'!G53+'Segment - Consumer'!G53</f>
        <v>75.08415416204802</v>
      </c>
      <c r="H21" s="5"/>
    </row>
    <row r="22">
      <c r="A22" s="16" t="s">
        <v>57</v>
      </c>
      <c r="B22" s="3">
        <f>IF(B44=0,"n.a.",B21/B44-1)</f>
        <v>-0.0475704423970561</v>
      </c>
      <c r="C22" s="3">
        <f>IF(C44=0,"n.a.",C21/C44-1)</f>
        <v>-0.0017271830034805147</v>
      </c>
      <c r="D22" s="3">
        <f>IF(D44=0,"n.a.",D21/D44-1)</f>
        <v>0.06795911916552533</v>
      </c>
      <c r="E22" s="3">
        <f>IF(E44=0,"n.a.",E21/E44-1)</f>
        <v>0.18851464954108188</v>
      </c>
      <c r="F22" s="3">
        <f>IF(F44=0,"n.a.",F21/F44-1)</f>
        <v>0.04998605664788047</v>
      </c>
      <c r="G22" s="30">
        <f>IF(G44=0,"n.a.",G21/G44-1)</f>
        <v>0.0587759343737384</v>
      </c>
      <c r="H22" s="5"/>
    </row>
    <row r="23">
      <c r="A23" s="16" t="s">
        <v>66</v>
      </c>
      <c r="B23" s="1">
        <f>B21-E44</f>
        <v>-1.6460000000000008</v>
      </c>
      <c r="C23" s="1">
        <f>C21-B21</f>
        <v>5.954999999999998</v>
      </c>
      <c r="D23" s="1">
        <f>D21-C21</f>
        <v>-5.918999999999997</v>
      </c>
      <c r="E23" s="1">
        <f>E21-D21</f>
        <v>15.288999999999987</v>
      </c>
      <c r="F23" s="1"/>
      <c r="G23" s="34">
        <f>G21-E21</f>
        <v>-11.156845837951963</v>
      </c>
      <c r="H23" s="5"/>
    </row>
    <row r="24">
      <c r="A24" s="16" t="s">
        <v>59</v>
      </c>
      <c r="B24" s="3">
        <f>B21/B36</f>
        <v>0.03354996326421897</v>
      </c>
      <c r="C24" s="3">
        <f>C21/C36</f>
        <v>0.04024880948952691</v>
      </c>
      <c r="D24" s="3">
        <f>D21/D36</f>
        <v>0.044125777621056385</v>
      </c>
      <c r="E24" s="3">
        <f>E21/E36</f>
        <v>0.038641297407738466</v>
      </c>
      <c r="F24" s="3">
        <f>F21/F36</f>
        <v>0.03878464108882876</v>
      </c>
      <c r="G24" s="30">
        <f>G21/G36</f>
        <v>0.0339455176087093</v>
      </c>
      <c r="H24" s="5"/>
    </row>
    <row r="25">
      <c r="A25" s="27" t="s">
        <v>108</v>
      </c>
      <c r="B25" s="9">
        <f>'Segment - CPG'!B59+'Segment - PCG'!B59+'Segment - Consumer'!B59</f>
        <v>39.427</v>
      </c>
      <c r="C25" s="9">
        <f>'Segment - CPG'!C59+'Segment - PCG'!C59+'Segment - Consumer'!C59</f>
        <v>42.888</v>
      </c>
      <c r="D25" s="9">
        <f>'Segment - CPG'!D59+'Segment - PCG'!D59+'Segment - Consumer'!D59</f>
        <v>43.775999999999996</v>
      </c>
      <c r="E25" s="9">
        <f>'Segment - CPG'!E59+'Segment - PCG'!E59+'Segment - Consumer'!E59</f>
        <v>52.82700000000001</v>
      </c>
      <c r="F25" s="9">
        <f>'Segment - CPG'!F59+'Segment - PCG'!F59+'Segment - Consumer'!F59</f>
        <v>178.918</v>
      </c>
      <c r="G25" s="10">
        <f>'Segment - CPG'!G59+'Segment - PCG'!G59+'Segment - Consumer'!G59</f>
        <v>41.06970602208001</v>
      </c>
      <c r="H25" s="5"/>
    </row>
    <row r="26">
      <c r="A26" s="16" t="s">
        <v>57</v>
      </c>
      <c r="B26" s="3">
        <f>IF(B45=0,"n.a.",B25/B45-1)</f>
        <v>0.0009647363477114368</v>
      </c>
      <c r="C26" s="3">
        <f>IF(C45=0,"n.a.",C25/C45-1)</f>
        <v>-0.03516231355874999</v>
      </c>
      <c r="D26" s="3">
        <f>IF(D45=0,"n.a.",D25/D45-1)</f>
        <v>0.1605514316012724</v>
      </c>
      <c r="E26" s="3">
        <f>IF(E45=0,"n.a.",E25/E45-1)</f>
        <v>0.393778692417287</v>
      </c>
      <c r="F26" s="3">
        <f>IF(F45=0,"n.a.",F25/F45-1)</f>
        <v>0.12201025949756072</v>
      </c>
      <c r="G26" s="30">
        <f>IF(G45=0,"n.a.",G25/G45-1)</f>
        <v>0.0416644944347786</v>
      </c>
      <c r="H26" s="5"/>
    </row>
    <row r="27">
      <c r="A27" s="16" t="s">
        <v>66</v>
      </c>
      <c r="B27" s="1">
        <f>B25-E45</f>
        <v>1.5249999999999986</v>
      </c>
      <c r="C27" s="1">
        <f>C25-B25</f>
        <v>3.4609999999999985</v>
      </c>
      <c r="D27" s="1">
        <f>D25-C25</f>
        <v>0.8879999999999981</v>
      </c>
      <c r="E27" s="1">
        <f>E25-D25</f>
        <v>9.051000000000016</v>
      </c>
      <c r="F27" s="1"/>
      <c r="G27" s="34">
        <f>G25-E25</f>
        <v>-11.75729397792</v>
      </c>
      <c r="H27" s="5"/>
    </row>
    <row r="28">
      <c r="A28" s="16" t="s">
        <v>59</v>
      </c>
      <c r="B28" s="3">
        <f>B25/B36</f>
        <v>0.018652693350137646</v>
      </c>
      <c r="C28" s="3">
        <f>C25/C36</f>
        <v>0.022455684736595465</v>
      </c>
      <c r="D28" s="3">
        <f>D25/D36</f>
        <v>0.0272247440683753</v>
      </c>
      <c r="E28" s="3">
        <f>E25/E36</f>
        <v>0.023669760533372768</v>
      </c>
      <c r="F28" s="3">
        <f>F25/F36</f>
        <v>0.02275319828949788</v>
      </c>
      <c r="G28" s="30">
        <f>G25/G36</f>
        <v>0.01856759851017551</v>
      </c>
      <c r="H28" s="5"/>
    </row>
    <row r="29">
      <c r="A29" s="27" t="s">
        <v>109</v>
      </c>
      <c r="B29" s="9">
        <f>'Segment - CPG'!B65+'Segment - PCG'!B65+'Segment - Consumer'!B65</f>
        <v>30.007</v>
      </c>
      <c r="C29" s="9">
        <f>'Segment - CPG'!C65+'Segment - PCG'!C65+'Segment - Consumer'!C65</f>
        <v>31.922</v>
      </c>
      <c r="D29" s="9">
        <f>'Segment - CPG'!D65+'Segment - PCG'!D65+'Segment - Consumer'!D65</f>
        <v>29.665</v>
      </c>
      <c r="E29" s="9">
        <f>'Segment - CPG'!E65+'Segment - PCG'!E65+'Segment - Consumer'!E65</f>
        <v>30.340000000000003</v>
      </c>
      <c r="F29" s="9">
        <f>'Segment - CPG'!F65+'Segment - PCG'!F65+'Segment - Consumer'!F65</f>
        <v>121.93400000000001</v>
      </c>
      <c r="G29" s="10">
        <f>'Segment - CPG'!G65+'Segment - PCG'!G65+'Segment - Consumer'!G65</f>
        <v>31.332903705360007</v>
      </c>
      <c r="H29" s="5"/>
    </row>
    <row r="30">
      <c r="A30" s="16" t="s">
        <v>57</v>
      </c>
      <c r="B30" s="3">
        <f>IF(B46=0,"n.a.",B29/B46-1)</f>
        <v>0.09160027647422608</v>
      </c>
      <c r="C30" s="3">
        <f>IF(C46=0,"n.a.",C29/C46-1)</f>
        <v>0.05193435708165817</v>
      </c>
      <c r="D30" s="3">
        <f>IF(D46=0,"n.a.",D29/D46-1)</f>
        <v>0.21478296478296466</v>
      </c>
      <c r="E30" s="3">
        <f>IF(E46=0,"n.a.",E29/E46-1)</f>
        <v>0.1447328705101123</v>
      </c>
      <c r="F30" s="3">
        <f>IF(F46=0,"n.a.",F29/F46-1)</f>
        <v>0.12113939995770484</v>
      </c>
      <c r="G30" s="30">
        <f>IF(G46=0,"n.a.",G29/G46-1)</f>
        <v>0.04418648000000025</v>
      </c>
      <c r="H30" s="5"/>
    </row>
    <row r="31">
      <c r="A31" s="16" t="s">
        <v>66</v>
      </c>
      <c r="B31" s="1">
        <f>B29-E46</f>
        <v>3.5030000000000108</v>
      </c>
      <c r="C31" s="1">
        <f>C29-B29</f>
        <v>1.9149999999999991</v>
      </c>
      <c r="D31" s="1">
        <f>D29-C29</f>
        <v>-2.2570000000000014</v>
      </c>
      <c r="E31" s="1">
        <f>E29-D29</f>
        <v>0.6750000000000043</v>
      </c>
      <c r="F31" s="1"/>
      <c r="G31" s="34">
        <f>G29-E29</f>
        <v>0.9929037053600034</v>
      </c>
      <c r="H31" s="5"/>
    </row>
    <row r="32">
      <c r="A32" s="16" t="s">
        <v>59</v>
      </c>
      <c r="B32" s="3">
        <f>B29/B36</f>
        <v>0.014196143996692124</v>
      </c>
      <c r="C32" s="3">
        <f>C29/C36</f>
        <v>0.016714007838127227</v>
      </c>
      <c r="D32" s="3">
        <f>D29/D36</f>
        <v>0.018448968219763186</v>
      </c>
      <c r="E32" s="3">
        <f>E29/E36</f>
        <v>0.013594194911362177</v>
      </c>
      <c r="F32" s="3">
        <f>F29/F36</f>
        <v>0.01550648051191962</v>
      </c>
      <c r="G32" s="30">
        <f>G29/G36</f>
        <v>0.014165593877062056</v>
      </c>
      <c r="H32" s="5"/>
    </row>
    <row r="33">
      <c r="A33" s="7" t="s">
        <v>111</v>
      </c>
      <c r="B33" s="28">
        <f>B13+B17+B21+B25+B29</f>
        <v>601.528</v>
      </c>
      <c r="C33" s="28">
        <f>C13+C17+C21+C25+C29</f>
        <v>582.522</v>
      </c>
      <c r="D33" s="28">
        <f>D13+D17+D21+D25+D29</f>
        <v>505.621</v>
      </c>
      <c r="E33" s="28">
        <f>E13+E17+E21+E25+E29</f>
        <v>652.0100000000001</v>
      </c>
      <c r="F33" s="28">
        <f>F13+F17+F21+F25+F29</f>
        <v>2341.6810000000005</v>
      </c>
      <c r="G33" s="19">
        <f>G13+G17+G21+G25+G29</f>
        <v>630.469297939312</v>
      </c>
      <c r="H33" s="5"/>
    </row>
    <row r="34">
      <c r="A34" s="66" t="s">
        <v>57</v>
      </c>
      <c r="B34" s="3">
        <f>IF(B47=0,"n.a.",B33/B47-1)</f>
        <v>0.09907875359490736</v>
      </c>
      <c r="C34" s="3">
        <f>IF(C47=0,"n.a.",C33/C47-1)</f>
        <v>0.04993916891215999</v>
      </c>
      <c r="D34" s="3">
        <f>IF(D47=0,"n.a.",D33/D47-1)</f>
        <v>0.14921699206764094</v>
      </c>
      <c r="E34" s="3">
        <f>IF(E47=0,"n.a.",E33/E47-1)</f>
        <v>0.10792784985428949</v>
      </c>
      <c r="F34" s="3">
        <f>IF(F47=0,"n.a.",F33/F47-1)</f>
        <v>0.09908043905374231</v>
      </c>
      <c r="G34" s="30">
        <f>IF(G47=0,"n.a.",G33/G47-1)</f>
        <v>0.04811296887146077</v>
      </c>
      <c r="H34" s="5"/>
    </row>
    <row r="35">
      <c r="A35" s="66" t="s">
        <v>59</v>
      </c>
      <c r="B35" s="3">
        <f>B33/B36</f>
        <v>0.28457953497657945</v>
      </c>
      <c r="C35" s="3">
        <f>C33/C36</f>
        <v>0.3050021074456973</v>
      </c>
      <c r="D35" s="3">
        <f>D33/D36</f>
        <v>0.3144508936539654</v>
      </c>
      <c r="E35" s="3">
        <f>E33/E36</f>
        <v>0.2921407720552819</v>
      </c>
      <c r="F35" s="3">
        <f>F33/F36</f>
        <v>0.29779414102409874</v>
      </c>
      <c r="G35" s="30">
        <f>G33/G36</f>
        <v>0.28503493038970856</v>
      </c>
      <c r="H35" s="5"/>
    </row>
    <row r="36">
      <c r="A36" s="7" t="s">
        <v>468</v>
      </c>
      <c r="B36" s="28">
        <f>B9+B33</f>
        <v>2113.743</v>
      </c>
      <c r="C36" s="28">
        <f>C9+C33</f>
        <v>1909.895</v>
      </c>
      <c r="D36" s="28">
        <f>D9+D33</f>
        <v>1607.949</v>
      </c>
      <c r="E36" s="28">
        <f>E9+E33</f>
        <v>2231.835</v>
      </c>
      <c r="F36" s="28">
        <f>F9+F33</f>
        <v>7863.4220000000005</v>
      </c>
      <c r="G36" s="19">
        <f>G9+G33</f>
        <v>2211.9018784024643</v>
      </c>
      <c r="H36" s="5"/>
    </row>
    <row r="37">
      <c r="A37" s="27" t="s">
        <v>469</v>
      </c>
      <c r="B37" s="9">
        <f>'Revenue summary'!B28</f>
        <v>2113.743</v>
      </c>
      <c r="C37" s="9">
        <f>'Revenue summary'!C28</f>
        <v>1909.895</v>
      </c>
      <c r="D37" s="9">
        <f>'Revenue summary'!D28</f>
        <v>1607.949</v>
      </c>
      <c r="E37" s="9">
        <f>'Revenue summary'!E28</f>
        <v>2231.835</v>
      </c>
      <c r="F37" s="9">
        <f>'Revenue summary'!F28</f>
        <v>7863.422</v>
      </c>
      <c r="G37" s="10">
        <f>'Revenue summary'!G28</f>
        <v>2211.9018784024643</v>
      </c>
      <c r="H37" s="5"/>
    </row>
    <row r="38">
      <c r="A38" s="5" t="s">
        <v>470</v>
      </c>
      <c r="B38" s="1">
        <f>ROUND(B36-B37,6)</f>
        <v>0</v>
      </c>
      <c r="C38" s="1">
        <f>ROUND(C36-C37,6)</f>
        <v>0</v>
      </c>
      <c r="D38" s="1">
        <f>ROUND(D36-D37,6)</f>
        <v>0</v>
      </c>
      <c r="E38" s="1">
        <f>ROUND(E36-E37,6)</f>
        <v>0</v>
      </c>
      <c r="F38" s="1">
        <f>ROUND(F36-F37,6)</f>
        <v>0</v>
      </c>
      <c r="G38" s="34">
        <f>ROUND(G36-G37,6)</f>
        <v>0</v>
      </c>
      <c r="H38" s="5"/>
    </row>
    <row r="39">
      <c r="A39" s="4"/>
      <c r="B39" s="4"/>
      <c r="C39" s="4"/>
      <c r="D39" s="4"/>
      <c r="E39" s="4"/>
      <c r="F39" s="4"/>
      <c r="G39" s="39"/>
      <c r="H39" s="5"/>
    </row>
    <row r="40">
      <c r="A40" s="7" t="s">
        <v>471</v>
      </c>
      <c r="B40" s="4"/>
      <c r="C40" s="4"/>
      <c r="D40" s="4"/>
      <c r="E40" s="4"/>
      <c r="F40" s="4"/>
      <c r="G40" s="39"/>
      <c r="H40" s="5"/>
    </row>
    <row r="41">
      <c r="A41" s="27" t="s">
        <v>145</v>
      </c>
      <c r="B41" s="9">
        <f>'Segment - CPG'!B118+'Segment - PCG'!B119+'Segment - Consumer'!B119</f>
        <v>1421.487</v>
      </c>
      <c r="C41" s="9">
        <f>'Segment - CPG'!C118+'Segment - PCG'!C119+'Segment - Consumer'!C119</f>
        <v>1290.503</v>
      </c>
      <c r="D41" s="9">
        <f>'Segment - CPG'!D118+'Segment - PCG'!D119+'Segment - Consumer'!D119</f>
        <v>1036.592</v>
      </c>
      <c r="E41" s="9">
        <f>'Segment - CPG'!E118+'Segment - PCG'!E119+'Segment - Consumer'!E119</f>
        <v>1493.48</v>
      </c>
      <c r="F41" s="9">
        <f>'Segment - CPG'!F118+'Segment - PCG'!F119+'Segment - Consumer'!F119</f>
        <v>5242.062</v>
      </c>
      <c r="G41" s="10">
        <f>'Segment - CPG'!G118+'Segment - PCG'!G119+'Segment - Consumer'!G119</f>
        <v>1512.215</v>
      </c>
      <c r="H41" s="5"/>
    </row>
    <row r="42">
      <c r="A42" s="27" t="s">
        <v>146</v>
      </c>
      <c r="B42" s="9">
        <f>'Segment - CPG'!B119+'Segment - PCG'!B120+'Segment - Consumer'!B120</f>
        <v>147.194</v>
      </c>
      <c r="C42" s="9">
        <f>'Segment - CPG'!C119+'Segment - PCG'!C120+'Segment - Consumer'!C120</f>
        <v>136.05700000000002</v>
      </c>
      <c r="D42" s="9">
        <f>'Segment - CPG'!D119+'Segment - PCG'!D120+'Segment - Consumer'!D120</f>
        <v>87.099</v>
      </c>
      <c r="E42" s="9">
        <f>'Segment - CPG'!E119+'Segment - PCG'!E120+'Segment - Consumer'!E120</f>
        <v>148.81599999999997</v>
      </c>
      <c r="F42" s="9">
        <f>'Segment - CPG'!F119+'Segment - PCG'!F120+'Segment - Consumer'!F120</f>
        <v>519.1659999999999</v>
      </c>
      <c r="G42" s="10">
        <f>'Segment - CPG'!G119+'Segment - PCG'!G120+'Segment - Consumer'!G120</f>
        <v>148.816</v>
      </c>
      <c r="H42" s="5"/>
    </row>
    <row r="43">
      <c r="A43" s="27" t="s">
        <v>147</v>
      </c>
      <c r="B43" s="9">
        <f>'Segment - CPG'!B120+'Segment - PCG'!B121+'Segment - Consumer'!B121</f>
        <v>258.772</v>
      </c>
      <c r="C43" s="9">
        <f>'Segment - CPG'!C120+'Segment - PCG'!C121+'Segment - Consumer'!C121</f>
        <v>266.957</v>
      </c>
      <c r="D43" s="9">
        <f>'Segment - CPG'!D120+'Segment - PCG'!D121+'Segment - Consumer'!D121</f>
        <v>224.29399999999998</v>
      </c>
      <c r="E43" s="9">
        <f>'Segment - CPG'!E120+'Segment - PCG'!E121+'Segment - Consumer'!E121</f>
        <v>302.711</v>
      </c>
      <c r="F43" s="9">
        <f>'Segment - CPG'!F120+'Segment - PCG'!F121+'Segment - Consumer'!F121</f>
        <v>1052.734</v>
      </c>
      <c r="G43" s="10">
        <f>'Segment - CPG'!G120+'Segment - PCG'!G121+'Segment - Consumer'!G121</f>
        <v>312.362</v>
      </c>
      <c r="H43" s="5"/>
    </row>
    <row r="44">
      <c r="A44" s="27" t="s">
        <v>148</v>
      </c>
      <c r="B44" s="9">
        <f>'Segment - CPG'!B121+'Segment - PCG'!B122+'Segment - Consumer'!B122</f>
        <v>74.458</v>
      </c>
      <c r="C44" s="9">
        <f>'Segment - CPG'!C121+'Segment - PCG'!C122+'Segment - Consumer'!C122</f>
        <v>77.004</v>
      </c>
      <c r="D44" s="9">
        <f>'Segment - CPG'!D121+'Segment - PCG'!D122+'Segment - Consumer'!D122</f>
        <v>66.437</v>
      </c>
      <c r="E44" s="9">
        <f>'Segment - CPG'!E121+'Segment - PCG'!E122+'Segment - Consumer'!E122</f>
        <v>72.562</v>
      </c>
      <c r="F44" s="9">
        <f>'Segment - CPG'!F121+'Segment - PCG'!F122+'Segment - Consumer'!F122</f>
        <v>290.461</v>
      </c>
      <c r="G44" s="10">
        <f>'Segment - CPG'!G121+'Segment - PCG'!G122+'Segment - Consumer'!G122</f>
        <v>70.916</v>
      </c>
      <c r="H44" s="5"/>
    </row>
    <row r="45">
      <c r="A45" s="27" t="s">
        <v>150</v>
      </c>
      <c r="B45" s="9">
        <f>'Segment - CPG'!B122+'Segment - PCG'!B123+'Segment - Consumer'!B123</f>
        <v>39.388999999999996</v>
      </c>
      <c r="C45" s="9">
        <f>'Segment - CPG'!C122+'Segment - PCG'!C123+'Segment - Consumer'!C123</f>
        <v>44.45099999999999</v>
      </c>
      <c r="D45" s="9">
        <f>'Segment - CPG'!D122+'Segment - PCG'!D123+'Segment - Consumer'!D123</f>
        <v>37.72</v>
      </c>
      <c r="E45" s="9">
        <f>'Segment - CPG'!E122+'Segment - PCG'!E123+'Segment - Consumer'!E123</f>
        <v>37.902</v>
      </c>
      <c r="F45" s="9">
        <f>'Segment - CPG'!F122+'Segment - PCG'!F123+'Segment - Consumer'!F123</f>
        <v>159.462</v>
      </c>
      <c r="G45" s="10">
        <f>'Segment - CPG'!G122+'Segment - PCG'!G123+'Segment - Consumer'!G123</f>
        <v>39.427</v>
      </c>
      <c r="H45" s="5"/>
    </row>
    <row r="46">
      <c r="A46" s="27" t="s">
        <v>151</v>
      </c>
      <c r="B46" s="9">
        <f>'Segment - CPG'!B123+'Segment - PCG'!B124+'Segment - Consumer'!B124</f>
        <v>27.489</v>
      </c>
      <c r="C46" s="9">
        <f>'Segment - CPG'!C123+'Segment - PCG'!C124+'Segment - Consumer'!C124</f>
        <v>30.346</v>
      </c>
      <c r="D46" s="9">
        <f>'Segment - CPG'!D123+'Segment - PCG'!D124+'Segment - Consumer'!D124</f>
        <v>24.42</v>
      </c>
      <c r="E46" s="9">
        <f>'Segment - CPG'!E123+'Segment - PCG'!E124+'Segment - Consumer'!E124</f>
        <v>26.50399999999999</v>
      </c>
      <c r="F46" s="9">
        <f>'Segment - CPG'!F123+'Segment - PCG'!F124+'Segment - Consumer'!F124</f>
        <v>108.759</v>
      </c>
      <c r="G46" s="10">
        <f>'Segment - CPG'!G123+'Segment - PCG'!G124+'Segment - Consumer'!G124</f>
        <v>30.007</v>
      </c>
      <c r="H46" s="5"/>
    </row>
    <row r="47">
      <c r="A47" s="73" t="s">
        <v>152</v>
      </c>
      <c r="B47" s="28">
        <f>B42+B43+B44+B45+B46</f>
        <v>547.302</v>
      </c>
      <c r="C47" s="28">
        <f>C42+C43+C44+C45+C46</f>
        <v>554.815</v>
      </c>
      <c r="D47" s="28">
        <f>D42+D43+D44+D45+D46</f>
        <v>439.96999999999997</v>
      </c>
      <c r="E47" s="28">
        <f>E42+E43+E44+E45+E46</f>
        <v>588.495</v>
      </c>
      <c r="F47" s="28">
        <f>F42+F43+F44+F45+F46</f>
        <v>2130.582</v>
      </c>
      <c r="G47" s="19">
        <f>G42+G43+G44+G45+G46</f>
        <v>601.528</v>
      </c>
      <c r="H47" s="5"/>
    </row>
    <row r="48">
      <c r="A48" s="4"/>
      <c r="B48" s="4"/>
      <c r="C48" s="4"/>
      <c r="D48" s="4"/>
      <c r="E48" s="4"/>
      <c r="F48" s="4"/>
      <c r="G48" s="39"/>
      <c r="H48" s="5"/>
    </row>
    <row r="49">
      <c r="A49" s="7" t="s">
        <v>472</v>
      </c>
      <c r="B49" s="43"/>
      <c r="C49" s="43"/>
      <c r="D49" s="43"/>
      <c r="E49" s="43"/>
      <c r="F49" s="43"/>
      <c r="G49" s="58" t="b">
        <f>MAX(ABS(B38),ABS(C38),ABS(D38),ABS(E38),ABS(F38),ABS(G38))&lt;0.001</f>
        <v>1</v>
      </c>
      <c r="H49" s="5"/>
    </row>
    <row r="50">
      <c r="A50" s="4"/>
      <c r="B50" s="4"/>
      <c r="C50" s="4"/>
      <c r="D50" s="4"/>
      <c r="E50" s="4"/>
      <c r="F50" s="4"/>
      <c r="G50" s="39"/>
      <c r="H50" s="5"/>
    </row>
    <row r="51">
      <c r="A51" s="4"/>
      <c r="B51" s="4"/>
      <c r="C51" s="4"/>
      <c r="D51" s="4"/>
      <c r="E51" s="4"/>
      <c r="F51" s="4"/>
      <c r="G51" s="39"/>
      <c r="H51" s="5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6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</row>
    <row r="2">
      <c r="A2" s="7" t="s">
        <v>473</v>
      </c>
      <c r="B2" s="4"/>
      <c r="C2" s="4"/>
      <c r="D2" s="4"/>
      <c r="E2" s="4"/>
      <c r="F2" s="4"/>
      <c r="G2" s="4"/>
      <c r="H2" s="4"/>
    </row>
    <row r="3">
      <c r="A3" s="5" t="s">
        <v>2</v>
      </c>
      <c r="B3" s="4"/>
      <c r="C3" s="4"/>
      <c r="D3" s="4"/>
      <c r="E3" s="4"/>
      <c r="F3" s="4"/>
      <c r="G3" s="4"/>
      <c r="H3" s="4"/>
    </row>
    <row r="4">
      <c r="A4" s="21" t="s">
        <v>3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64" t="s">
        <v>4</v>
      </c>
      <c r="H4" s="21" t="s">
        <v>54</v>
      </c>
    </row>
    <row r="5">
      <c r="A5" s="15" t="s">
        <v>5</v>
      </c>
      <c r="B5" s="23">
        <v>45900</v>
      </c>
      <c r="C5" s="23">
        <v>45991</v>
      </c>
      <c r="D5" s="23">
        <v>46081</v>
      </c>
      <c r="E5" s="23">
        <v>46173</v>
      </c>
      <c r="F5" s="23">
        <v>46173</v>
      </c>
      <c r="G5" s="56">
        <v>46265</v>
      </c>
      <c r="H5" s="15"/>
    </row>
    <row r="6">
      <c r="A6" s="11" t="s">
        <v>6</v>
      </c>
      <c r="B6" s="46">
        <v>92</v>
      </c>
      <c r="C6" s="46">
        <v>91</v>
      </c>
      <c r="D6" s="46">
        <v>90</v>
      </c>
      <c r="E6" s="46">
        <v>92</v>
      </c>
      <c r="F6" s="46">
        <v>365</v>
      </c>
      <c r="G6" s="42">
        <v>92</v>
      </c>
      <c r="H6" s="11"/>
    </row>
    <row r="7">
      <c r="A7" s="4"/>
      <c r="B7" s="4"/>
      <c r="C7" s="4"/>
      <c r="D7" s="4"/>
      <c r="E7" s="4"/>
      <c r="F7" s="4"/>
      <c r="G7" s="39"/>
      <c r="H7" s="4"/>
    </row>
    <row r="8">
      <c r="A8" s="7" t="s">
        <v>474</v>
      </c>
      <c r="B8" s="4"/>
      <c r="C8" s="4"/>
      <c r="D8" s="4"/>
      <c r="E8" s="4"/>
      <c r="F8" s="4"/>
      <c r="G8" s="39"/>
      <c r="H8" s="5"/>
    </row>
    <row r="9">
      <c r="A9" s="27" t="s">
        <v>475</v>
      </c>
      <c r="B9" s="9">
        <f>'Income Statement'!B69</f>
        <v>127.283</v>
      </c>
      <c r="C9" s="9">
        <f>'Income Statement'!C69</f>
        <v>127.129</v>
      </c>
      <c r="D9" s="9">
        <f>'Income Statement'!D69</f>
        <v>127.045</v>
      </c>
      <c r="E9" s="9">
        <f>'Income Statement'!E69</f>
        <v>126.734</v>
      </c>
      <c r="F9" s="9">
        <f>'Income Statement'!F69</f>
        <v>127.049</v>
      </c>
      <c r="G9" s="26">
        <f>E9-G24+G25</f>
        <v>126.49815094339623</v>
      </c>
      <c r="H9" s="5" t="s">
        <v>476</v>
      </c>
    </row>
    <row r="10">
      <c r="A10" s="16" t="s">
        <v>57</v>
      </c>
      <c r="B10" s="3">
        <f>IF(B28=0,"n.a.",B9/B28-1)</f>
        <v>-0.0031952134449569902</v>
      </c>
      <c r="C10" s="3">
        <f>IF(C28=0,"n.a.",C9/C28-1)</f>
        <v>-0.004143884441241363</v>
      </c>
      <c r="D10" s="3">
        <f>IF(D28=0,"n.a.",D9/D28-1)</f>
        <v>-0.003849893363442436</v>
      </c>
      <c r="E10" s="3">
        <f>IF(E28=0,"n.a.",E9/E28-1)</f>
        <v>-0.005196395491224304</v>
      </c>
      <c r="F10" s="3">
        <f>IF(F28=0,"n.a.",F9/F28-1)</f>
        <v>-0.0040840322959943</v>
      </c>
      <c r="G10" s="30">
        <f>IF(G28=0,"n.a.",G9/G28-1)</f>
        <v>-0.006166173460743218</v>
      </c>
      <c r="H10" s="5"/>
    </row>
    <row r="11">
      <c r="A11" s="16" t="s">
        <v>477</v>
      </c>
      <c r="B11" s="1"/>
      <c r="C11" s="1">
        <f>C9-B9</f>
        <v>-0.15399999999999636</v>
      </c>
      <c r="D11" s="1">
        <f>D9-C9</f>
        <v>-0.08400000000000318</v>
      </c>
      <c r="E11" s="1">
        <f>E9-D9</f>
        <v>-0.31100000000000705</v>
      </c>
      <c r="F11" s="1"/>
      <c r="G11" s="34">
        <f>G9-E9</f>
        <v>-0.23584905660376876</v>
      </c>
      <c r="H11" s="5"/>
    </row>
    <row r="12">
      <c r="A12" s="27" t="s">
        <v>478</v>
      </c>
      <c r="B12" s="13">
        <f>B13-B9</f>
        <v>0.6670000000000016</v>
      </c>
      <c r="C12" s="13">
        <f>C13-C9</f>
        <v>0.519999999999996</v>
      </c>
      <c r="D12" s="13">
        <f>D13-D9</f>
        <v>0.4620000000000033</v>
      </c>
      <c r="E12" s="13">
        <f>E13-E9</f>
        <v>0.3650000000000091</v>
      </c>
      <c r="F12" s="13">
        <f>F13-F9</f>
        <v>0.5049999999999955</v>
      </c>
      <c r="G12" s="26">
        <f>G13-G9</f>
        <v>0.3650000000000091</v>
      </c>
      <c r="H12" s="5"/>
    </row>
    <row r="13">
      <c r="A13" s="7" t="s">
        <v>479</v>
      </c>
      <c r="B13" s="31">
        <f>'Income Statement'!B70</f>
        <v>127.95</v>
      </c>
      <c r="C13" s="31">
        <f>'Income Statement'!C70</f>
        <v>127.649</v>
      </c>
      <c r="D13" s="31">
        <f>'Income Statement'!D70</f>
        <v>127.507</v>
      </c>
      <c r="E13" s="31">
        <f>'Income Statement'!E70</f>
        <v>127.099</v>
      </c>
      <c r="F13" s="31">
        <f>'Income Statement'!F70</f>
        <v>127.554</v>
      </c>
      <c r="G13" s="19">
        <f>E13-G24+G25</f>
        <v>126.86315094339623</v>
      </c>
      <c r="H13" s="5" t="s">
        <v>480</v>
      </c>
    </row>
    <row r="14">
      <c r="A14" s="16" t="s">
        <v>477</v>
      </c>
      <c r="B14" s="1"/>
      <c r="C14" s="1">
        <f>C13-B13</f>
        <v>-0.30100000000000193</v>
      </c>
      <c r="D14" s="1">
        <f>D13-C13</f>
        <v>-0.1419999999999959</v>
      </c>
      <c r="E14" s="1">
        <f>E13-D13</f>
        <v>-0.40800000000000125</v>
      </c>
      <c r="F14" s="1"/>
      <c r="G14" s="34">
        <f>G13-E13</f>
        <v>-0.23584905660376876</v>
      </c>
      <c r="H14" s="5"/>
    </row>
    <row r="15">
      <c r="A15" s="16" t="s">
        <v>57</v>
      </c>
      <c r="B15" s="3">
        <f>IF(B29=0,"n.a.",B13/B29-1)</f>
        <v>-0.0036598660644757697</v>
      </c>
      <c r="C15" s="3">
        <f>IF(C29=0,"n.a.",C13/C29-1)</f>
        <v>-0.005415134326497539</v>
      </c>
      <c r="D15" s="3">
        <f>IF(D29=0,"n.a.",D13/D29-1)</f>
        <v>-0.0050486133870186745</v>
      </c>
      <c r="E15" s="3">
        <f>IF(E29=0,"n.a.",E13/E29-1)</f>
        <v>-0.006083971316186543</v>
      </c>
      <c r="F15" s="3">
        <f>IF(F29=0,"n.a.",F13/F29-1)</f>
        <v>-0.00507004461639271</v>
      </c>
      <c r="G15" s="30">
        <f>IF(G29=0,"n.a.",G13/G29-1)</f>
        <v>-0.008494326350947823</v>
      </c>
      <c r="H15" s="5"/>
    </row>
    <row r="16">
      <c r="A16" s="7" t="s">
        <v>481</v>
      </c>
      <c r="B16" s="4"/>
      <c r="C16" s="4"/>
      <c r="D16" s="4"/>
      <c r="E16" s="4"/>
      <c r="F16" s="4"/>
      <c r="G16" s="39"/>
      <c r="H16" s="5"/>
    </row>
    <row r="17">
      <c r="A17" s="27" t="s">
        <v>358</v>
      </c>
      <c r="B17" s="9">
        <f>'Balance Sheet'!B58</f>
        <v>128.219</v>
      </c>
      <c r="C17" s="9">
        <f>'Balance Sheet'!C58</f>
        <v>128.076</v>
      </c>
      <c r="D17" s="9">
        <f>'Balance Sheet'!D58</f>
        <v>127.873</v>
      </c>
      <c r="E17" s="9">
        <f>'Balance Sheet'!E58</f>
        <v>127.643</v>
      </c>
      <c r="F17" s="9">
        <f>'Balance Sheet'!F58</f>
        <v>127.643</v>
      </c>
      <c r="G17" s="26">
        <f>E17-G24+G25</f>
        <v>127.40715094339623</v>
      </c>
      <c r="H17" s="5"/>
    </row>
    <row r="18">
      <c r="A18" s="16" t="s">
        <v>57</v>
      </c>
      <c r="B18" s="3">
        <f>IF(B30=0,"n.a.",B17/B30-1)</f>
        <v>-0.0037528554334820274</v>
      </c>
      <c r="C18" s="3">
        <f>IF(C30=0,"n.a.",C17/C30-1)</f>
        <v>-0.0038267687138324735</v>
      </c>
      <c r="D18" s="3">
        <f>IF(D30=0,"n.a.",D17/D30-1)</f>
        <v>-0.004282721942331147</v>
      </c>
      <c r="E18" s="3">
        <f>IF(E30=0,"n.a.",E17/E30-1)</f>
        <v>-0.004880368600363338</v>
      </c>
      <c r="F18" s="3">
        <f>IF(F30=0,"n.a.",F17/F30-1)</f>
        <v>-0.004880368600363338</v>
      </c>
      <c r="G18" s="30">
        <f>IF(G30=0,"n.a.",G17/G30-1)</f>
        <v>-0.006331737547506711</v>
      </c>
      <c r="H18" s="5"/>
    </row>
    <row r="19">
      <c r="A19" s="16" t="s">
        <v>477</v>
      </c>
      <c r="B19" s="1"/>
      <c r="C19" s="1">
        <f>C17-B17</f>
        <v>-0.14300000000000068</v>
      </c>
      <c r="D19" s="1">
        <f>D17-C17</f>
        <v>-0.20299999999998875</v>
      </c>
      <c r="E19" s="1">
        <f>E17-D17</f>
        <v>-0.23000000000000398</v>
      </c>
      <c r="F19" s="1"/>
      <c r="G19" s="34">
        <f>G17-E17</f>
        <v>-0.23584905660376876</v>
      </c>
      <c r="H19" s="5"/>
    </row>
    <row r="20">
      <c r="A20" s="27" t="s">
        <v>482</v>
      </c>
      <c r="B20" s="9">
        <f>-'Cash Flow Statement'!B49</f>
        <v>17.5</v>
      </c>
      <c r="C20" s="9">
        <f>-'Cash Flow Statement'!C49</f>
        <v>17.5</v>
      </c>
      <c r="D20" s="9">
        <f>-'Cash Flow Statement'!D49</f>
        <v>17.5</v>
      </c>
      <c r="E20" s="9">
        <f>-'Cash Flow Statement'!E49</f>
        <v>24.997</v>
      </c>
      <c r="F20" s="9">
        <f>-'Cash Flow Statement'!F49</f>
        <v>77.497</v>
      </c>
      <c r="G20" s="10">
        <f>-'Cash Flow Statement'!G49</f>
        <v>25</v>
      </c>
      <c r="H20" s="5"/>
    </row>
    <row r="21">
      <c r="A21" s="27" t="s">
        <v>483</v>
      </c>
      <c r="B21" s="9">
        <f>-'Cash Flow Statement'!B52</f>
        <v>1.921</v>
      </c>
      <c r="C21" s="9">
        <f>-'Cash Flow Statement'!C52</f>
        <v>0.24599999999999977</v>
      </c>
      <c r="D21" s="9">
        <f>-'Cash Flow Statement'!D52</f>
        <v>1.169</v>
      </c>
      <c r="E21" s="9">
        <f>-'Cash Flow Statement'!E52</f>
        <v>1.698</v>
      </c>
      <c r="F21" s="9">
        <f>-'Cash Flow Statement'!F52</f>
        <v>5.034</v>
      </c>
      <c r="G21" s="10">
        <f>-'Cash Flow Statement'!G52</f>
        <v>2</v>
      </c>
      <c r="H21" s="5"/>
    </row>
    <row r="22">
      <c r="A22" s="27" t="s">
        <v>484</v>
      </c>
      <c r="B22" s="9">
        <f>-'Cash Flow Statement'!B46</f>
        <v>64.521</v>
      </c>
      <c r="C22" s="9">
        <f>-'Cash Flow Statement'!C46</f>
        <v>69.198</v>
      </c>
      <c r="D22" s="9">
        <f>-'Cash Flow Statement'!D46</f>
        <v>69.07</v>
      </c>
      <c r="E22" s="9">
        <f>-'Cash Flow Statement'!E46</f>
        <v>68.916</v>
      </c>
      <c r="F22" s="9">
        <f>-'Cash Flow Statement'!F46</f>
        <v>271.705</v>
      </c>
      <c r="G22" s="10">
        <f>-'Cash Flow Statement'!G46</f>
        <v>68.92722</v>
      </c>
      <c r="H22" s="5"/>
    </row>
    <row r="23">
      <c r="A23" s="27" t="s">
        <v>485</v>
      </c>
      <c r="B23" s="20" t="s">
        <v>45</v>
      </c>
      <c r="C23" s="20" t="s">
        <v>45</v>
      </c>
      <c r="D23" s="20" t="s">
        <v>45</v>
      </c>
      <c r="E23" s="20" t="s">
        <v>45</v>
      </c>
      <c r="F23" s="20" t="s">
        <v>45</v>
      </c>
      <c r="G23" s="69">
        <v>106</v>
      </c>
      <c r="H23" s="5" t="s">
        <v>486</v>
      </c>
    </row>
    <row r="24">
      <c r="A24" s="27" t="s">
        <v>487</v>
      </c>
      <c r="B24" s="13" t="s">
        <v>45</v>
      </c>
      <c r="C24" s="13" t="s">
        <v>45</v>
      </c>
      <c r="D24" s="13" t="s">
        <v>45</v>
      </c>
      <c r="E24" s="13" t="s">
        <v>45</v>
      </c>
      <c r="F24" s="13" t="s">
        <v>45</v>
      </c>
      <c r="G24" s="26">
        <f>G20/G23</f>
        <v>0.2358490566037736</v>
      </c>
      <c r="H24" s="5"/>
    </row>
    <row r="25">
      <c r="A25" s="27" t="s">
        <v>488</v>
      </c>
      <c r="B25" s="13" t="s">
        <v>45</v>
      </c>
      <c r="C25" s="13" t="s">
        <v>45</v>
      </c>
      <c r="D25" s="13" t="s">
        <v>45</v>
      </c>
      <c r="E25" s="13" t="s">
        <v>45</v>
      </c>
      <c r="F25" s="13" t="s">
        <v>45</v>
      </c>
      <c r="G25" s="59">
        <v>0</v>
      </c>
      <c r="H25" s="5"/>
    </row>
    <row r="26">
      <c r="A26" s="27" t="s">
        <v>489</v>
      </c>
      <c r="B26" s="13"/>
      <c r="C26" s="13"/>
      <c r="D26" s="13"/>
      <c r="E26" s="17">
        <v>814.8</v>
      </c>
      <c r="F26" s="13"/>
      <c r="G26" s="26"/>
      <c r="H26" s="5"/>
    </row>
    <row r="27">
      <c r="A27" s="7" t="s">
        <v>490</v>
      </c>
      <c r="B27" s="4"/>
      <c r="C27" s="4"/>
      <c r="D27" s="4"/>
      <c r="E27" s="4"/>
      <c r="F27" s="4"/>
      <c r="G27" s="39"/>
      <c r="H27" s="5"/>
    </row>
    <row r="28">
      <c r="A28" s="27" t="s">
        <v>491</v>
      </c>
      <c r="B28" s="17">
        <v>127.691</v>
      </c>
      <c r="C28" s="17">
        <v>127.658</v>
      </c>
      <c r="D28" s="17">
        <v>127.536</v>
      </c>
      <c r="E28" s="17">
        <v>127.396</v>
      </c>
      <c r="F28" s="17">
        <v>127.57</v>
      </c>
      <c r="G28" s="26">
        <f>B9</f>
        <v>127.283</v>
      </c>
      <c r="H28" s="5"/>
    </row>
    <row r="29">
      <c r="A29" s="27" t="s">
        <v>492</v>
      </c>
      <c r="B29" s="17">
        <v>128.42</v>
      </c>
      <c r="C29" s="17">
        <v>128.344</v>
      </c>
      <c r="D29" s="17">
        <v>128.154</v>
      </c>
      <c r="E29" s="17">
        <v>127.877</v>
      </c>
      <c r="F29" s="17">
        <v>128.204</v>
      </c>
      <c r="G29" s="26">
        <f>B13</f>
        <v>127.95</v>
      </c>
      <c r="H29" s="5"/>
    </row>
    <row r="30">
      <c r="A30" s="27" t="s">
        <v>493</v>
      </c>
      <c r="B30" s="17">
        <v>128.702</v>
      </c>
      <c r="C30" s="17">
        <v>128.568</v>
      </c>
      <c r="D30" s="17">
        <v>128.423</v>
      </c>
      <c r="E30" s="17">
        <v>128.269</v>
      </c>
      <c r="F30" s="13">
        <f>E30</f>
        <v>128.269</v>
      </c>
      <c r="G30" s="26">
        <f>B17</f>
        <v>128.219</v>
      </c>
      <c r="H30" s="5"/>
    </row>
    <row r="31">
      <c r="A31" s="7" t="s">
        <v>494</v>
      </c>
      <c r="B31" s="4"/>
      <c r="C31" s="4"/>
      <c r="D31" s="4"/>
      <c r="E31" s="4"/>
      <c r="F31" s="4"/>
      <c r="G31" s="39"/>
      <c r="H31" s="5"/>
    </row>
    <row r="32">
      <c r="A32" s="7" t="s">
        <v>495</v>
      </c>
      <c r="B32" s="28"/>
      <c r="C32" s="28"/>
      <c r="D32" s="28"/>
      <c r="E32" s="28"/>
      <c r="F32" s="28"/>
      <c r="G32" s="19">
        <f>G13</f>
        <v>126.86315094339623</v>
      </c>
      <c r="H32" s="5"/>
    </row>
    <row r="33">
      <c r="A33" s="5" t="s">
        <v>496</v>
      </c>
      <c r="B33" s="40">
        <f>ROUND('Income Statement'!B70-B13,6)</f>
        <v>0</v>
      </c>
      <c r="C33" s="40">
        <f>ROUND('Income Statement'!C70-C13,6)</f>
        <v>0</v>
      </c>
      <c r="D33" s="40">
        <f>ROUND('Income Statement'!D70-D13,6)</f>
        <v>0</v>
      </c>
      <c r="E33" s="40">
        <f>ROUND('Income Statement'!E70-E13,6)</f>
        <v>0</v>
      </c>
      <c r="F33" s="40">
        <f>ROUND('Income Statement'!F70-F13,6)</f>
        <v>0</v>
      </c>
      <c r="G33" s="24" t="s">
        <v>45</v>
      </c>
      <c r="H33" s="5"/>
    </row>
    <row r="34">
      <c r="A34" s="4"/>
      <c r="B34" s="4"/>
      <c r="C34" s="4"/>
      <c r="D34" s="4"/>
      <c r="E34" s="4"/>
      <c r="F34" s="4"/>
      <c r="G34" s="39"/>
      <c r="H34" s="5"/>
    </row>
    <row r="35">
      <c r="A35" s="4"/>
      <c r="B35" s="4"/>
      <c r="C35" s="4"/>
      <c r="D35" s="4"/>
      <c r="E35" s="4"/>
      <c r="F35" s="4"/>
      <c r="G35" s="39"/>
      <c r="H35" s="5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8"/>
  <sheetViews>
    <sheetView showGridLines="0" workbookViewId="0"/>
  </sheetViews>
  <sheetFormatPr defaultColWidth="8.42578125" defaultRowHeight="15"/>
  <cols>
    <col min="1" max="1" width="14" customWidth="1"/>
    <col min="2" max="2" width="11" customWidth="1"/>
    <col min="3" max="3" width="52" customWidth="1"/>
    <col min="4" max="7" width="12" customWidth="1"/>
    <col min="8" max="8" width="18" customWidth="1"/>
    <col min="9" max="9" width="30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  <c r="I1" s="4"/>
    </row>
    <row r="2">
      <c r="A2" s="7" t="s">
        <v>497</v>
      </c>
      <c r="B2" s="4"/>
      <c r="C2" s="4"/>
      <c r="D2" s="4"/>
      <c r="E2" s="4"/>
      <c r="F2" s="4"/>
      <c r="G2" s="4"/>
      <c r="H2" s="4"/>
      <c r="I2" s="4"/>
    </row>
    <row r="3">
      <c r="A3" s="5" t="s">
        <v>2</v>
      </c>
      <c r="B3" s="4"/>
      <c r="C3" s="4"/>
      <c r="D3" s="4"/>
      <c r="E3" s="4"/>
      <c r="F3" s="4"/>
      <c r="G3" s="4"/>
      <c r="H3" s="4"/>
      <c r="I3" s="4"/>
    </row>
    <row r="4">
      <c r="A4" s="21" t="s">
        <v>3</v>
      </c>
      <c r="B4" s="8" t="s">
        <v>4</v>
      </c>
      <c r="C4" s="21"/>
      <c r="D4" s="21"/>
      <c r="E4" s="21"/>
      <c r="F4" s="21"/>
      <c r="G4" s="21"/>
      <c r="H4" s="21"/>
      <c r="I4" s="21"/>
    </row>
    <row r="5">
      <c r="A5" s="15" t="s">
        <v>5</v>
      </c>
      <c r="B5" s="23">
        <v>46265</v>
      </c>
      <c r="C5" s="15"/>
      <c r="D5" s="15"/>
      <c r="E5" s="15"/>
      <c r="F5" s="15"/>
      <c r="G5" s="15"/>
      <c r="H5" s="15"/>
      <c r="I5" s="15"/>
    </row>
    <row r="6">
      <c r="A6" s="11" t="s">
        <v>6</v>
      </c>
      <c r="B6" s="46">
        <v>92</v>
      </c>
      <c r="C6" s="11"/>
      <c r="D6" s="11"/>
      <c r="E6" s="11"/>
      <c r="F6" s="11"/>
      <c r="G6" s="11"/>
      <c r="H6" s="11"/>
      <c r="I6" s="11"/>
    </row>
    <row r="7">
      <c r="A7" s="4"/>
      <c r="B7" s="4"/>
      <c r="C7" s="4"/>
      <c r="D7" s="4"/>
      <c r="E7" s="4"/>
      <c r="F7" s="4"/>
      <c r="G7" s="4"/>
      <c r="H7" s="4"/>
      <c r="I7" s="4"/>
    </row>
    <row r="8">
      <c r="A8" s="110" t="s">
        <v>498</v>
      </c>
      <c r="B8" s="18" t="s">
        <v>3</v>
      </c>
      <c r="C8" s="107" t="s">
        <v>499</v>
      </c>
      <c r="D8" s="18" t="s">
        <v>500</v>
      </c>
      <c r="E8" s="18" t="s">
        <v>501</v>
      </c>
      <c r="F8" s="18" t="s">
        <v>502</v>
      </c>
      <c r="G8" s="18" t="s">
        <v>503</v>
      </c>
      <c r="H8" s="107" t="s">
        <v>504</v>
      </c>
      <c r="I8" s="107" t="s">
        <v>505</v>
      </c>
    </row>
    <row r="9">
      <c r="A9" s="55">
        <v>45755</v>
      </c>
      <c r="B9" s="109" t="s">
        <v>506</v>
      </c>
      <c r="C9" s="4" t="s">
        <v>507</v>
      </c>
      <c r="D9" s="117">
        <v>0</v>
      </c>
      <c r="E9" s="117">
        <v>0</v>
      </c>
      <c r="F9" s="116">
        <f>AVERAGE(D9,E9)</f>
        <v>0</v>
      </c>
      <c r="G9" s="37">
        <v>0.037</v>
      </c>
      <c r="H9" s="4" t="str">
        <f>IF(ISNUMBER(G9),IF(G9&gt;F9,"Beat",IF(G9&lt;F9,"Miss","In line")),"n.a.")</f>
        <v>Beat</v>
      </c>
      <c r="I9" s="4" t="s">
        <v>508</v>
      </c>
    </row>
    <row r="10">
      <c r="A10" s="55">
        <v>45755</v>
      </c>
      <c r="B10" s="109" t="s">
        <v>506</v>
      </c>
      <c r="C10" s="4" t="s">
        <v>509</v>
      </c>
      <c r="D10" s="37">
        <v>0.01</v>
      </c>
      <c r="E10" s="37">
        <v>0.03</v>
      </c>
      <c r="F10" s="3">
        <f>AVERAGE(D10,E10)</f>
        <v>0.02</v>
      </c>
      <c r="G10" s="37">
        <v>0.101</v>
      </c>
      <c r="H10" s="4" t="str">
        <f>IF(ISNUMBER(G10),IF(G10&gt;F10,"Beat",IF(G10&lt;F10,"Miss","In line")),"n.a.")</f>
        <v>Beat</v>
      </c>
      <c r="I10" s="4" t="s">
        <v>510</v>
      </c>
    </row>
    <row r="11">
      <c r="A11" s="55">
        <v>45862</v>
      </c>
      <c r="B11" s="109" t="s">
        <v>511</v>
      </c>
      <c r="C11" s="4" t="s">
        <v>512</v>
      </c>
      <c r="D11" s="37">
        <v>0.01</v>
      </c>
      <c r="E11" s="37">
        <v>0.06</v>
      </c>
      <c r="F11" s="3">
        <f>AVERAGE(D11,E11)</f>
        <v>0.034999999999999996</v>
      </c>
      <c r="G11" s="48">
        <f>'Income Statement'!B10</f>
        <v>0.07362597007602134</v>
      </c>
      <c r="H11" s="4" t="str">
        <f>IF(ISNUMBER(G11),IF(G11&gt;F11,"Beat",IF(G11&lt;F11,"Miss","In line")),"n.a.")</f>
        <v>Beat</v>
      </c>
      <c r="I11" s="4" t="s">
        <v>513</v>
      </c>
    </row>
    <row r="12">
      <c r="A12" s="55">
        <v>45862</v>
      </c>
      <c r="B12" s="109" t="s">
        <v>511</v>
      </c>
      <c r="C12" s="4" t="s">
        <v>514</v>
      </c>
      <c r="D12" s="37">
        <v>0.01</v>
      </c>
      <c r="E12" s="37">
        <v>0.06</v>
      </c>
      <c r="F12" s="3">
        <f>AVERAGE(D12,E12)</f>
        <v>0.034999999999999996</v>
      </c>
      <c r="G12" s="48">
        <f>'Income Statement'!B89</f>
        <v>0.028780966187694323</v>
      </c>
      <c r="H12" s="4" t="str">
        <f>IF(ISNUMBER(G12),IF(G12&gt;F12,"Beat",IF(G12&lt;F12,"Miss","In line")),"n.a.")</f>
        <v>Miss</v>
      </c>
      <c r="I12" s="4" t="s">
        <v>513</v>
      </c>
    </row>
    <row r="13">
      <c r="A13" s="55">
        <v>45931</v>
      </c>
      <c r="B13" s="109" t="s">
        <v>515</v>
      </c>
      <c r="C13" s="4" t="s">
        <v>516</v>
      </c>
      <c r="D13" s="37">
        <v>0.04</v>
      </c>
      <c r="E13" s="37">
        <v>0.06</v>
      </c>
      <c r="F13" s="3">
        <f>AVERAGE(D13,E13)</f>
        <v>0.05</v>
      </c>
      <c r="G13" s="48">
        <f>'Income Statement'!C10</f>
        <v>0.03499505234328182</v>
      </c>
      <c r="H13" s="4" t="str">
        <f>IF(ISNUMBER(G13),IF(G13&gt;F13,"Beat",IF(G13&lt;F13,"Miss","In line")),"n.a.")</f>
        <v>Miss</v>
      </c>
      <c r="I13" s="4" t="s">
        <v>517</v>
      </c>
    </row>
    <row r="14">
      <c r="A14" s="55">
        <v>45931</v>
      </c>
      <c r="B14" s="109" t="s">
        <v>515</v>
      </c>
      <c r="C14" s="4" t="s">
        <v>518</v>
      </c>
      <c r="D14" s="37">
        <v>0.04</v>
      </c>
      <c r="E14" s="37">
        <v>0.06</v>
      </c>
      <c r="F14" s="3">
        <f>AVERAGE(D14,E14)</f>
        <v>0.05</v>
      </c>
      <c r="G14" s="48">
        <f>'Income Statement'!C89</f>
        <v>-0.11151186313098849</v>
      </c>
      <c r="H14" s="4" t="str">
        <f>IF(ISNUMBER(G14),IF(G14&gt;F14,"Beat",IF(G14&lt;F14,"Miss","In line")),"n.a.")</f>
        <v>Miss</v>
      </c>
      <c r="I14" s="4" t="s">
        <v>517</v>
      </c>
    </row>
    <row r="15">
      <c r="A15" s="55">
        <v>46030</v>
      </c>
      <c r="B15" s="109" t="s">
        <v>519</v>
      </c>
      <c r="C15" s="4" t="s">
        <v>516</v>
      </c>
      <c r="D15" s="37">
        <v>0.04</v>
      </c>
      <c r="E15" s="37">
        <v>0.06</v>
      </c>
      <c r="F15" s="3">
        <f>AVERAGE(D15,E15)</f>
        <v>0.05</v>
      </c>
      <c r="G15" s="48">
        <f>'Income Statement'!D10</f>
        <v>0.08898170208904199</v>
      </c>
      <c r="H15" s="4" t="str">
        <f>IF(ISNUMBER(G15),IF(G15&gt;F15,"Beat",IF(G15&lt;F15,"Miss","In line")),"n.a.")</f>
        <v>Beat</v>
      </c>
      <c r="I15" s="4" t="s">
        <v>520</v>
      </c>
    </row>
    <row r="16">
      <c r="A16" s="55">
        <v>46030</v>
      </c>
      <c r="B16" s="109" t="s">
        <v>519</v>
      </c>
      <c r="C16" s="4" t="s">
        <v>521</v>
      </c>
      <c r="D16" s="37">
        <v>0.04</v>
      </c>
      <c r="E16" s="37">
        <v>0.09</v>
      </c>
      <c r="F16" s="3">
        <f>AVERAGE(D16,E16)</f>
        <v>0.065</v>
      </c>
      <c r="G16" s="48">
        <f>'Income Statement'!D89</f>
        <v>0.4878061250575185</v>
      </c>
      <c r="H16" s="4" t="str">
        <f>IF(ISNUMBER(G16),IF(G16&gt;F16,"Beat",IF(G16&lt;F16,"Miss","In line")),"n.a.")</f>
        <v>Beat</v>
      </c>
      <c r="I16" s="4" t="s">
        <v>520</v>
      </c>
    </row>
    <row r="17">
      <c r="A17" s="55">
        <v>46120</v>
      </c>
      <c r="B17" s="109" t="s">
        <v>522</v>
      </c>
      <c r="C17" s="4" t="s">
        <v>523</v>
      </c>
      <c r="D17" s="37">
        <v>0.04</v>
      </c>
      <c r="E17" s="37">
        <v>0.06</v>
      </c>
      <c r="F17" s="3">
        <f>AVERAGE(D17,E17)</f>
        <v>0.05</v>
      </c>
      <c r="G17" s="48">
        <f>'Income Statement'!E10</f>
        <v>0.07197973078447162</v>
      </c>
      <c r="H17" s="4" t="str">
        <f>IF(ISNUMBER(G17),IF(G17&gt;F17,"Beat",IF(G17&lt;F17,"Miss","In line")),"n.a.")</f>
        <v>Beat</v>
      </c>
      <c r="I17" s="4" t="s">
        <v>524</v>
      </c>
    </row>
    <row r="18">
      <c r="A18" s="55">
        <v>46120</v>
      </c>
      <c r="B18" s="109" t="s">
        <v>522</v>
      </c>
      <c r="C18" s="4" t="s">
        <v>525</v>
      </c>
      <c r="D18" s="37">
        <v>0.01</v>
      </c>
      <c r="E18" s="37">
        <v>0.09</v>
      </c>
      <c r="F18" s="3">
        <f>AVERAGE(D18,E18)</f>
        <v>0.049999999999999996</v>
      </c>
      <c r="G18" s="48">
        <f>'Income Statement'!E89</f>
        <v>0.07705080206249204</v>
      </c>
      <c r="H18" s="4" t="str">
        <f>IF(ISNUMBER(G18),IF(G18&gt;F18,"Beat",IF(G18&lt;F18,"Miss","In line")),"n.a.")</f>
        <v>Beat</v>
      </c>
      <c r="I18" s="4" t="s">
        <v>524</v>
      </c>
    </row>
    <row r="19" ht="22.5">
      <c r="A19" s="55">
        <v>45931</v>
      </c>
      <c r="B19" s="109" t="s">
        <v>526</v>
      </c>
      <c r="C19" s="118" t="s">
        <v>527</v>
      </c>
      <c r="D19" s="37">
        <v>0.01</v>
      </c>
      <c r="E19" s="37">
        <v>0.06</v>
      </c>
      <c r="F19" s="3">
        <f>AVERAGE(D19,E19)</f>
        <v>0.034999999999999996</v>
      </c>
      <c r="G19" s="48">
        <f>'Income Statement'!F10</f>
        <v>0.06656743496634299</v>
      </c>
      <c r="H19" s="4" t="str">
        <f>IF(ISNUMBER(G19),IF(G19&gt;F19,"Beat",IF(G19&lt;F19,"Miss","In line")),"n.a.")</f>
        <v>Beat</v>
      </c>
      <c r="I19" s="4" t="s">
        <v>517</v>
      </c>
    </row>
    <row r="20" ht="22.5">
      <c r="A20" s="55">
        <v>45931</v>
      </c>
      <c r="B20" s="109" t="s">
        <v>526</v>
      </c>
      <c r="C20" s="118" t="s">
        <v>528</v>
      </c>
      <c r="D20" s="37">
        <v>0.07</v>
      </c>
      <c r="E20" s="37">
        <v>0.12</v>
      </c>
      <c r="F20" s="3">
        <f>AVERAGE(D20,E20)</f>
        <v>0.095</v>
      </c>
      <c r="G20" s="48">
        <f>'Income Statement'!F89</f>
        <v>0.044458628875517325</v>
      </c>
      <c r="H20" s="4" t="str">
        <f>IF(ISNUMBER(G20),IF(G20&gt;F20,"Beat",IF(G20&lt;F20,"Miss","In line")),"n.a.")</f>
        <v>Miss</v>
      </c>
      <c r="I20" s="4" t="s">
        <v>517</v>
      </c>
    </row>
    <row r="21">
      <c r="A21" s="55">
        <v>46225</v>
      </c>
      <c r="B21" s="109" t="s">
        <v>529</v>
      </c>
      <c r="C21" s="4" t="s">
        <v>530</v>
      </c>
      <c r="D21" s="37">
        <v>0.04</v>
      </c>
      <c r="E21" s="37">
        <v>0.06</v>
      </c>
      <c r="F21" s="3">
        <f>AVERAGE(D21,E21)</f>
        <v>0.05</v>
      </c>
      <c r="G21" s="37" t="s">
        <v>45</v>
      </c>
      <c r="H21" s="4" t="str">
        <f>IF(ISNUMBER(G21),IF(G21&gt;F21,"Beat",IF(G21&lt;F21,"Miss","In line")),"n.a.")</f>
        <v>n.a.</v>
      </c>
      <c r="I21" s="4" t="s">
        <v>531</v>
      </c>
    </row>
    <row r="22">
      <c r="A22" s="55">
        <v>46225</v>
      </c>
      <c r="B22" s="109" t="s">
        <v>529</v>
      </c>
      <c r="C22" s="4" t="s">
        <v>532</v>
      </c>
      <c r="D22" s="37">
        <v>0.04</v>
      </c>
      <c r="E22" s="37">
        <v>0.06</v>
      </c>
      <c r="F22" s="3">
        <f>AVERAGE(D22,E22)</f>
        <v>0.05</v>
      </c>
      <c r="G22" s="37" t="s">
        <v>45</v>
      </c>
      <c r="H22" s="4" t="str">
        <f>IF(ISNUMBER(G22),IF(G22&gt;F22,"Beat",IF(G22&lt;F22,"Miss","In line")),"n.a.")</f>
        <v>n.a.</v>
      </c>
      <c r="I22" s="4" t="s">
        <v>533</v>
      </c>
    </row>
    <row r="23">
      <c r="A23" s="55">
        <v>46225</v>
      </c>
      <c r="B23" s="109" t="s">
        <v>529</v>
      </c>
      <c r="C23" s="4" t="s">
        <v>534</v>
      </c>
      <c r="D23" s="37">
        <v>0.04</v>
      </c>
      <c r="E23" s="37">
        <v>0.06</v>
      </c>
      <c r="F23" s="3">
        <f>AVERAGE(D23,E23)</f>
        <v>0.05</v>
      </c>
      <c r="G23" s="37" t="s">
        <v>45</v>
      </c>
      <c r="H23" s="4" t="str">
        <f>IF(ISNUMBER(G23),IF(G23&gt;F23,"Beat",IF(G23&lt;F23,"Miss","In line")),"n.a.")</f>
        <v>n.a.</v>
      </c>
      <c r="I23" s="4" t="s">
        <v>533</v>
      </c>
    </row>
    <row r="24">
      <c r="A24" s="55">
        <v>46225</v>
      </c>
      <c r="B24" s="109" t="s">
        <v>529</v>
      </c>
      <c r="C24" s="4" t="s">
        <v>535</v>
      </c>
      <c r="D24" s="37">
        <v>0.04</v>
      </c>
      <c r="E24" s="37">
        <v>0.06</v>
      </c>
      <c r="F24" s="3">
        <f>AVERAGE(D24,E24)</f>
        <v>0.05</v>
      </c>
      <c r="G24" s="37" t="s">
        <v>45</v>
      </c>
      <c r="H24" s="4" t="str">
        <f>IF(ISNUMBER(G24),IF(G24&gt;F24,"Beat",IF(G24&lt;F24,"Miss","In line")),"n.a.")</f>
        <v>n.a.</v>
      </c>
      <c r="I24" s="4" t="s">
        <v>533</v>
      </c>
    </row>
    <row r="25">
      <c r="A25" s="55">
        <v>46225</v>
      </c>
      <c r="B25" s="109" t="s">
        <v>529</v>
      </c>
      <c r="C25" s="4" t="s">
        <v>536</v>
      </c>
      <c r="D25" s="37">
        <v>0.04</v>
      </c>
      <c r="E25" s="37">
        <v>0.06</v>
      </c>
      <c r="F25" s="3">
        <f>AVERAGE(D25,E25)</f>
        <v>0.05</v>
      </c>
      <c r="G25" s="37" t="s">
        <v>45</v>
      </c>
      <c r="H25" s="4" t="str">
        <f>IF(ISNUMBER(G25),IF(G25&gt;F25,"Beat",IF(G25&lt;F25,"Miss","In line")),"n.a.")</f>
        <v>n.a.</v>
      </c>
      <c r="I25" s="4" t="s">
        <v>531</v>
      </c>
    </row>
    <row r="26">
      <c r="A26" s="55">
        <v>46225</v>
      </c>
      <c r="B26" s="109" t="s">
        <v>529</v>
      </c>
      <c r="C26" s="4" t="s">
        <v>537</v>
      </c>
      <c r="D26" s="37">
        <v>0.05</v>
      </c>
      <c r="E26" s="37">
        <v>0.06</v>
      </c>
      <c r="F26" s="3">
        <f>AVERAGE(D26,E26)</f>
        <v>0.055</v>
      </c>
      <c r="G26" s="37" t="s">
        <v>45</v>
      </c>
      <c r="H26" s="4" t="str">
        <f>IF(ISNUMBER(G26),IF(G26&gt;F26,"Beat",IF(G26&lt;F26,"Miss","In line")),"n.a.")</f>
        <v>n.a.</v>
      </c>
      <c r="I26" s="4" t="s">
        <v>538</v>
      </c>
    </row>
    <row r="27">
      <c r="A27" s="55">
        <v>46225</v>
      </c>
      <c r="B27" s="109" t="s">
        <v>529</v>
      </c>
      <c r="C27" s="4" t="s">
        <v>539</v>
      </c>
      <c r="D27" s="17">
        <v>25</v>
      </c>
      <c r="E27" s="17">
        <v>25</v>
      </c>
      <c r="F27" s="13">
        <f>AVERAGE(D27,E27)</f>
        <v>25</v>
      </c>
      <c r="G27" s="37" t="s">
        <v>45</v>
      </c>
      <c r="H27" s="4" t="str">
        <f>IF(ISNUMBER(G27),IF(G27&gt;F27,"Beat",IF(G27&lt;F27,"Miss","In line")),"n.a.")</f>
        <v>n.a.</v>
      </c>
      <c r="I27" s="4" t="s">
        <v>540</v>
      </c>
    </row>
    <row r="28">
      <c r="A28" s="55">
        <v>46225</v>
      </c>
      <c r="B28" s="109" t="s">
        <v>541</v>
      </c>
      <c r="C28" s="4" t="s">
        <v>542</v>
      </c>
      <c r="D28" s="37">
        <v>0.03</v>
      </c>
      <c r="E28" s="37">
        <v>0.07</v>
      </c>
      <c r="F28" s="3">
        <f>AVERAGE(D28,E28)</f>
        <v>0.05</v>
      </c>
      <c r="G28" s="37" t="s">
        <v>45</v>
      </c>
      <c r="H28" s="4" t="str">
        <f>IF(ISNUMBER(G28),IF(G28&gt;F28,"Beat",IF(G28&lt;F28,"Miss","In line")),"n.a.")</f>
        <v>n.a.</v>
      </c>
      <c r="I28" s="4" t="s">
        <v>533</v>
      </c>
    </row>
    <row r="29">
      <c r="A29" s="55">
        <v>46225</v>
      </c>
      <c r="B29" s="109" t="s">
        <v>541</v>
      </c>
      <c r="C29" s="4" t="s">
        <v>543</v>
      </c>
      <c r="D29" s="37">
        <v>0.05</v>
      </c>
      <c r="E29" s="37">
        <v>0.1</v>
      </c>
      <c r="F29" s="3">
        <f>AVERAGE(D29,E29)</f>
        <v>0.07500000000000001</v>
      </c>
      <c r="G29" s="37" t="s">
        <v>45</v>
      </c>
      <c r="H29" s="4" t="str">
        <f>IF(ISNUMBER(G29),IF(G29&gt;F29,"Beat",IF(G29&lt;F29,"Miss","In line")),"n.a.")</f>
        <v>n.a.</v>
      </c>
      <c r="I29" s="4" t="s">
        <v>533</v>
      </c>
    </row>
    <row r="30">
      <c r="A30" s="55">
        <v>46225</v>
      </c>
      <c r="B30" s="109" t="s">
        <v>541</v>
      </c>
      <c r="C30" s="4" t="s">
        <v>539</v>
      </c>
      <c r="D30" s="17">
        <v>75</v>
      </c>
      <c r="E30" s="17">
        <v>75</v>
      </c>
      <c r="F30" s="13">
        <f>AVERAGE(D30,E30)</f>
        <v>75</v>
      </c>
      <c r="G30" s="37" t="s">
        <v>45</v>
      </c>
      <c r="H30" s="4" t="str">
        <f>IF(ISNUMBER(G30),IF(G30&gt;F30,"Beat",IF(G30&lt;F30,"Miss","In line")),"n.a.")</f>
        <v>n.a.</v>
      </c>
      <c r="I30" s="4" t="s">
        <v>540</v>
      </c>
    </row>
    <row r="31">
      <c r="A31" s="55">
        <v>46225</v>
      </c>
      <c r="B31" s="109" t="s">
        <v>541</v>
      </c>
      <c r="C31" s="4" t="s">
        <v>544</v>
      </c>
      <c r="D31" s="17">
        <v>220</v>
      </c>
      <c r="E31" s="17">
        <v>240</v>
      </c>
      <c r="F31" s="13">
        <f>AVERAGE(D31,E31)</f>
        <v>230</v>
      </c>
      <c r="G31" s="37" t="s">
        <v>45</v>
      </c>
      <c r="H31" s="4" t="str">
        <f>IF(ISNUMBER(G31),IF(G31&gt;F31,"Beat",IF(G31&lt;F31,"Miss","In line")),"n.a.")</f>
        <v>n.a.</v>
      </c>
      <c r="I31" s="4" t="s">
        <v>540</v>
      </c>
    </row>
    <row r="32">
      <c r="A32" s="4"/>
      <c r="B32" s="4"/>
      <c r="C32" s="4"/>
      <c r="D32" s="4"/>
      <c r="E32" s="4"/>
      <c r="F32" s="4"/>
      <c r="G32" s="4"/>
      <c r="H32" s="4"/>
      <c r="I32" s="4"/>
    </row>
    <row r="33">
      <c r="A33" s="5" t="s">
        <v>545</v>
      </c>
      <c r="B33" s="5"/>
      <c r="C33" s="5"/>
      <c r="D33" s="5"/>
      <c r="E33" s="5"/>
      <c r="F33" s="5"/>
      <c r="G33" s="5"/>
      <c r="H33" s="5"/>
      <c r="I33" s="5"/>
    </row>
    <row r="34">
      <c r="A34" s="4"/>
      <c r="B34" s="4"/>
      <c r="C34" s="4"/>
      <c r="D34" s="4"/>
      <c r="E34" s="4"/>
      <c r="F34" s="4"/>
      <c r="G34" s="4"/>
      <c r="H34" s="4"/>
      <c r="I34" s="4"/>
    </row>
    <row r="35">
      <c r="A35" s="25" t="s">
        <v>546</v>
      </c>
      <c r="B35" s="18"/>
      <c r="C35" s="18"/>
      <c r="D35" s="18" t="s">
        <v>547</v>
      </c>
      <c r="E35" s="18"/>
      <c r="F35" s="18"/>
      <c r="G35" s="18"/>
      <c r="H35" s="18"/>
      <c r="I35" s="107" t="s">
        <v>548</v>
      </c>
    </row>
    <row r="36">
      <c r="A36" s="4" t="s">
        <v>549</v>
      </c>
      <c r="B36" s="4"/>
      <c r="C36" s="4"/>
      <c r="D36" s="3">
        <f>F21</f>
        <v>0.05</v>
      </c>
      <c r="E36" s="4"/>
      <c r="F36" s="4"/>
      <c r="G36" s="4"/>
      <c r="H36" s="4"/>
      <c r="I36" s="4" t="s">
        <v>550</v>
      </c>
    </row>
    <row r="37">
      <c r="A37" s="4" t="s">
        <v>551</v>
      </c>
      <c r="B37" s="4"/>
      <c r="C37" s="4"/>
      <c r="D37" s="9">
        <f>'Income Statement'!B9*(1+D36)</f>
        <v>2219.43015</v>
      </c>
      <c r="E37" s="4"/>
      <c r="F37" s="4"/>
      <c r="G37" s="4"/>
      <c r="H37" s="4"/>
      <c r="I37" s="4" t="s">
        <v>552</v>
      </c>
    </row>
    <row r="38">
      <c r="A38" s="4" t="s">
        <v>553</v>
      </c>
      <c r="B38" s="4"/>
      <c r="C38" s="4"/>
      <c r="D38" s="9">
        <f>Inputs!B116</f>
        <v>2198.29</v>
      </c>
      <c r="E38" s="9">
        <f>Inputs!B117</f>
        <v>2240.57</v>
      </c>
      <c r="F38" s="4"/>
      <c r="G38" s="4"/>
      <c r="H38" s="4"/>
      <c r="I38" s="4" t="s">
        <v>554</v>
      </c>
    </row>
    <row r="39">
      <c r="A39" s="4" t="s">
        <v>555</v>
      </c>
      <c r="B39" s="4"/>
      <c r="C39" s="4"/>
      <c r="D39" s="3">
        <f>F25</f>
        <v>0.05</v>
      </c>
      <c r="E39" s="4"/>
      <c r="F39" s="4"/>
      <c r="G39" s="4"/>
      <c r="H39" s="4"/>
      <c r="I39" s="4" t="s">
        <v>550</v>
      </c>
    </row>
    <row r="40">
      <c r="A40" s="4" t="s">
        <v>556</v>
      </c>
      <c r="B40" s="4"/>
      <c r="C40" s="4"/>
      <c r="D40" s="9">
        <f>'Income Statement'!B95*(1+D39)</f>
        <v>408.71879999999993</v>
      </c>
      <c r="E40" s="4"/>
      <c r="F40" s="4"/>
      <c r="G40" s="4"/>
      <c r="H40" s="4"/>
      <c r="I40" s="4" t="s">
        <v>552</v>
      </c>
    </row>
    <row r="41">
      <c r="A41" s="4" t="s">
        <v>557</v>
      </c>
      <c r="B41" s="4"/>
      <c r="C41" s="4"/>
      <c r="D41" s="9">
        <f>D40-'Income Statement'!G94</f>
        <v>351.71879999999993</v>
      </c>
      <c r="E41" s="4"/>
      <c r="F41" s="4"/>
      <c r="G41" s="4"/>
      <c r="H41" s="4"/>
      <c r="I41" s="4" t="s">
        <v>558</v>
      </c>
    </row>
    <row r="42">
      <c r="A42" s="4" t="s">
        <v>559</v>
      </c>
      <c r="B42" s="4"/>
      <c r="C42" s="4"/>
      <c r="D42" s="9">
        <f>D41-'Income Statement'!G158+'Income Statement'!G159</f>
        <v>331.21879999999993</v>
      </c>
      <c r="E42" s="4"/>
      <c r="F42" s="4"/>
      <c r="G42" s="4"/>
      <c r="H42" s="4"/>
      <c r="I42" s="4" t="s">
        <v>560</v>
      </c>
    </row>
    <row r="43">
      <c r="A43" s="4" t="s">
        <v>561</v>
      </c>
      <c r="B43" s="4"/>
      <c r="C43" s="4"/>
      <c r="D43" s="9">
        <f>D42*(1-'Income Statement'!G161)-'Income Statement'!G162</f>
        <v>252.08872559999995</v>
      </c>
      <c r="E43" s="4"/>
      <c r="F43" s="4"/>
      <c r="G43" s="4"/>
      <c r="H43" s="4"/>
      <c r="I43" s="4" t="s">
        <v>562</v>
      </c>
    </row>
    <row r="44">
      <c r="A44" s="4" t="s">
        <v>563</v>
      </c>
      <c r="B44" s="4"/>
      <c r="C44" s="4"/>
      <c r="D44" s="32">
        <f>D43*(1-'Income Statement'!G163)/'Income Statement'!G70</f>
        <v>1.980136968003287</v>
      </c>
      <c r="E44" s="4"/>
      <c r="F44" s="4"/>
      <c r="G44" s="4"/>
      <c r="H44" s="4"/>
      <c r="I44" s="4" t="s">
        <v>564</v>
      </c>
    </row>
    <row r="45">
      <c r="A45" s="4" t="s">
        <v>565</v>
      </c>
      <c r="B45" s="4"/>
      <c r="C45" s="4"/>
      <c r="D45" s="32">
        <f>D44-Inputs!B106</f>
        <v>0.030136968003287024</v>
      </c>
      <c r="E45" s="4"/>
      <c r="F45" s="4"/>
      <c r="G45" s="4"/>
      <c r="H45" s="4"/>
      <c r="I45" s="4" t="s">
        <v>566</v>
      </c>
    </row>
    <row r="46">
      <c r="A46" s="4" t="s">
        <v>567</v>
      </c>
      <c r="B46" s="4"/>
      <c r="C46" s="4"/>
      <c r="D46" s="53">
        <f>(H10="Beat")+(H12="Beat")+(H14="Beat")+(H16="Beat")+(H18="Beat")</f>
        <v>3</v>
      </c>
      <c r="E46" s="4"/>
      <c r="F46" s="4"/>
      <c r="G46" s="4"/>
      <c r="H46" s="4"/>
      <c r="I46" s="4" t="s">
        <v>568</v>
      </c>
    </row>
    <row r="47">
      <c r="A47" s="4"/>
      <c r="B47" s="4"/>
      <c r="C47" s="4"/>
      <c r="D47" s="4"/>
      <c r="E47" s="4"/>
      <c r="F47" s="4"/>
      <c r="G47" s="4"/>
      <c r="H47" s="4"/>
      <c r="I47" s="4"/>
    </row>
    <row r="48">
      <c r="A48" s="4"/>
      <c r="B48" s="4"/>
      <c r="C48" s="4"/>
      <c r="D48" s="4"/>
      <c r="E48" s="4"/>
      <c r="F48" s="4"/>
      <c r="G48" s="4"/>
      <c r="H48" s="4"/>
      <c r="I48" s="4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F42"/>
  <sheetViews>
    <sheetView showGridLines="0" workbookViewId="0"/>
  </sheetViews>
  <sheetFormatPr defaultColWidth="8.42578125" defaultRowHeight="15"/>
  <cols>
    <col min="1" max="1" width="14" customWidth="1"/>
    <col min="2" max="2" width="12" customWidth="1"/>
    <col min="3" max="3" width="22" customWidth="1"/>
    <col min="4" max="4" width="32" customWidth="1"/>
    <col min="5" max="5" width="60" customWidth="1"/>
    <col min="6" max="6" width="55" customWidth="1"/>
  </cols>
  <sheetData>
    <row r="1">
      <c r="A1" s="49" t="s">
        <v>0</v>
      </c>
      <c r="B1" s="4"/>
      <c r="C1" s="4"/>
      <c r="D1" s="4"/>
      <c r="E1" s="4"/>
      <c r="F1" s="4"/>
    </row>
    <row r="2">
      <c r="A2" s="7" t="s">
        <v>569</v>
      </c>
      <c r="B2" s="4"/>
      <c r="C2" s="4"/>
      <c r="D2" s="4"/>
      <c r="E2" s="4"/>
      <c r="F2" s="4"/>
    </row>
    <row r="3">
      <c r="A3" s="5" t="s">
        <v>2</v>
      </c>
      <c r="B3" s="4"/>
      <c r="C3" s="4"/>
      <c r="D3" s="4"/>
      <c r="E3" s="4"/>
      <c r="F3" s="4"/>
    </row>
    <row r="4">
      <c r="A4" s="21" t="s">
        <v>3</v>
      </c>
      <c r="B4" s="8" t="s">
        <v>4</v>
      </c>
      <c r="C4" s="21"/>
      <c r="D4" s="21"/>
      <c r="E4" s="21"/>
      <c r="F4" s="21"/>
    </row>
    <row r="5">
      <c r="A5" s="15" t="s">
        <v>5</v>
      </c>
      <c r="B5" s="23">
        <v>46265</v>
      </c>
      <c r="C5" s="15"/>
      <c r="D5" s="15"/>
      <c r="E5" s="15"/>
      <c r="F5" s="15"/>
    </row>
    <row r="6">
      <c r="A6" s="11" t="s">
        <v>6</v>
      </c>
      <c r="B6" s="46">
        <v>92</v>
      </c>
      <c r="C6" s="11"/>
      <c r="D6" s="11"/>
      <c r="E6" s="11"/>
      <c r="F6" s="11"/>
    </row>
    <row r="7">
      <c r="A7" s="4"/>
      <c r="B7" s="4"/>
      <c r="C7" s="4"/>
      <c r="D7" s="4"/>
      <c r="E7" s="4"/>
      <c r="F7" s="4"/>
    </row>
    <row r="8">
      <c r="A8" s="25" t="s">
        <v>570</v>
      </c>
      <c r="B8" s="18" t="s">
        <v>571</v>
      </c>
      <c r="C8" s="18" t="s">
        <v>572</v>
      </c>
      <c r="D8" s="107" t="s">
        <v>573</v>
      </c>
      <c r="E8" s="107" t="s">
        <v>574</v>
      </c>
      <c r="F8" s="107" t="s">
        <v>575</v>
      </c>
    </row>
    <row r="9" ht="26.25">
      <c r="A9" s="14" t="s">
        <v>576</v>
      </c>
      <c r="B9" s="6">
        <v>46299</v>
      </c>
      <c r="C9" s="108" t="s">
        <v>577</v>
      </c>
      <c r="D9" s="14" t="s">
        <v>578</v>
      </c>
      <c r="E9" s="14" t="s">
        <v>579</v>
      </c>
      <c r="F9" s="14" t="s">
        <v>580</v>
      </c>
    </row>
    <row r="10" ht="26.25">
      <c r="A10" s="14" t="s">
        <v>581</v>
      </c>
      <c r="B10" s="6">
        <v>46299</v>
      </c>
      <c r="C10" s="108" t="s">
        <v>577</v>
      </c>
      <c r="D10" s="14" t="s">
        <v>578</v>
      </c>
      <c r="E10" s="14" t="s">
        <v>582</v>
      </c>
      <c r="F10" s="14" t="s">
        <v>583</v>
      </c>
    </row>
    <row r="11" ht="26.25">
      <c r="A11" s="14" t="s">
        <v>517</v>
      </c>
      <c r="B11" s="6">
        <v>45931</v>
      </c>
      <c r="C11" s="108" t="s">
        <v>577</v>
      </c>
      <c r="D11" s="14" t="s">
        <v>584</v>
      </c>
      <c r="E11" s="14" t="s">
        <v>585</v>
      </c>
      <c r="F11" s="14" t="s">
        <v>586</v>
      </c>
    </row>
    <row r="12" ht="26.25">
      <c r="A12" s="14" t="s">
        <v>520</v>
      </c>
      <c r="B12" s="6">
        <v>46030</v>
      </c>
      <c r="C12" s="108" t="s">
        <v>577</v>
      </c>
      <c r="D12" s="14" t="s">
        <v>584</v>
      </c>
      <c r="E12" s="14" t="s">
        <v>587</v>
      </c>
      <c r="F12" s="14" t="s">
        <v>588</v>
      </c>
    </row>
    <row r="13" ht="26.25">
      <c r="A13" s="14" t="s">
        <v>589</v>
      </c>
      <c r="B13" s="6">
        <v>46120</v>
      </c>
      <c r="C13" s="108" t="s">
        <v>577</v>
      </c>
      <c r="D13" s="14" t="s">
        <v>584</v>
      </c>
      <c r="E13" s="14" t="s">
        <v>590</v>
      </c>
      <c r="F13" s="14" t="s">
        <v>591</v>
      </c>
    </row>
    <row r="14" ht="26.25">
      <c r="A14" s="14" t="s">
        <v>533</v>
      </c>
      <c r="B14" s="6">
        <v>46225</v>
      </c>
      <c r="C14" s="108" t="s">
        <v>577</v>
      </c>
      <c r="D14" s="14" t="s">
        <v>584</v>
      </c>
      <c r="E14" s="14" t="s">
        <v>592</v>
      </c>
      <c r="F14" s="14" t="s">
        <v>593</v>
      </c>
    </row>
    <row r="15">
      <c r="A15" s="14" t="s">
        <v>594</v>
      </c>
      <c r="B15" s="6">
        <v>45931</v>
      </c>
      <c r="C15" s="108" t="s">
        <v>577</v>
      </c>
      <c r="D15" s="14" t="s">
        <v>595</v>
      </c>
      <c r="E15" s="14" t="s">
        <v>596</v>
      </c>
      <c r="F15" s="14" t="s">
        <v>597</v>
      </c>
    </row>
    <row r="16" ht="26.25">
      <c r="A16" s="14" t="s">
        <v>598</v>
      </c>
      <c r="B16" s="6">
        <v>46030</v>
      </c>
      <c r="C16" s="108" t="s">
        <v>577</v>
      </c>
      <c r="D16" s="14" t="s">
        <v>599</v>
      </c>
      <c r="E16" s="14" t="s">
        <v>600</v>
      </c>
      <c r="F16" s="14" t="s">
        <v>601</v>
      </c>
    </row>
    <row r="17" ht="26.25">
      <c r="A17" s="14" t="s">
        <v>602</v>
      </c>
      <c r="B17" s="6">
        <v>46120</v>
      </c>
      <c r="C17" s="108" t="s">
        <v>577</v>
      </c>
      <c r="D17" s="14" t="s">
        <v>599</v>
      </c>
      <c r="E17" s="14" t="s">
        <v>603</v>
      </c>
      <c r="F17" s="14" t="s">
        <v>604</v>
      </c>
    </row>
    <row r="18" ht="37.5">
      <c r="A18" s="14" t="s">
        <v>605</v>
      </c>
      <c r="B18" s="6">
        <v>46225</v>
      </c>
      <c r="C18" s="108" t="s">
        <v>577</v>
      </c>
      <c r="D18" s="14" t="s">
        <v>606</v>
      </c>
      <c r="E18" s="14" t="s">
        <v>607</v>
      </c>
      <c r="F18" s="14" t="s">
        <v>608</v>
      </c>
    </row>
    <row r="19" ht="26.25">
      <c r="A19" s="14" t="s">
        <v>540</v>
      </c>
      <c r="B19" s="6">
        <v>46225</v>
      </c>
      <c r="C19" s="108" t="s">
        <v>577</v>
      </c>
      <c r="D19" s="14" t="s">
        <v>609</v>
      </c>
      <c r="E19" s="14" t="s">
        <v>610</v>
      </c>
      <c r="F19" s="14" t="s">
        <v>611</v>
      </c>
    </row>
    <row r="20" ht="26.25">
      <c r="A20" s="14" t="s">
        <v>612</v>
      </c>
      <c r="B20" s="6">
        <v>46225</v>
      </c>
      <c r="C20" s="108" t="s">
        <v>577</v>
      </c>
      <c r="D20" s="14" t="s">
        <v>613</v>
      </c>
      <c r="E20" s="14" t="s">
        <v>614</v>
      </c>
      <c r="F20" s="14" t="s">
        <v>615</v>
      </c>
    </row>
    <row r="21" ht="26.25">
      <c r="A21" s="14" t="s">
        <v>513</v>
      </c>
      <c r="B21" s="6">
        <v>45862</v>
      </c>
      <c r="C21" s="108" t="s">
        <v>577</v>
      </c>
      <c r="D21" s="14" t="s">
        <v>616</v>
      </c>
      <c r="E21" s="14" t="s">
        <v>617</v>
      </c>
      <c r="F21" s="14" t="s">
        <v>618</v>
      </c>
    </row>
    <row r="22" ht="26.25">
      <c r="A22" s="14" t="s">
        <v>619</v>
      </c>
      <c r="B22" s="6">
        <v>45755</v>
      </c>
      <c r="C22" s="108" t="s">
        <v>577</v>
      </c>
      <c r="D22" s="14" t="s">
        <v>620</v>
      </c>
      <c r="E22" s="14" t="s">
        <v>621</v>
      </c>
      <c r="F22" s="14" t="s">
        <v>622</v>
      </c>
    </row>
    <row r="23" ht="26.25">
      <c r="A23" s="14" t="s">
        <v>623</v>
      </c>
      <c r="B23" s="6">
        <v>46296</v>
      </c>
      <c r="C23" s="108" t="s">
        <v>577</v>
      </c>
      <c r="D23" s="14" t="s">
        <v>624</v>
      </c>
      <c r="E23" s="14" t="s">
        <v>625</v>
      </c>
      <c r="F23" s="14" t="s">
        <v>626</v>
      </c>
    </row>
    <row r="24">
      <c r="A24" s="14" t="s">
        <v>627</v>
      </c>
      <c r="B24" s="6">
        <v>46293</v>
      </c>
      <c r="C24" s="108" t="s">
        <v>577</v>
      </c>
      <c r="D24" s="14" t="s">
        <v>628</v>
      </c>
      <c r="E24" s="14" t="s">
        <v>629</v>
      </c>
      <c r="F24" s="14" t="s">
        <v>630</v>
      </c>
    </row>
    <row r="25" ht="26.25">
      <c r="A25" s="14" t="s">
        <v>631</v>
      </c>
      <c r="B25" s="6">
        <v>46278</v>
      </c>
      <c r="C25" s="108" t="s">
        <v>577</v>
      </c>
      <c r="D25" s="14" t="s">
        <v>632</v>
      </c>
      <c r="E25" s="14" t="s">
        <v>633</v>
      </c>
      <c r="F25" s="14" t="s">
        <v>634</v>
      </c>
    </row>
    <row r="26" ht="37.5">
      <c r="A26" s="14" t="s">
        <v>635</v>
      </c>
      <c r="B26" s="6">
        <v>46293</v>
      </c>
      <c r="C26" s="108" t="s">
        <v>577</v>
      </c>
      <c r="D26" s="14" t="s">
        <v>636</v>
      </c>
      <c r="E26" s="14" t="s">
        <v>637</v>
      </c>
      <c r="F26" s="14" t="s">
        <v>638</v>
      </c>
    </row>
    <row r="27" ht="26.25">
      <c r="A27" s="14" t="s">
        <v>639</v>
      </c>
      <c r="B27" s="6">
        <v>46265</v>
      </c>
      <c r="C27" s="108" t="s">
        <v>577</v>
      </c>
      <c r="D27" s="14" t="s">
        <v>640</v>
      </c>
      <c r="E27" s="14" t="s">
        <v>641</v>
      </c>
      <c r="F27" s="14" t="s">
        <v>642</v>
      </c>
    </row>
    <row r="28" ht="26.25">
      <c r="A28" s="14" t="s">
        <v>643</v>
      </c>
      <c r="B28" s="6">
        <v>46299</v>
      </c>
      <c r="C28" s="108" t="s">
        <v>577</v>
      </c>
      <c r="D28" s="14" t="s">
        <v>644</v>
      </c>
      <c r="E28" s="14" t="s">
        <v>645</v>
      </c>
      <c r="F28" s="14" t="s">
        <v>646</v>
      </c>
    </row>
    <row r="29">
      <c r="A29" s="14" t="s">
        <v>647</v>
      </c>
      <c r="B29" s="6">
        <v>46296</v>
      </c>
      <c r="C29" s="108" t="s">
        <v>577</v>
      </c>
      <c r="D29" s="14" t="s">
        <v>648</v>
      </c>
      <c r="E29" s="14" t="s">
        <v>649</v>
      </c>
      <c r="F29" s="14" t="s">
        <v>650</v>
      </c>
    </row>
    <row r="30" ht="26.25">
      <c r="A30" s="14" t="s">
        <v>651</v>
      </c>
      <c r="B30" s="6">
        <v>46252</v>
      </c>
      <c r="C30" s="108" t="s">
        <v>577</v>
      </c>
      <c r="D30" s="14" t="s">
        <v>652</v>
      </c>
      <c r="E30" s="14" t="s">
        <v>653</v>
      </c>
      <c r="F30" s="14" t="s">
        <v>654</v>
      </c>
    </row>
    <row r="31" ht="37.5">
      <c r="A31" s="14" t="s">
        <v>655</v>
      </c>
      <c r="B31" s="6">
        <v>46253</v>
      </c>
      <c r="C31" s="108" t="s">
        <v>577</v>
      </c>
      <c r="D31" s="14" t="s">
        <v>656</v>
      </c>
      <c r="E31" s="14" t="s">
        <v>657</v>
      </c>
      <c r="F31" s="14" t="s">
        <v>658</v>
      </c>
    </row>
    <row r="32">
      <c r="A32" s="14" t="s">
        <v>659</v>
      </c>
      <c r="B32" s="6">
        <v>46098</v>
      </c>
      <c r="C32" s="108" t="s">
        <v>577</v>
      </c>
      <c r="D32" s="14" t="s">
        <v>660</v>
      </c>
      <c r="E32" s="14" t="s">
        <v>661</v>
      </c>
      <c r="F32" s="14" t="s">
        <v>662</v>
      </c>
    </row>
    <row r="33" ht="26.25">
      <c r="A33" s="14" t="s">
        <v>663</v>
      </c>
      <c r="B33" s="6">
        <v>46113</v>
      </c>
      <c r="C33" s="108" t="s">
        <v>577</v>
      </c>
      <c r="D33" s="14" t="s">
        <v>616</v>
      </c>
      <c r="E33" s="14" t="s">
        <v>664</v>
      </c>
      <c r="F33" s="14" t="s">
        <v>665</v>
      </c>
    </row>
    <row r="34" ht="26.25">
      <c r="A34" s="14" t="s">
        <v>666</v>
      </c>
      <c r="B34" s="6">
        <v>46296</v>
      </c>
      <c r="C34" s="108" t="s">
        <v>577</v>
      </c>
      <c r="D34" s="14" t="s">
        <v>667</v>
      </c>
      <c r="E34" s="14" t="s">
        <v>668</v>
      </c>
      <c r="F34" s="14" t="s">
        <v>669</v>
      </c>
    </row>
    <row r="35" ht="26.25">
      <c r="A35" s="14" t="s">
        <v>670</v>
      </c>
      <c r="B35" s="6">
        <v>46283</v>
      </c>
      <c r="C35" s="108" t="s">
        <v>577</v>
      </c>
      <c r="D35" s="14" t="s">
        <v>671</v>
      </c>
      <c r="E35" s="14" t="s">
        <v>672</v>
      </c>
      <c r="F35" s="14" t="s">
        <v>673</v>
      </c>
    </row>
    <row r="36" ht="26.25">
      <c r="A36" s="14" t="s">
        <v>674</v>
      </c>
      <c r="B36" s="6">
        <v>46231</v>
      </c>
      <c r="C36" s="108" t="s">
        <v>577</v>
      </c>
      <c r="D36" s="14" t="s">
        <v>675</v>
      </c>
      <c r="E36" s="14" t="s">
        <v>676</v>
      </c>
      <c r="F36" s="14" t="s">
        <v>677</v>
      </c>
    </row>
    <row r="37" ht="26.25">
      <c r="A37" s="14" t="s">
        <v>678</v>
      </c>
      <c r="B37" s="6">
        <v>46269</v>
      </c>
      <c r="C37" s="108" t="s">
        <v>577</v>
      </c>
      <c r="D37" s="14" t="s">
        <v>616</v>
      </c>
      <c r="E37" s="14" t="s">
        <v>679</v>
      </c>
      <c r="F37" s="14" t="s">
        <v>680</v>
      </c>
    </row>
    <row r="38">
      <c r="A38" s="4"/>
      <c r="B38" s="4"/>
      <c r="C38" s="4"/>
      <c r="D38" s="4"/>
      <c r="E38" s="4"/>
      <c r="F38" s="4"/>
    </row>
    <row r="39">
      <c r="A39" s="5" t="s">
        <v>681</v>
      </c>
      <c r="B39" s="5"/>
      <c r="C39" s="5"/>
      <c r="D39" s="5"/>
      <c r="E39" s="5"/>
      <c r="F39" s="5"/>
    </row>
    <row r="40">
      <c r="A40" s="5" t="s">
        <v>682</v>
      </c>
      <c r="B40" s="5"/>
      <c r="C40" s="5"/>
      <c r="D40" s="5"/>
      <c r="E40" s="5"/>
      <c r="F40" s="5"/>
    </row>
    <row r="41">
      <c r="A41" s="4"/>
      <c r="B41" s="4"/>
      <c r="C41" s="4"/>
      <c r="D41" s="4"/>
      <c r="E41" s="4"/>
      <c r="F41" s="4"/>
    </row>
    <row r="42">
      <c r="A42" s="4"/>
      <c r="B42" s="4"/>
      <c r="C42" s="4"/>
      <c r="D42" s="4"/>
      <c r="E42" s="4"/>
      <c r="F42" s="4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K138"/>
  <sheetViews>
    <sheetView showGridLines="0" workbookViewId="0"/>
  </sheetViews>
  <sheetFormatPr defaultColWidth="8.42578125" defaultRowHeight="15"/>
  <cols>
    <col min="1" max="1" width="32" customWidth="1"/>
    <col min="2" max="2" width="30" customWidth="1"/>
    <col min="3" max="3" width="34" customWidth="1"/>
    <col min="4" max="4" width="36" customWidth="1"/>
    <col min="5" max="6" width="12" customWidth="1"/>
    <col min="7" max="8" width="14" customWidth="1"/>
    <col min="9" max="9" width="4" customWidth="1"/>
    <col min="10" max="11" width="14" customWidth="1"/>
  </cols>
  <sheetData>
    <row r="1">
      <c r="A1" s="4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7" t="s">
        <v>683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>
      <c r="A4" s="21" t="s">
        <v>3</v>
      </c>
      <c r="B4" s="8" t="s">
        <v>4</v>
      </c>
      <c r="C4" s="21"/>
      <c r="D4" s="21"/>
      <c r="E4" s="21"/>
      <c r="F4" s="21"/>
      <c r="G4" s="21"/>
      <c r="H4" s="21"/>
      <c r="I4" s="21"/>
      <c r="J4" s="21"/>
      <c r="K4" s="21"/>
    </row>
    <row r="5">
      <c r="A5" s="15" t="s">
        <v>5</v>
      </c>
      <c r="B5" s="23">
        <v>46265</v>
      </c>
      <c r="C5" s="15"/>
      <c r="D5" s="15"/>
      <c r="E5" s="15"/>
      <c r="F5" s="15"/>
      <c r="G5" s="15"/>
      <c r="H5" s="15"/>
      <c r="I5" s="15"/>
      <c r="J5" s="15"/>
      <c r="K5" s="15"/>
    </row>
    <row r="6">
      <c r="A6" s="11" t="s">
        <v>6</v>
      </c>
      <c r="B6" s="46">
        <v>92</v>
      </c>
      <c r="C6" s="11"/>
      <c r="D6" s="11"/>
      <c r="E6" s="11"/>
      <c r="F6" s="11"/>
      <c r="G6" s="11"/>
      <c r="H6" s="11"/>
      <c r="I6" s="11"/>
      <c r="J6" s="11"/>
      <c r="K6" s="11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>
      <c r="A8" s="25" t="s">
        <v>684</v>
      </c>
      <c r="B8" s="18" t="s">
        <v>547</v>
      </c>
      <c r="C8" s="107" t="s">
        <v>685</v>
      </c>
      <c r="D8" s="107" t="s">
        <v>686</v>
      </c>
      <c r="E8" s="18"/>
      <c r="F8" s="18"/>
      <c r="G8" s="18"/>
      <c r="H8" s="18"/>
      <c r="I8" s="18"/>
      <c r="J8" s="18"/>
      <c r="K8" s="18"/>
    </row>
    <row r="9">
      <c r="A9" s="4" t="s">
        <v>687</v>
      </c>
      <c r="B9" s="80" t="s">
        <v>688</v>
      </c>
      <c r="C9" s="14" t="s">
        <v>689</v>
      </c>
      <c r="D9" s="14"/>
      <c r="E9" s="4"/>
      <c r="F9" s="4"/>
      <c r="G9" s="4"/>
      <c r="H9" s="4"/>
      <c r="I9" s="4"/>
      <c r="J9" s="4"/>
      <c r="K9" s="4"/>
    </row>
    <row r="10">
      <c r="A10" s="4" t="s">
        <v>690</v>
      </c>
      <c r="B10" s="80" t="s">
        <v>691</v>
      </c>
      <c r="C10" s="14" t="s">
        <v>692</v>
      </c>
      <c r="D10" s="14"/>
      <c r="E10" s="4"/>
      <c r="F10" s="4"/>
      <c r="G10" s="4"/>
      <c r="H10" s="4"/>
      <c r="I10" s="4"/>
      <c r="J10" s="4"/>
      <c r="K10" s="4"/>
    </row>
    <row r="11">
      <c r="A11" s="4" t="s">
        <v>693</v>
      </c>
      <c r="B11" s="80" t="s">
        <v>8</v>
      </c>
      <c r="C11" s="14" t="s">
        <v>694</v>
      </c>
      <c r="D11" s="14"/>
      <c r="E11" s="4"/>
      <c r="F11" s="4"/>
      <c r="G11" s="4"/>
      <c r="H11" s="4"/>
      <c r="I11" s="4"/>
      <c r="J11" s="4"/>
      <c r="K11" s="4"/>
    </row>
    <row r="12">
      <c r="A12" s="4" t="s">
        <v>695</v>
      </c>
      <c r="B12" s="80" t="s">
        <v>696</v>
      </c>
      <c r="C12" s="14" t="s">
        <v>697</v>
      </c>
      <c r="D12" s="14"/>
      <c r="E12" s="4"/>
      <c r="F12" s="4"/>
      <c r="G12" s="4"/>
      <c r="H12" s="4"/>
      <c r="I12" s="4"/>
      <c r="J12" s="4"/>
      <c r="K12" s="4"/>
    </row>
    <row r="13">
      <c r="A13" s="4" t="s">
        <v>698</v>
      </c>
      <c r="B13" s="93">
        <v>46265</v>
      </c>
      <c r="C13" s="14" t="s">
        <v>699</v>
      </c>
      <c r="D13" s="14"/>
      <c r="E13" s="4"/>
      <c r="F13" s="4"/>
      <c r="G13" s="4"/>
      <c r="H13" s="4"/>
      <c r="I13" s="4"/>
      <c r="J13" s="4"/>
      <c r="K13" s="4"/>
    </row>
    <row r="14">
      <c r="A14" s="4" t="s">
        <v>700</v>
      </c>
      <c r="B14" s="93">
        <v>46299</v>
      </c>
      <c r="C14" s="14" t="s">
        <v>701</v>
      </c>
      <c r="D14" s="14"/>
      <c r="E14" s="4"/>
      <c r="F14" s="4"/>
      <c r="G14" s="4"/>
      <c r="H14" s="4"/>
      <c r="I14" s="4"/>
      <c r="J14" s="4"/>
      <c r="K14" s="4"/>
    </row>
    <row r="15">
      <c r="A15" s="4" t="s">
        <v>702</v>
      </c>
      <c r="B15" s="96">
        <v>15</v>
      </c>
      <c r="C15" s="14" t="s">
        <v>703</v>
      </c>
      <c r="D15" s="14" t="s">
        <v>704</v>
      </c>
      <c r="E15" s="4"/>
      <c r="F15" s="4"/>
      <c r="G15" s="4"/>
      <c r="H15" s="4"/>
      <c r="I15" s="4"/>
      <c r="J15" s="4"/>
      <c r="K15" s="4"/>
    </row>
    <row r="16">
      <c r="A16" s="4" t="s">
        <v>705</v>
      </c>
      <c r="B16" s="77">
        <v>1.95</v>
      </c>
      <c r="C16" s="14" t="s">
        <v>706</v>
      </c>
      <c r="D16" s="14" t="s">
        <v>707</v>
      </c>
      <c r="E16" s="4"/>
      <c r="F16" s="4"/>
      <c r="G16" s="4"/>
      <c r="H16" s="4"/>
      <c r="I16" s="4"/>
      <c r="J16" s="4"/>
      <c r="K16" s="4"/>
    </row>
    <row r="17" ht="38.25">
      <c r="A17" s="119" t="s">
        <v>708</v>
      </c>
      <c r="B17" s="80" t="s">
        <v>709</v>
      </c>
      <c r="C17" s="14" t="s">
        <v>710</v>
      </c>
      <c r="D17" s="14"/>
      <c r="E17" s="4"/>
      <c r="F17" s="4"/>
      <c r="G17" s="4"/>
      <c r="H17" s="4"/>
      <c r="I17" s="4"/>
      <c r="J17" s="4"/>
      <c r="K17" s="4"/>
    </row>
    <row r="18">
      <c r="A18" s="4" t="s">
        <v>711</v>
      </c>
      <c r="B18" s="79">
        <v>2222.57</v>
      </c>
      <c r="C18" s="14" t="s">
        <v>712</v>
      </c>
      <c r="D18" s="14" t="s">
        <v>713</v>
      </c>
      <c r="E18" s="4"/>
      <c r="F18" s="4"/>
      <c r="G18" s="4"/>
      <c r="H18" s="4"/>
      <c r="I18" s="4"/>
      <c r="J18" s="4"/>
      <c r="K18" s="4"/>
    </row>
    <row r="19">
      <c r="A19" s="4" t="s">
        <v>714</v>
      </c>
      <c r="B19" s="80" t="s">
        <v>14</v>
      </c>
      <c r="C19" s="14" t="s">
        <v>715</v>
      </c>
      <c r="D19" s="14"/>
      <c r="E19" s="4"/>
      <c r="F19" s="4"/>
      <c r="G19" s="4"/>
      <c r="H19" s="4"/>
      <c r="I19" s="4"/>
      <c r="J19" s="4"/>
      <c r="K19" s="4"/>
    </row>
    <row r="20" ht="38.25">
      <c r="A20" s="119" t="s">
        <v>716</v>
      </c>
      <c r="B20" s="80" t="s">
        <v>717</v>
      </c>
      <c r="C20" s="14" t="s">
        <v>718</v>
      </c>
      <c r="D20" s="14"/>
      <c r="E20" s="4"/>
      <c r="F20" s="4"/>
      <c r="G20" s="4"/>
      <c r="H20" s="4"/>
      <c r="I20" s="4"/>
      <c r="J20" s="4"/>
      <c r="K20" s="4"/>
    </row>
    <row r="21">
      <c r="A21" s="4" t="s">
        <v>719</v>
      </c>
      <c r="B21" s="80" t="s">
        <v>720</v>
      </c>
      <c r="C21" s="14" t="s">
        <v>721</v>
      </c>
      <c r="D21" s="14"/>
      <c r="E21" s="4"/>
      <c r="F21" s="4"/>
      <c r="G21" s="4"/>
      <c r="H21" s="4"/>
      <c r="I21" s="4"/>
      <c r="J21" s="4"/>
      <c r="K21" s="4"/>
    </row>
    <row r="22" ht="27">
      <c r="A22" s="119" t="s">
        <v>722</v>
      </c>
      <c r="B22" s="80" t="s">
        <v>723</v>
      </c>
      <c r="C22" s="14" t="s">
        <v>724</v>
      </c>
      <c r="D22" s="14"/>
      <c r="E22" s="4"/>
      <c r="F22" s="4"/>
      <c r="G22" s="4"/>
      <c r="H22" s="4"/>
      <c r="I22" s="4"/>
      <c r="J22" s="4"/>
      <c r="K22" s="4"/>
    </row>
    <row r="23">
      <c r="A23" s="4"/>
      <c r="B23" s="14"/>
      <c r="C23" s="14"/>
      <c r="D23" s="14"/>
      <c r="E23" s="4"/>
      <c r="F23" s="4"/>
      <c r="G23" s="4"/>
      <c r="H23" s="4"/>
      <c r="I23" s="4"/>
      <c r="J23" s="4"/>
      <c r="K23" s="4"/>
    </row>
    <row r="24">
      <c r="A24" s="25" t="s">
        <v>725</v>
      </c>
      <c r="B24" s="91" t="s">
        <v>547</v>
      </c>
      <c r="C24" s="111" t="s">
        <v>685</v>
      </c>
      <c r="D24" s="111" t="s">
        <v>686</v>
      </c>
      <c r="E24" s="18"/>
      <c r="F24" s="18"/>
      <c r="G24" s="18"/>
      <c r="H24" s="18"/>
      <c r="I24" s="18"/>
      <c r="J24" s="18"/>
      <c r="K24" s="18"/>
    </row>
    <row r="25">
      <c r="A25" s="4" t="s">
        <v>690</v>
      </c>
      <c r="B25" s="80" t="s">
        <v>691</v>
      </c>
      <c r="C25" s="14" t="s">
        <v>692</v>
      </c>
      <c r="D25" s="14"/>
      <c r="E25" s="4"/>
      <c r="F25" s="4"/>
      <c r="G25" s="4"/>
      <c r="H25" s="4"/>
      <c r="I25" s="4"/>
      <c r="J25" s="4"/>
      <c r="K25" s="4"/>
    </row>
    <row r="26">
      <c r="A26" s="4" t="s">
        <v>726</v>
      </c>
      <c r="B26" s="80" t="s">
        <v>8</v>
      </c>
      <c r="C26" s="14" t="s">
        <v>694</v>
      </c>
      <c r="D26" s="14"/>
      <c r="E26" s="4"/>
      <c r="F26" s="4"/>
      <c r="G26" s="4"/>
      <c r="H26" s="4"/>
      <c r="I26" s="4"/>
      <c r="J26" s="4"/>
      <c r="K26" s="4"/>
    </row>
    <row r="27">
      <c r="A27" s="4" t="s">
        <v>727</v>
      </c>
      <c r="B27" s="80" t="s">
        <v>728</v>
      </c>
      <c r="C27" s="14" t="s">
        <v>729</v>
      </c>
      <c r="D27" s="14"/>
      <c r="E27" s="4"/>
      <c r="F27" s="4"/>
      <c r="G27" s="4"/>
      <c r="H27" s="4"/>
      <c r="I27" s="4"/>
      <c r="J27" s="4"/>
      <c r="K27" s="4"/>
    </row>
    <row r="28">
      <c r="A28" s="4" t="s">
        <v>730</v>
      </c>
      <c r="B28" s="100">
        <v>299095</v>
      </c>
      <c r="C28" s="14" t="s">
        <v>731</v>
      </c>
      <c r="D28" s="14"/>
      <c r="E28" s="4"/>
      <c r="F28" s="4"/>
      <c r="G28" s="4"/>
      <c r="H28" s="4"/>
      <c r="I28" s="4"/>
      <c r="J28" s="4"/>
      <c r="K28" s="4"/>
    </row>
    <row r="29" ht="27">
      <c r="A29" s="119" t="s">
        <v>732</v>
      </c>
      <c r="B29" s="80" t="s">
        <v>733</v>
      </c>
      <c r="C29" s="14" t="s">
        <v>734</v>
      </c>
      <c r="D29" s="14" t="s">
        <v>735</v>
      </c>
      <c r="E29" s="4"/>
      <c r="F29" s="4"/>
      <c r="G29" s="4"/>
      <c r="H29" s="4"/>
      <c r="I29" s="4"/>
      <c r="J29" s="4"/>
      <c r="K29" s="4"/>
    </row>
    <row r="30">
      <c r="A30" s="4" t="s">
        <v>736</v>
      </c>
      <c r="B30" s="14"/>
      <c r="C30" s="14" t="s">
        <v>737</v>
      </c>
      <c r="D30" s="14"/>
      <c r="E30" s="4"/>
      <c r="F30" s="4"/>
      <c r="G30" s="4"/>
      <c r="H30" s="4"/>
      <c r="I30" s="4"/>
      <c r="J30" s="4"/>
      <c r="K30" s="4"/>
    </row>
    <row r="31">
      <c r="A31" s="4" t="s">
        <v>738</v>
      </c>
      <c r="B31" s="80" t="s">
        <v>739</v>
      </c>
      <c r="C31" s="14" t="s">
        <v>740</v>
      </c>
      <c r="D31" s="14"/>
      <c r="E31" s="4"/>
      <c r="F31" s="4"/>
      <c r="G31" s="4"/>
      <c r="H31" s="4"/>
      <c r="I31" s="4"/>
      <c r="J31" s="4"/>
      <c r="K31" s="4"/>
    </row>
    <row r="32">
      <c r="A32" s="4" t="s">
        <v>741</v>
      </c>
      <c r="B32" s="93">
        <v>46265</v>
      </c>
      <c r="C32" s="14" t="s">
        <v>699</v>
      </c>
      <c r="D32" s="14"/>
      <c r="E32" s="4"/>
      <c r="F32" s="4"/>
      <c r="G32" s="4"/>
      <c r="H32" s="4"/>
      <c r="I32" s="4"/>
      <c r="J32" s="4"/>
      <c r="K32" s="4"/>
    </row>
    <row r="33">
      <c r="A33" s="4" t="s">
        <v>742</v>
      </c>
      <c r="B33" s="93">
        <v>46301</v>
      </c>
      <c r="C33" s="14" t="s">
        <v>743</v>
      </c>
      <c r="D33" s="14"/>
      <c r="E33" s="4"/>
      <c r="F33" s="4"/>
      <c r="G33" s="4"/>
      <c r="H33" s="4"/>
      <c r="I33" s="4"/>
      <c r="J33" s="4"/>
      <c r="K33" s="4"/>
    </row>
    <row r="34">
      <c r="A34" s="4" t="s">
        <v>744</v>
      </c>
      <c r="B34" s="80" t="s">
        <v>745</v>
      </c>
      <c r="C34" s="14" t="s">
        <v>746</v>
      </c>
      <c r="D34" s="14"/>
      <c r="E34" s="4"/>
      <c r="F34" s="4"/>
      <c r="G34" s="4"/>
      <c r="H34" s="4"/>
      <c r="I34" s="4"/>
      <c r="J34" s="4"/>
      <c r="K34" s="4"/>
    </row>
    <row r="35">
      <c r="A35" s="4" t="s">
        <v>747</v>
      </c>
      <c r="B35" s="96">
        <v>15</v>
      </c>
      <c r="C35" s="14" t="s">
        <v>748</v>
      </c>
      <c r="D35" s="14"/>
      <c r="E35" s="4"/>
      <c r="F35" s="4"/>
      <c r="G35" s="4"/>
      <c r="H35" s="4"/>
      <c r="I35" s="4"/>
      <c r="J35" s="4"/>
      <c r="K35" s="4"/>
    </row>
    <row r="36">
      <c r="A36" s="4" t="s">
        <v>749</v>
      </c>
      <c r="B36" s="77">
        <v>1.95</v>
      </c>
      <c r="C36" s="14" t="s">
        <v>750</v>
      </c>
      <c r="D36" s="14" t="s">
        <v>751</v>
      </c>
      <c r="E36" s="4"/>
      <c r="F36" s="4"/>
      <c r="G36" s="4"/>
      <c r="H36" s="4"/>
      <c r="I36" s="4"/>
      <c r="J36" s="4"/>
      <c r="K36" s="4"/>
    </row>
    <row r="37">
      <c r="A37" s="4" t="s">
        <v>752</v>
      </c>
      <c r="B37" s="77">
        <v>1.95</v>
      </c>
      <c r="C37" s="14" t="s">
        <v>750</v>
      </c>
      <c r="D37" s="14"/>
      <c r="E37" s="4"/>
      <c r="F37" s="4"/>
      <c r="G37" s="4"/>
      <c r="H37" s="4"/>
      <c r="I37" s="4"/>
      <c r="J37" s="4"/>
      <c r="K37" s="4"/>
    </row>
    <row r="38">
      <c r="A38" s="4" t="s">
        <v>753</v>
      </c>
      <c r="B38" s="77">
        <v>1.99</v>
      </c>
      <c r="C38" s="14" t="s">
        <v>754</v>
      </c>
      <c r="D38" s="14" t="s">
        <v>755</v>
      </c>
      <c r="E38" s="4"/>
      <c r="F38" s="4"/>
      <c r="G38" s="4"/>
      <c r="H38" s="4"/>
      <c r="I38" s="4"/>
      <c r="J38" s="4"/>
      <c r="K38" s="4"/>
    </row>
    <row r="39">
      <c r="A39" s="4" t="s">
        <v>756</v>
      </c>
      <c r="B39" s="77">
        <v>1.89</v>
      </c>
      <c r="C39" s="14" t="s">
        <v>757</v>
      </c>
      <c r="D39" s="14" t="s">
        <v>755</v>
      </c>
      <c r="E39" s="4"/>
      <c r="F39" s="4"/>
      <c r="G39" s="4"/>
      <c r="H39" s="4"/>
      <c r="I39" s="4"/>
      <c r="J39" s="4"/>
      <c r="K39" s="4"/>
    </row>
    <row r="40">
      <c r="A40" s="4" t="s">
        <v>758</v>
      </c>
      <c r="B40" s="77">
        <v>0.03</v>
      </c>
      <c r="C40" s="14" t="s">
        <v>759</v>
      </c>
      <c r="D40" s="14"/>
      <c r="E40" s="4"/>
      <c r="F40" s="4"/>
      <c r="G40" s="4"/>
      <c r="H40" s="4"/>
      <c r="I40" s="4"/>
      <c r="J40" s="4"/>
      <c r="K40" s="4"/>
    </row>
    <row r="41">
      <c r="A41" s="4" t="s">
        <v>760</v>
      </c>
      <c r="B41" s="96">
        <v>15</v>
      </c>
      <c r="C41" s="14" t="s">
        <v>748</v>
      </c>
      <c r="D41" s="14" t="s">
        <v>761</v>
      </c>
      <c r="E41" s="4"/>
      <c r="F41" s="4"/>
      <c r="G41" s="4"/>
      <c r="H41" s="4"/>
      <c r="I41" s="4"/>
      <c r="J41" s="4"/>
      <c r="K41" s="4"/>
    </row>
    <row r="42">
      <c r="A42" s="4" t="s">
        <v>762</v>
      </c>
      <c r="B42" s="14"/>
      <c r="C42" s="14" t="s">
        <v>737</v>
      </c>
      <c r="D42" s="14"/>
      <c r="E42" s="4"/>
      <c r="F42" s="4"/>
      <c r="G42" s="4"/>
      <c r="H42" s="4"/>
      <c r="I42" s="4"/>
      <c r="J42" s="4"/>
      <c r="K42" s="4"/>
    </row>
    <row r="43">
      <c r="A43" s="4" t="s">
        <v>763</v>
      </c>
      <c r="B43" s="14"/>
      <c r="C43" s="14" t="s">
        <v>737</v>
      </c>
      <c r="D43" s="14"/>
      <c r="E43" s="4"/>
      <c r="F43" s="4"/>
      <c r="G43" s="4"/>
      <c r="H43" s="4"/>
      <c r="I43" s="4"/>
      <c r="J43" s="4"/>
      <c r="K43" s="4"/>
    </row>
    <row r="44">
      <c r="A44" s="4" t="s">
        <v>764</v>
      </c>
      <c r="B44" s="14"/>
      <c r="C44" s="14" t="s">
        <v>737</v>
      </c>
      <c r="D44" s="14"/>
      <c r="E44" s="4"/>
      <c r="F44" s="4"/>
      <c r="G44" s="4"/>
      <c r="H44" s="4"/>
      <c r="I44" s="4"/>
      <c r="J44" s="4"/>
      <c r="K44" s="4"/>
    </row>
    <row r="45">
      <c r="A45" s="4" t="s">
        <v>765</v>
      </c>
      <c r="B45" s="77">
        <v>1.94</v>
      </c>
      <c r="C45" s="14" t="s">
        <v>766</v>
      </c>
      <c r="D45" s="14" t="s">
        <v>767</v>
      </c>
      <c r="E45" s="4"/>
      <c r="F45" s="4"/>
      <c r="G45" s="4"/>
      <c r="H45" s="4"/>
      <c r="I45" s="4"/>
      <c r="J45" s="4"/>
      <c r="K45" s="4"/>
    </row>
    <row r="46">
      <c r="A46" s="4" t="s">
        <v>768</v>
      </c>
      <c r="B46" s="77">
        <v>1.93</v>
      </c>
      <c r="C46" s="14" t="s">
        <v>769</v>
      </c>
      <c r="D46" s="14"/>
      <c r="E46" s="4"/>
      <c r="F46" s="4"/>
      <c r="G46" s="4"/>
      <c r="H46" s="4"/>
      <c r="I46" s="4"/>
      <c r="J46" s="4"/>
      <c r="K46" s="4"/>
    </row>
    <row r="47">
      <c r="A47" s="4" t="s">
        <v>770</v>
      </c>
      <c r="B47" s="77">
        <v>1.98</v>
      </c>
      <c r="C47" s="14" t="s">
        <v>771</v>
      </c>
      <c r="D47" s="14"/>
      <c r="E47" s="4"/>
      <c r="F47" s="4"/>
      <c r="G47" s="4"/>
      <c r="H47" s="4"/>
      <c r="I47" s="4"/>
      <c r="J47" s="4"/>
      <c r="K47" s="4"/>
    </row>
    <row r="48">
      <c r="A48" s="4" t="s">
        <v>772</v>
      </c>
      <c r="B48" s="77">
        <v>1.92</v>
      </c>
      <c r="C48" s="14" t="s">
        <v>773</v>
      </c>
      <c r="D48" s="14"/>
      <c r="E48" s="4"/>
      <c r="F48" s="4"/>
      <c r="G48" s="4"/>
      <c r="H48" s="4"/>
      <c r="I48" s="4"/>
      <c r="J48" s="4"/>
      <c r="K48" s="4"/>
    </row>
    <row r="49">
      <c r="A49" s="4" t="s">
        <v>774</v>
      </c>
      <c r="B49" s="77">
        <v>0.03</v>
      </c>
      <c r="C49" s="14" t="s">
        <v>759</v>
      </c>
      <c r="D49" s="14"/>
      <c r="E49" s="4"/>
      <c r="F49" s="4"/>
      <c r="G49" s="4"/>
      <c r="H49" s="4"/>
      <c r="I49" s="4"/>
      <c r="J49" s="4"/>
      <c r="K49" s="4"/>
    </row>
    <row r="50">
      <c r="A50" s="4" t="s">
        <v>775</v>
      </c>
      <c r="B50" s="96">
        <v>3</v>
      </c>
      <c r="C50" s="14" t="s">
        <v>776</v>
      </c>
      <c r="D50" s="14"/>
      <c r="E50" s="4"/>
      <c r="F50" s="4"/>
      <c r="G50" s="4"/>
      <c r="H50" s="4"/>
      <c r="I50" s="4"/>
      <c r="J50" s="4"/>
      <c r="K50" s="4"/>
    </row>
    <row r="51">
      <c r="A51" s="4" t="s">
        <v>777</v>
      </c>
      <c r="B51" s="14"/>
      <c r="C51" s="14" t="s">
        <v>737</v>
      </c>
      <c r="D51" s="14"/>
      <c r="E51" s="4"/>
      <c r="F51" s="4"/>
      <c r="G51" s="4"/>
      <c r="H51" s="4"/>
      <c r="I51" s="4"/>
      <c r="J51" s="4"/>
      <c r="K51" s="4"/>
    </row>
    <row r="52">
      <c r="A52" s="4" t="s">
        <v>778</v>
      </c>
      <c r="B52" s="79">
        <v>2222.57</v>
      </c>
      <c r="C52" s="14" t="s">
        <v>779</v>
      </c>
      <c r="D52" s="14" t="s">
        <v>780</v>
      </c>
      <c r="E52" s="4"/>
      <c r="F52" s="4"/>
      <c r="G52" s="4"/>
      <c r="H52" s="4"/>
      <c r="I52" s="4"/>
      <c r="J52" s="4"/>
      <c r="K52" s="4"/>
    </row>
    <row r="53">
      <c r="A53" s="4" t="s">
        <v>781</v>
      </c>
      <c r="B53" s="79">
        <v>2221.5</v>
      </c>
      <c r="C53" s="14" t="s">
        <v>782</v>
      </c>
      <c r="D53" s="14"/>
      <c r="E53" s="4"/>
      <c r="F53" s="4"/>
      <c r="G53" s="4"/>
      <c r="H53" s="4"/>
      <c r="I53" s="4"/>
      <c r="J53" s="4"/>
      <c r="K53" s="4"/>
    </row>
    <row r="54">
      <c r="A54" s="4" t="s">
        <v>783</v>
      </c>
      <c r="B54" s="79">
        <v>2252</v>
      </c>
      <c r="C54" s="14" t="s">
        <v>784</v>
      </c>
      <c r="D54" s="14"/>
      <c r="E54" s="4"/>
      <c r="F54" s="4"/>
      <c r="G54" s="4"/>
      <c r="H54" s="4"/>
      <c r="I54" s="4"/>
      <c r="J54" s="4"/>
      <c r="K54" s="4"/>
    </row>
    <row r="55">
      <c r="A55" s="4" t="s">
        <v>785</v>
      </c>
      <c r="B55" s="79">
        <v>2196.94</v>
      </c>
      <c r="C55" s="14" t="s">
        <v>786</v>
      </c>
      <c r="D55" s="14"/>
      <c r="E55" s="4"/>
      <c r="F55" s="4"/>
      <c r="G55" s="4"/>
      <c r="H55" s="4"/>
      <c r="I55" s="4"/>
      <c r="J55" s="4"/>
      <c r="K55" s="4"/>
    </row>
    <row r="56">
      <c r="A56" s="4" t="s">
        <v>787</v>
      </c>
      <c r="B56" s="79">
        <v>15.1</v>
      </c>
      <c r="C56" s="14" t="s">
        <v>788</v>
      </c>
      <c r="D56" s="14"/>
      <c r="E56" s="4"/>
      <c r="F56" s="4"/>
      <c r="G56" s="4"/>
      <c r="H56" s="4"/>
      <c r="I56" s="4"/>
      <c r="J56" s="4"/>
      <c r="K56" s="4"/>
    </row>
    <row r="57">
      <c r="A57" s="4" t="s">
        <v>789</v>
      </c>
      <c r="B57" s="96">
        <v>14</v>
      </c>
      <c r="C57" s="14" t="s">
        <v>790</v>
      </c>
      <c r="D57" s="14"/>
      <c r="E57" s="4"/>
      <c r="F57" s="4"/>
      <c r="G57" s="4"/>
      <c r="H57" s="4"/>
      <c r="I57" s="4"/>
      <c r="J57" s="4"/>
      <c r="K57" s="4"/>
    </row>
    <row r="58">
      <c r="A58" s="4" t="s">
        <v>791</v>
      </c>
      <c r="B58" s="14"/>
      <c r="C58" s="14" t="s">
        <v>737</v>
      </c>
      <c r="D58" s="14"/>
      <c r="E58" s="4"/>
      <c r="F58" s="4"/>
      <c r="G58" s="4"/>
      <c r="H58" s="4"/>
      <c r="I58" s="4"/>
      <c r="J58" s="4"/>
      <c r="K58" s="4"/>
    </row>
    <row r="59">
      <c r="A59" s="4" t="s">
        <v>792</v>
      </c>
      <c r="B59" s="79">
        <v>2198.29</v>
      </c>
      <c r="C59" s="14" t="s">
        <v>793</v>
      </c>
      <c r="D59" s="14" t="s">
        <v>794</v>
      </c>
      <c r="E59" s="4"/>
      <c r="F59" s="4"/>
      <c r="G59" s="4"/>
      <c r="H59" s="4"/>
      <c r="I59" s="4"/>
      <c r="J59" s="4"/>
      <c r="K59" s="4"/>
    </row>
    <row r="60">
      <c r="A60" s="4" t="s">
        <v>795</v>
      </c>
      <c r="B60" s="79">
        <v>2240.57</v>
      </c>
      <c r="C60" s="14" t="s">
        <v>796</v>
      </c>
      <c r="D60" s="14" t="s">
        <v>794</v>
      </c>
      <c r="E60" s="4"/>
      <c r="F60" s="4"/>
      <c r="G60" s="4"/>
      <c r="H60" s="4"/>
      <c r="I60" s="4"/>
      <c r="J60" s="4"/>
      <c r="K60" s="4"/>
    </row>
    <row r="61">
      <c r="A61" s="4" t="s">
        <v>797</v>
      </c>
      <c r="B61" s="79">
        <v>407.1</v>
      </c>
      <c r="C61" s="14" t="s">
        <v>798</v>
      </c>
      <c r="D61" s="14" t="s">
        <v>799</v>
      </c>
      <c r="E61" s="4"/>
      <c r="F61" s="4"/>
      <c r="G61" s="4"/>
      <c r="H61" s="4"/>
      <c r="I61" s="4"/>
      <c r="J61" s="4"/>
      <c r="K61" s="4"/>
    </row>
    <row r="62">
      <c r="A62" s="4" t="s">
        <v>800</v>
      </c>
      <c r="B62" s="79">
        <v>351.71</v>
      </c>
      <c r="C62" s="14" t="s">
        <v>801</v>
      </c>
      <c r="D62" s="14"/>
      <c r="E62" s="4"/>
      <c r="F62" s="4"/>
      <c r="G62" s="4"/>
      <c r="H62" s="4"/>
      <c r="I62" s="4"/>
      <c r="J62" s="4"/>
      <c r="K62" s="4"/>
    </row>
    <row r="63">
      <c r="A63" s="4" t="s">
        <v>802</v>
      </c>
      <c r="B63" s="79">
        <v>329.5</v>
      </c>
      <c r="C63" s="14" t="s">
        <v>803</v>
      </c>
      <c r="D63" s="14"/>
      <c r="E63" s="4"/>
      <c r="F63" s="4"/>
      <c r="G63" s="4"/>
      <c r="H63" s="4"/>
      <c r="I63" s="4"/>
      <c r="J63" s="4"/>
      <c r="K63" s="4"/>
    </row>
    <row r="64">
      <c r="A64" s="4" t="s">
        <v>804</v>
      </c>
      <c r="B64" s="14"/>
      <c r="C64" s="14" t="s">
        <v>737</v>
      </c>
      <c r="D64" s="14"/>
      <c r="E64" s="4"/>
      <c r="F64" s="4"/>
      <c r="G64" s="4"/>
      <c r="H64" s="4"/>
      <c r="I64" s="4"/>
      <c r="J64" s="4"/>
      <c r="K64" s="4"/>
    </row>
    <row r="65">
      <c r="A65" s="4" t="s">
        <v>805</v>
      </c>
      <c r="B65" s="79">
        <v>247</v>
      </c>
      <c r="C65" s="14" t="s">
        <v>806</v>
      </c>
      <c r="D65" s="14" t="s">
        <v>807</v>
      </c>
      <c r="E65" s="4"/>
      <c r="F65" s="4"/>
      <c r="G65" s="4"/>
      <c r="H65" s="4"/>
      <c r="I65" s="4"/>
      <c r="J65" s="4"/>
      <c r="K65" s="4"/>
    </row>
    <row r="66">
      <c r="A66" s="4" t="s">
        <v>808</v>
      </c>
      <c r="B66" s="79">
        <v>247.97</v>
      </c>
      <c r="C66" s="14" t="s">
        <v>809</v>
      </c>
      <c r="D66" s="14" t="s">
        <v>810</v>
      </c>
      <c r="E66" s="4"/>
      <c r="F66" s="4"/>
      <c r="G66" s="4"/>
      <c r="H66" s="4"/>
      <c r="I66" s="4"/>
      <c r="J66" s="4"/>
      <c r="K66" s="4"/>
    </row>
    <row r="67">
      <c r="A67" s="4" t="s">
        <v>811</v>
      </c>
      <c r="B67" s="102">
        <v>42.2</v>
      </c>
      <c r="C67" s="14" t="s">
        <v>812</v>
      </c>
      <c r="D67" s="14"/>
      <c r="E67" s="4"/>
      <c r="F67" s="4"/>
      <c r="G67" s="4"/>
      <c r="H67" s="4"/>
      <c r="I67" s="4"/>
      <c r="J67" s="4"/>
      <c r="K67" s="4"/>
    </row>
    <row r="68">
      <c r="A68" s="4" t="s">
        <v>813</v>
      </c>
      <c r="B68" s="102">
        <v>23.67</v>
      </c>
      <c r="C68" s="14" t="s">
        <v>814</v>
      </c>
      <c r="D68" s="14"/>
      <c r="E68" s="4"/>
      <c r="F68" s="4"/>
      <c r="G68" s="4"/>
      <c r="H68" s="4"/>
      <c r="I68" s="4"/>
      <c r="J68" s="4"/>
      <c r="K68" s="4"/>
    </row>
    <row r="69">
      <c r="A69" s="4" t="s">
        <v>815</v>
      </c>
      <c r="B69" s="79">
        <v>55.78</v>
      </c>
      <c r="C69" s="14" t="s">
        <v>816</v>
      </c>
      <c r="D69" s="14"/>
      <c r="E69" s="4"/>
      <c r="F69" s="4"/>
      <c r="G69" s="4"/>
      <c r="H69" s="4"/>
      <c r="I69" s="4"/>
      <c r="J69" s="4"/>
      <c r="K69" s="4"/>
    </row>
    <row r="70">
      <c r="A70" s="4" t="s">
        <v>817</v>
      </c>
      <c r="B70" s="79">
        <v>-58.5</v>
      </c>
      <c r="C70" s="14" t="s">
        <v>818</v>
      </c>
      <c r="D70" s="14"/>
      <c r="E70" s="4"/>
      <c r="F70" s="4"/>
      <c r="G70" s="4"/>
      <c r="H70" s="4"/>
      <c r="I70" s="4"/>
      <c r="J70" s="4"/>
      <c r="K70" s="4"/>
    </row>
    <row r="71">
      <c r="A71" s="4" t="s">
        <v>819</v>
      </c>
      <c r="B71" s="79">
        <v>265.77</v>
      </c>
      <c r="C71" s="14" t="s">
        <v>820</v>
      </c>
      <c r="D71" s="14"/>
      <c r="E71" s="4"/>
      <c r="F71" s="4"/>
      <c r="G71" s="4"/>
      <c r="H71" s="4"/>
      <c r="I71" s="4"/>
      <c r="J71" s="4"/>
      <c r="K71" s="4"/>
    </row>
    <row r="72">
      <c r="A72" s="4" t="s">
        <v>821</v>
      </c>
      <c r="B72" s="79">
        <v>209.1</v>
      </c>
      <c r="C72" s="14" t="s">
        <v>822</v>
      </c>
      <c r="D72" s="14"/>
      <c r="E72" s="4"/>
      <c r="F72" s="4"/>
      <c r="G72" s="4"/>
      <c r="H72" s="4"/>
      <c r="I72" s="4"/>
      <c r="J72" s="4"/>
      <c r="K72" s="4"/>
    </row>
    <row r="73">
      <c r="A73" s="4" t="s">
        <v>823</v>
      </c>
      <c r="B73" s="14"/>
      <c r="C73" s="14" t="s">
        <v>737</v>
      </c>
      <c r="D73" s="14"/>
      <c r="E73" s="4"/>
      <c r="F73" s="4"/>
      <c r="G73" s="4"/>
      <c r="H73" s="4"/>
      <c r="I73" s="4"/>
      <c r="J73" s="4"/>
      <c r="K73" s="4"/>
    </row>
    <row r="74">
      <c r="A74" s="4" t="s">
        <v>824</v>
      </c>
      <c r="B74" s="14"/>
      <c r="C74" s="14" t="s">
        <v>737</v>
      </c>
      <c r="D74" s="14"/>
      <c r="E74" s="4"/>
      <c r="F74" s="4"/>
      <c r="G74" s="4"/>
      <c r="H74" s="4"/>
      <c r="I74" s="4"/>
      <c r="J74" s="4"/>
      <c r="K74" s="4"/>
    </row>
    <row r="75">
      <c r="A75" s="4" t="s">
        <v>825</v>
      </c>
      <c r="B75" s="77">
        <v>2.6</v>
      </c>
      <c r="C75" s="14" t="s">
        <v>826</v>
      </c>
      <c r="D75" s="14"/>
      <c r="E75" s="4"/>
      <c r="F75" s="4"/>
      <c r="G75" s="4"/>
      <c r="H75" s="4"/>
      <c r="I75" s="4"/>
      <c r="J75" s="4"/>
      <c r="K75" s="4"/>
    </row>
    <row r="76">
      <c r="A76" s="4" t="s">
        <v>827</v>
      </c>
      <c r="B76" s="77">
        <v>28.03</v>
      </c>
      <c r="C76" s="14" t="s">
        <v>828</v>
      </c>
      <c r="D76" s="14"/>
      <c r="E76" s="4"/>
      <c r="F76" s="4"/>
      <c r="G76" s="4"/>
      <c r="H76" s="4"/>
      <c r="I76" s="4"/>
      <c r="J76" s="4"/>
      <c r="K76" s="4"/>
    </row>
    <row r="77">
      <c r="A77" s="4" t="s">
        <v>829</v>
      </c>
      <c r="B77" s="77">
        <v>0.54</v>
      </c>
      <c r="C77" s="14" t="s">
        <v>830</v>
      </c>
      <c r="D77" s="14" t="s">
        <v>831</v>
      </c>
      <c r="E77" s="4"/>
      <c r="F77" s="4"/>
      <c r="G77" s="4"/>
      <c r="H77" s="4"/>
      <c r="I77" s="4"/>
      <c r="J77" s="4"/>
      <c r="K77" s="4"/>
    </row>
    <row r="78">
      <c r="A78" s="4" t="s">
        <v>832</v>
      </c>
      <c r="B78" s="14"/>
      <c r="C78" s="14" t="s">
        <v>737</v>
      </c>
      <c r="D78" s="14"/>
      <c r="E78" s="4"/>
      <c r="F78" s="4"/>
      <c r="G78" s="4"/>
      <c r="H78" s="4"/>
      <c r="I78" s="4"/>
      <c r="J78" s="4"/>
      <c r="K78" s="4"/>
    </row>
    <row r="79">
      <c r="A79" s="4" t="s">
        <v>833</v>
      </c>
      <c r="B79" s="14"/>
      <c r="C79" s="14" t="s">
        <v>737</v>
      </c>
      <c r="D79" s="14"/>
      <c r="E79" s="4"/>
      <c r="F79" s="4"/>
      <c r="G79" s="4"/>
      <c r="H79" s="4"/>
      <c r="I79" s="4"/>
      <c r="J79" s="4"/>
      <c r="K79" s="4"/>
    </row>
    <row r="80">
      <c r="A80" s="4" t="s">
        <v>834</v>
      </c>
      <c r="B80" s="14"/>
      <c r="C80" s="14" t="s">
        <v>737</v>
      </c>
      <c r="D80" s="14"/>
      <c r="E80" s="4"/>
      <c r="F80" s="4"/>
      <c r="G80" s="4"/>
      <c r="H80" s="4"/>
      <c r="I80" s="4"/>
      <c r="J80" s="4"/>
      <c r="K80" s="4"/>
    </row>
    <row r="81">
      <c r="A81" s="4" t="s">
        <v>835</v>
      </c>
      <c r="B81" s="14"/>
      <c r="C81" s="14" t="s">
        <v>737</v>
      </c>
      <c r="D81" s="14"/>
      <c r="E81" s="4"/>
      <c r="F81" s="4"/>
      <c r="G81" s="4"/>
      <c r="H81" s="4"/>
      <c r="I81" s="4"/>
      <c r="J81" s="4"/>
      <c r="K81" s="4"/>
    </row>
    <row r="82" ht="27">
      <c r="A82" s="119" t="s">
        <v>836</v>
      </c>
      <c r="B82" s="77">
        <v>129.8</v>
      </c>
      <c r="C82" s="14" t="s">
        <v>837</v>
      </c>
      <c r="D82" s="14" t="s">
        <v>838</v>
      </c>
      <c r="E82" s="4"/>
      <c r="F82" s="4"/>
      <c r="G82" s="4"/>
      <c r="H82" s="4"/>
      <c r="I82" s="4"/>
      <c r="J82" s="4"/>
      <c r="K82" s="4"/>
    </row>
    <row r="83" ht="27">
      <c r="A83" s="119" t="s">
        <v>839</v>
      </c>
      <c r="B83" s="77">
        <v>128</v>
      </c>
      <c r="C83" s="14" t="s">
        <v>840</v>
      </c>
      <c r="D83" s="14" t="s">
        <v>838</v>
      </c>
      <c r="E83" s="4"/>
      <c r="F83" s="4"/>
      <c r="G83" s="4"/>
      <c r="H83" s="4"/>
      <c r="I83" s="4"/>
      <c r="J83" s="4"/>
      <c r="K83" s="4"/>
    </row>
    <row r="84" ht="27">
      <c r="A84" s="119" t="s">
        <v>841</v>
      </c>
      <c r="B84" s="77">
        <v>151</v>
      </c>
      <c r="C84" s="14" t="s">
        <v>842</v>
      </c>
      <c r="D84" s="14" t="s">
        <v>838</v>
      </c>
      <c r="E84" s="4"/>
      <c r="F84" s="4"/>
      <c r="G84" s="4"/>
      <c r="H84" s="4"/>
      <c r="I84" s="4"/>
      <c r="J84" s="4"/>
      <c r="K84" s="4"/>
    </row>
    <row r="85" ht="27">
      <c r="A85" s="119" t="s">
        <v>843</v>
      </c>
      <c r="B85" s="77">
        <v>114</v>
      </c>
      <c r="C85" s="14" t="s">
        <v>844</v>
      </c>
      <c r="D85" s="14" t="s">
        <v>838</v>
      </c>
      <c r="E85" s="4"/>
      <c r="F85" s="4"/>
      <c r="G85" s="4"/>
      <c r="H85" s="4"/>
      <c r="I85" s="4"/>
      <c r="J85" s="4"/>
      <c r="K85" s="4"/>
    </row>
    <row r="86" ht="27">
      <c r="A86" s="119" t="s">
        <v>845</v>
      </c>
      <c r="B86" s="77">
        <v>9.96</v>
      </c>
      <c r="C86" s="14" t="s">
        <v>846</v>
      </c>
      <c r="D86" s="14" t="s">
        <v>838</v>
      </c>
      <c r="E86" s="4"/>
      <c r="F86" s="4"/>
      <c r="G86" s="4"/>
      <c r="H86" s="4"/>
      <c r="I86" s="4"/>
      <c r="J86" s="4"/>
      <c r="K86" s="4"/>
    </row>
    <row r="87" ht="27">
      <c r="A87" s="119" t="s">
        <v>847</v>
      </c>
      <c r="B87" s="96">
        <v>15</v>
      </c>
      <c r="C87" s="14" t="s">
        <v>748</v>
      </c>
      <c r="D87" s="14" t="s">
        <v>838</v>
      </c>
      <c r="E87" s="4"/>
      <c r="F87" s="4"/>
      <c r="G87" s="4"/>
      <c r="H87" s="4"/>
      <c r="I87" s="4"/>
      <c r="J87" s="4"/>
      <c r="K87" s="4"/>
    </row>
    <row r="88">
      <c r="A88" s="4" t="s">
        <v>848</v>
      </c>
      <c r="B88" s="80" t="s">
        <v>849</v>
      </c>
      <c r="C88" s="14" t="s">
        <v>850</v>
      </c>
      <c r="D88" s="14"/>
      <c r="E88" s="4"/>
      <c r="F88" s="4"/>
      <c r="G88" s="4"/>
      <c r="H88" s="4"/>
      <c r="I88" s="4"/>
      <c r="J88" s="4"/>
      <c r="K88" s="4"/>
    </row>
    <row r="89">
      <c r="A89" s="4" t="s">
        <v>851</v>
      </c>
      <c r="B89" s="102">
        <v>1.27</v>
      </c>
      <c r="C89" s="14" t="s">
        <v>852</v>
      </c>
      <c r="D89" s="14"/>
      <c r="E89" s="4"/>
      <c r="F89" s="4"/>
      <c r="G89" s="4"/>
      <c r="H89" s="4"/>
      <c r="I89" s="4"/>
      <c r="J89" s="4"/>
      <c r="K89" s="4"/>
    </row>
    <row r="90">
      <c r="A90" s="4" t="s">
        <v>853</v>
      </c>
      <c r="B90" s="77">
        <v>99.19</v>
      </c>
      <c r="C90" s="14" t="s">
        <v>854</v>
      </c>
      <c r="D90" s="14" t="s">
        <v>855</v>
      </c>
      <c r="E90" s="4"/>
      <c r="F90" s="4"/>
      <c r="G90" s="4"/>
      <c r="H90" s="4"/>
      <c r="I90" s="4"/>
      <c r="J90" s="4"/>
      <c r="K90" s="4"/>
    </row>
    <row r="91">
      <c r="A91" s="4" t="s">
        <v>856</v>
      </c>
      <c r="B91" s="80" t="s">
        <v>857</v>
      </c>
      <c r="C91" s="14" t="s">
        <v>858</v>
      </c>
      <c r="D91" s="14"/>
      <c r="E91" s="4"/>
      <c r="F91" s="4"/>
      <c r="G91" s="4"/>
      <c r="H91" s="4"/>
      <c r="I91" s="4"/>
      <c r="J91" s="4"/>
      <c r="K91" s="4"/>
    </row>
    <row r="92">
      <c r="A92" s="4" t="s">
        <v>714</v>
      </c>
      <c r="B92" s="80" t="s">
        <v>14</v>
      </c>
      <c r="C92" s="14" t="s">
        <v>715</v>
      </c>
      <c r="D92" s="14"/>
      <c r="E92" s="4"/>
      <c r="F92" s="4"/>
      <c r="G92" s="4"/>
      <c r="H92" s="4"/>
      <c r="I92" s="4"/>
      <c r="J92" s="4"/>
      <c r="K92" s="4"/>
    </row>
    <row r="93" ht="27">
      <c r="A93" s="119" t="s">
        <v>859</v>
      </c>
      <c r="B93" s="80" t="s">
        <v>860</v>
      </c>
      <c r="C93" s="14" t="s">
        <v>861</v>
      </c>
      <c r="D93" s="14"/>
      <c r="E93" s="4"/>
      <c r="F93" s="4"/>
      <c r="G93" s="4"/>
      <c r="H93" s="4"/>
      <c r="I93" s="4"/>
      <c r="J93" s="4"/>
      <c r="K93" s="4"/>
    </row>
    <row r="94">
      <c r="A94" s="4" t="s">
        <v>862</v>
      </c>
      <c r="B94" s="93">
        <v>46299</v>
      </c>
      <c r="C94" s="14" t="s">
        <v>701</v>
      </c>
      <c r="D94" s="14"/>
      <c r="E94" s="4"/>
      <c r="F94" s="4"/>
      <c r="G94" s="4"/>
      <c r="H94" s="4"/>
      <c r="I94" s="4"/>
      <c r="J94" s="4"/>
      <c r="K94" s="4"/>
    </row>
    <row r="95">
      <c r="A95" s="4" t="s">
        <v>863</v>
      </c>
      <c r="B95" s="14"/>
      <c r="C95" s="14" t="s">
        <v>737</v>
      </c>
      <c r="D95" s="14"/>
      <c r="E95" s="4"/>
      <c r="F95" s="4"/>
      <c r="G95" s="4"/>
      <c r="H95" s="4"/>
      <c r="I95" s="4"/>
      <c r="J95" s="4"/>
      <c r="K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ht="33">
      <c r="A97" s="110" t="s">
        <v>864</v>
      </c>
      <c r="B97" s="22" t="s">
        <v>865</v>
      </c>
      <c r="C97" s="22" t="s">
        <v>866</v>
      </c>
      <c r="D97" s="22" t="s">
        <v>867</v>
      </c>
      <c r="E97" s="22" t="s">
        <v>868</v>
      </c>
      <c r="F97" s="22" t="s">
        <v>869</v>
      </c>
      <c r="G97" s="22" t="s">
        <v>870</v>
      </c>
      <c r="H97" s="22" t="s">
        <v>871</v>
      </c>
      <c r="I97" s="22"/>
      <c r="J97" s="22" t="s">
        <v>872</v>
      </c>
      <c r="K97" s="22" t="s">
        <v>873</v>
      </c>
    </row>
    <row r="98">
      <c r="A98" s="94">
        <v>45716</v>
      </c>
      <c r="B98" s="83">
        <v>45755</v>
      </c>
      <c r="C98" s="62">
        <v>0.5</v>
      </c>
      <c r="D98" s="62">
        <v>0.35</v>
      </c>
      <c r="E98" s="62">
        <v>0.45</v>
      </c>
      <c r="F98" s="62">
        <v>0.4</v>
      </c>
      <c r="G98" s="17">
        <v>1507.23</v>
      </c>
      <c r="H98" s="17">
        <v>1476.56</v>
      </c>
      <c r="I98" s="4"/>
      <c r="J98" s="20">
        <f>D98-C98</f>
        <v>-0.15000000000000002</v>
      </c>
      <c r="K98" s="109" t="b">
        <f>D98&gt;C98</f>
        <v>0</v>
      </c>
    </row>
    <row r="99">
      <c r="A99" s="94">
        <v>45808</v>
      </c>
      <c r="B99" s="83">
        <v>45862</v>
      </c>
      <c r="C99" s="62">
        <v>1.6</v>
      </c>
      <c r="D99" s="62">
        <v>1.72</v>
      </c>
      <c r="E99" s="62">
        <v>1.56</v>
      </c>
      <c r="F99" s="62">
        <v>1.76</v>
      </c>
      <c r="G99" s="17">
        <v>2016.7</v>
      </c>
      <c r="H99" s="17">
        <v>2081.98</v>
      </c>
      <c r="I99" s="4"/>
      <c r="J99" s="20">
        <f>D99-C99</f>
        <v>0.11999999999999988</v>
      </c>
      <c r="K99" s="109" t="b">
        <f>D99&gt;C99</f>
        <v>1</v>
      </c>
    </row>
    <row r="100">
      <c r="A100" s="94">
        <v>45900</v>
      </c>
      <c r="B100" s="83">
        <v>45931</v>
      </c>
      <c r="C100" s="62">
        <v>1.88</v>
      </c>
      <c r="D100" s="62">
        <v>1.88</v>
      </c>
      <c r="E100" s="62">
        <v>1.9</v>
      </c>
      <c r="F100" s="62">
        <v>1.77</v>
      </c>
      <c r="G100" s="17">
        <v>2054.4</v>
      </c>
      <c r="H100" s="17">
        <v>2113.74</v>
      </c>
      <c r="I100" s="4"/>
      <c r="J100" s="20">
        <f>D100-C100</f>
        <v>0</v>
      </c>
      <c r="K100" s="109" t="b">
        <f>D100&gt;C100</f>
        <v>0</v>
      </c>
    </row>
    <row r="101">
      <c r="A101" s="94">
        <v>45991</v>
      </c>
      <c r="B101" s="83">
        <v>46030</v>
      </c>
      <c r="C101" s="62">
        <v>1.41</v>
      </c>
      <c r="D101" s="62">
        <v>1.2</v>
      </c>
      <c r="E101" s="62">
        <v>1.45</v>
      </c>
      <c r="F101" s="62">
        <v>1.26</v>
      </c>
      <c r="G101" s="17">
        <v>1926.34</v>
      </c>
      <c r="H101" s="17">
        <v>1909.9</v>
      </c>
      <c r="I101" s="4"/>
      <c r="J101" s="20">
        <f>D101-C101</f>
        <v>-0.20999999999999996</v>
      </c>
      <c r="K101" s="109" t="b">
        <f>D101&gt;C101</f>
        <v>0</v>
      </c>
    </row>
    <row r="102">
      <c r="A102" s="94">
        <v>46081</v>
      </c>
      <c r="B102" s="83">
        <v>46120</v>
      </c>
      <c r="C102" s="62">
        <v>0.35</v>
      </c>
      <c r="D102" s="62">
        <v>0.57</v>
      </c>
      <c r="E102" s="62">
        <v>0.36</v>
      </c>
      <c r="F102" s="62">
        <v>0.4</v>
      </c>
      <c r="G102" s="17">
        <v>1547.25</v>
      </c>
      <c r="H102" s="17">
        <v>1607.95</v>
      </c>
      <c r="I102" s="4"/>
      <c r="J102" s="20">
        <f>D102-C102</f>
        <v>0.21999999999999997</v>
      </c>
      <c r="K102" s="109" t="b">
        <f>D102&gt;C102</f>
        <v>1</v>
      </c>
    </row>
    <row r="103">
      <c r="A103" s="94">
        <v>46173</v>
      </c>
      <c r="B103" s="83">
        <v>46225</v>
      </c>
      <c r="C103" s="62">
        <v>1.83</v>
      </c>
      <c r="D103" s="62">
        <v>1.89</v>
      </c>
      <c r="E103" s="62">
        <v>1.87</v>
      </c>
      <c r="F103" s="62">
        <v>1.73</v>
      </c>
      <c r="G103" s="17">
        <v>2177.89</v>
      </c>
      <c r="H103" s="17">
        <v>2231.84</v>
      </c>
      <c r="I103" s="4"/>
      <c r="J103" s="20">
        <f>D103-C103</f>
        <v>0.05999999999999983</v>
      </c>
      <c r="K103" s="109" t="b">
        <f>D103&gt;C103</f>
        <v>1</v>
      </c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>
      <c r="A105" s="25" t="s">
        <v>874</v>
      </c>
      <c r="B105" s="18" t="s">
        <v>547</v>
      </c>
      <c r="C105" s="107" t="s">
        <v>875</v>
      </c>
      <c r="D105" s="18"/>
      <c r="E105" s="18"/>
      <c r="F105" s="18"/>
      <c r="G105" s="18"/>
      <c r="H105" s="18"/>
      <c r="I105" s="18"/>
      <c r="J105" s="18"/>
      <c r="K105" s="18"/>
    </row>
    <row r="106" ht="27">
      <c r="A106" s="119" t="s">
        <v>876</v>
      </c>
      <c r="B106" s="87">
        <f>B36</f>
        <v>1.95</v>
      </c>
      <c r="C106" s="14" t="s">
        <v>877</v>
      </c>
      <c r="D106" s="14"/>
      <c r="E106" s="4"/>
      <c r="F106" s="4"/>
      <c r="G106" s="4"/>
      <c r="H106" s="4"/>
      <c r="I106" s="4"/>
      <c r="J106" s="4"/>
      <c r="K106" s="4"/>
    </row>
    <row r="107">
      <c r="A107" s="4" t="s">
        <v>878</v>
      </c>
      <c r="B107" s="101">
        <f>B41</f>
        <v>15</v>
      </c>
      <c r="C107" s="14" t="s">
        <v>576</v>
      </c>
      <c r="D107" s="14"/>
      <c r="E107" s="4"/>
      <c r="F107" s="4"/>
      <c r="G107" s="4"/>
      <c r="H107" s="4"/>
      <c r="I107" s="4"/>
      <c r="J107" s="4"/>
      <c r="K107" s="4"/>
    </row>
    <row r="108">
      <c r="A108" s="4" t="s">
        <v>879</v>
      </c>
      <c r="B108" s="87">
        <f>B38</f>
        <v>1.99</v>
      </c>
      <c r="C108" s="14" t="s">
        <v>576</v>
      </c>
      <c r="D108" s="14"/>
      <c r="E108" s="4"/>
      <c r="F108" s="4"/>
      <c r="G108" s="4"/>
      <c r="H108" s="4"/>
      <c r="I108" s="4"/>
      <c r="J108" s="4"/>
      <c r="K108" s="4"/>
    </row>
    <row r="109">
      <c r="A109" s="4" t="s">
        <v>880</v>
      </c>
      <c r="B109" s="87">
        <f>B39</f>
        <v>1.89</v>
      </c>
      <c r="C109" s="14" t="s">
        <v>576</v>
      </c>
      <c r="D109" s="14"/>
      <c r="E109" s="4"/>
      <c r="F109" s="4"/>
      <c r="G109" s="4"/>
      <c r="H109" s="4"/>
      <c r="I109" s="4"/>
      <c r="J109" s="4"/>
      <c r="K109" s="4"/>
    </row>
    <row r="110">
      <c r="A110" s="4" t="s">
        <v>881</v>
      </c>
      <c r="B110" s="92">
        <f>B52</f>
        <v>2222.57</v>
      </c>
      <c r="C110" s="14" t="s">
        <v>882</v>
      </c>
      <c r="D110" s="14"/>
      <c r="E110" s="4"/>
      <c r="F110" s="4"/>
      <c r="G110" s="4"/>
      <c r="H110" s="4"/>
      <c r="I110" s="4"/>
      <c r="J110" s="4"/>
      <c r="K110" s="4"/>
    </row>
    <row r="111">
      <c r="A111" s="4" t="s">
        <v>883</v>
      </c>
      <c r="B111" s="92">
        <f>B65</f>
        <v>247</v>
      </c>
      <c r="C111" s="14" t="s">
        <v>884</v>
      </c>
      <c r="D111" s="14"/>
      <c r="E111" s="4"/>
      <c r="F111" s="4"/>
      <c r="G111" s="4"/>
      <c r="H111" s="4"/>
      <c r="I111" s="4"/>
      <c r="J111" s="4"/>
      <c r="K111" s="4"/>
    </row>
    <row r="112">
      <c r="A112" s="4" t="s">
        <v>885</v>
      </c>
      <c r="B112" s="92">
        <f>B66</f>
        <v>247.97</v>
      </c>
      <c r="C112" s="14" t="s">
        <v>886</v>
      </c>
      <c r="D112" s="14"/>
      <c r="E112" s="4"/>
      <c r="F112" s="4"/>
      <c r="G112" s="4"/>
      <c r="H112" s="4"/>
      <c r="I112" s="4"/>
      <c r="J112" s="4"/>
      <c r="K112" s="4"/>
    </row>
    <row r="113">
      <c r="A113" s="4" t="s">
        <v>887</v>
      </c>
      <c r="B113" s="87">
        <f>B45</f>
        <v>1.94</v>
      </c>
      <c r="C113" s="14" t="s">
        <v>888</v>
      </c>
      <c r="D113" s="14"/>
      <c r="E113" s="4"/>
      <c r="F113" s="4"/>
      <c r="G113" s="4"/>
      <c r="H113" s="4"/>
      <c r="I113" s="4"/>
      <c r="J113" s="4"/>
      <c r="K113" s="4"/>
    </row>
    <row r="114">
      <c r="A114" s="4" t="s">
        <v>889</v>
      </c>
      <c r="B114" s="92">
        <f>B61</f>
        <v>407.1</v>
      </c>
      <c r="C114" s="14" t="s">
        <v>890</v>
      </c>
      <c r="D114" s="14"/>
      <c r="E114" s="4"/>
      <c r="F114" s="4"/>
      <c r="G114" s="4"/>
      <c r="H114" s="4"/>
      <c r="I114" s="4"/>
      <c r="J114" s="4"/>
      <c r="K114" s="4"/>
    </row>
    <row r="115">
      <c r="A115" s="4" t="s">
        <v>891</v>
      </c>
      <c r="B115" s="87">
        <f>B77</f>
        <v>0.54</v>
      </c>
      <c r="C115" s="14" t="s">
        <v>892</v>
      </c>
      <c r="D115" s="14"/>
      <c r="E115" s="4"/>
      <c r="F115" s="4"/>
      <c r="G115" s="4"/>
      <c r="H115" s="4"/>
      <c r="I115" s="4"/>
      <c r="J115" s="4"/>
      <c r="K115" s="4"/>
    </row>
    <row r="116">
      <c r="A116" s="4" t="s">
        <v>893</v>
      </c>
      <c r="B116" s="92">
        <f>B59</f>
        <v>2198.29</v>
      </c>
      <c r="C116" s="14" t="s">
        <v>576</v>
      </c>
      <c r="D116" s="14"/>
      <c r="E116" s="4"/>
      <c r="F116" s="4"/>
      <c r="G116" s="4"/>
      <c r="H116" s="4"/>
      <c r="I116" s="4"/>
      <c r="J116" s="4"/>
      <c r="K116" s="4"/>
    </row>
    <row r="117">
      <c r="A117" s="4" t="s">
        <v>894</v>
      </c>
      <c r="B117" s="92">
        <f>B60</f>
        <v>2240.57</v>
      </c>
      <c r="C117" s="14" t="s">
        <v>576</v>
      </c>
      <c r="D117" s="14"/>
      <c r="E117" s="4"/>
      <c r="F117" s="4"/>
      <c r="G117" s="4"/>
      <c r="H117" s="4"/>
      <c r="I117" s="4"/>
      <c r="J117" s="4"/>
      <c r="K117" s="4"/>
    </row>
    <row r="118" ht="27">
      <c r="A118" s="119" t="s">
        <v>895</v>
      </c>
      <c r="B118" s="87">
        <f>B90</f>
        <v>99.19</v>
      </c>
      <c r="C118" s="14" t="s">
        <v>896</v>
      </c>
      <c r="D118" s="14"/>
      <c r="E118" s="4"/>
      <c r="F118" s="4"/>
      <c r="G118" s="4"/>
      <c r="H118" s="4"/>
      <c r="I118" s="4"/>
      <c r="J118" s="4"/>
      <c r="K118" s="4"/>
    </row>
    <row r="119">
      <c r="A119" s="4" t="s">
        <v>897</v>
      </c>
      <c r="B119" s="75">
        <f>'Balance Sheet'!E58</f>
        <v>127.643</v>
      </c>
      <c r="C119" s="14" t="s">
        <v>898</v>
      </c>
      <c r="D119" s="14"/>
      <c r="E119" s="4"/>
      <c r="F119" s="4"/>
      <c r="G119" s="4"/>
      <c r="H119" s="4"/>
      <c r="I119" s="4"/>
      <c r="J119" s="4"/>
      <c r="K119" s="4"/>
    </row>
    <row r="120" ht="27">
      <c r="A120" s="119" t="s">
        <v>23</v>
      </c>
      <c r="B120" s="92">
        <f>B118*B119</f>
        <v>12660.909169999999</v>
      </c>
      <c r="C120" s="14" t="s">
        <v>899</v>
      </c>
      <c r="D120" s="14"/>
      <c r="E120" s="4"/>
      <c r="F120" s="4"/>
      <c r="G120" s="4"/>
      <c r="H120" s="4"/>
      <c r="I120" s="4"/>
      <c r="J120" s="4"/>
      <c r="K120" s="4"/>
    </row>
    <row r="121" ht="27">
      <c r="A121" s="119" t="s">
        <v>900</v>
      </c>
      <c r="B121" s="112" t="str">
        <f>IF(B120&gt;10000,"large",IF(B120&gt;2000,"mid","small"))</f>
        <v>large</v>
      </c>
      <c r="C121" s="14" t="s">
        <v>901</v>
      </c>
      <c r="D121" s="14"/>
      <c r="E121" s="4"/>
      <c r="F121" s="4"/>
      <c r="G121" s="4"/>
      <c r="H121" s="4"/>
      <c r="I121" s="4"/>
      <c r="J121" s="4"/>
      <c r="K121" s="4"/>
    </row>
    <row r="122" ht="49.5">
      <c r="A122" s="119" t="s">
        <v>902</v>
      </c>
      <c r="B122" s="108" t="s">
        <v>903</v>
      </c>
      <c r="C122" s="14" t="s">
        <v>904</v>
      </c>
      <c r="D122" s="14"/>
      <c r="E122" s="4"/>
      <c r="F122" s="4"/>
      <c r="G122" s="4"/>
      <c r="H122" s="4"/>
      <c r="I122" s="4"/>
      <c r="J122" s="4"/>
      <c r="K122" s="4"/>
    </row>
    <row r="123">
      <c r="A123" s="4" t="s">
        <v>905</v>
      </c>
      <c r="B123" s="108" t="b">
        <v>0</v>
      </c>
      <c r="C123" s="14" t="s">
        <v>647</v>
      </c>
      <c r="D123" s="14"/>
      <c r="E123" s="4"/>
      <c r="F123" s="4"/>
      <c r="G123" s="4"/>
      <c r="H123" s="4"/>
      <c r="I123" s="4"/>
      <c r="J123" s="4"/>
      <c r="K123" s="4"/>
    </row>
    <row r="124" ht="27">
      <c r="A124" s="119" t="s">
        <v>906</v>
      </c>
      <c r="B124" s="99">
        <f>IF(OR(B121="large",B123),0.78,IF(B121="mid",0.7,0.6))</f>
        <v>0.78</v>
      </c>
      <c r="C124" s="14" t="s">
        <v>907</v>
      </c>
      <c r="D124" s="14"/>
      <c r="E124" s="4"/>
      <c r="F124" s="4"/>
      <c r="G124" s="4"/>
      <c r="H124" s="4"/>
      <c r="I124" s="4"/>
      <c r="J124" s="4"/>
      <c r="K124" s="4"/>
    </row>
    <row r="125" ht="38.25">
      <c r="A125" s="119" t="s">
        <v>908</v>
      </c>
      <c r="B125" s="101">
        <f>SUMPRODUCT(--(D98:D103&gt;C98:C103))</f>
        <v>3</v>
      </c>
      <c r="C125" s="14" t="s">
        <v>909</v>
      </c>
      <c r="D125" s="14"/>
      <c r="E125" s="4"/>
      <c r="F125" s="4"/>
      <c r="G125" s="4"/>
      <c r="H125" s="4"/>
      <c r="I125" s="4"/>
      <c r="J125" s="4"/>
      <c r="K125" s="4"/>
    </row>
    <row r="126" ht="27">
      <c r="A126" s="119" t="s">
        <v>910</v>
      </c>
      <c r="B126" s="101">
        <f>COUNT(D98:D103)</f>
        <v>6</v>
      </c>
      <c r="C126" s="14" t="s">
        <v>911</v>
      </c>
      <c r="D126" s="14"/>
      <c r="E126" s="4"/>
      <c r="F126" s="4"/>
      <c r="G126" s="4"/>
      <c r="H126" s="4"/>
      <c r="I126" s="4"/>
      <c r="J126" s="4"/>
      <c r="K126" s="4"/>
    </row>
    <row r="127">
      <c r="A127" s="4" t="s">
        <v>912</v>
      </c>
      <c r="B127" s="96">
        <v>8</v>
      </c>
      <c r="C127" s="14" t="s">
        <v>913</v>
      </c>
      <c r="D127" s="14"/>
      <c r="E127" s="4"/>
      <c r="F127" s="4"/>
      <c r="G127" s="4"/>
      <c r="H127" s="4"/>
      <c r="I127" s="4"/>
      <c r="J127" s="4"/>
      <c r="K127" s="4"/>
    </row>
    <row r="128">
      <c r="A128" s="4" t="s">
        <v>914</v>
      </c>
      <c r="B128" s="99">
        <f>(B127*B124+B125)/(B127+B126)</f>
        <v>0.66</v>
      </c>
      <c r="C128" s="14"/>
      <c r="D128" s="14"/>
      <c r="E128" s="4"/>
      <c r="F128" s="4"/>
      <c r="G128" s="4"/>
      <c r="H128" s="4"/>
      <c r="I128" s="4"/>
      <c r="J128" s="4"/>
      <c r="K128" s="4"/>
    </row>
    <row r="129" ht="38.25">
      <c r="A129" s="119" t="s">
        <v>915</v>
      </c>
      <c r="B129" s="97">
        <v>0.03</v>
      </c>
      <c r="C129" s="14" t="s">
        <v>916</v>
      </c>
      <c r="D129" s="14"/>
      <c r="E129" s="4"/>
      <c r="F129" s="4"/>
      <c r="G129" s="4"/>
      <c r="H129" s="4"/>
      <c r="I129" s="4"/>
      <c r="J129" s="4"/>
      <c r="K129" s="4"/>
    </row>
    <row r="130" ht="38.25">
      <c r="A130" s="119" t="s">
        <v>917</v>
      </c>
      <c r="B130" s="97">
        <v>-0.05</v>
      </c>
      <c r="C130" s="14" t="s">
        <v>918</v>
      </c>
      <c r="D130" s="14"/>
      <c r="E130" s="4"/>
      <c r="F130" s="4"/>
      <c r="G130" s="4"/>
      <c r="H130" s="4"/>
      <c r="I130" s="4"/>
      <c r="J130" s="4"/>
      <c r="K130" s="4"/>
    </row>
    <row r="131" ht="27">
      <c r="A131" s="119" t="s">
        <v>919</v>
      </c>
      <c r="B131" s="97">
        <v>-0.04</v>
      </c>
      <c r="C131" s="14" t="s">
        <v>920</v>
      </c>
      <c r="D131" s="14"/>
      <c r="E131" s="4"/>
      <c r="F131" s="4"/>
      <c r="G131" s="4"/>
      <c r="H131" s="4"/>
      <c r="I131" s="4"/>
      <c r="J131" s="4"/>
      <c r="K131" s="4"/>
    </row>
    <row r="132" ht="27">
      <c r="A132" s="119" t="s">
        <v>921</v>
      </c>
      <c r="B132" s="97">
        <v>-0.03</v>
      </c>
      <c r="C132" s="14" t="s">
        <v>922</v>
      </c>
      <c r="D132" s="14"/>
      <c r="E132" s="4"/>
      <c r="F132" s="4"/>
      <c r="G132" s="4"/>
      <c r="H132" s="4"/>
      <c r="I132" s="4"/>
      <c r="J132" s="4"/>
      <c r="K132" s="4"/>
    </row>
    <row r="133" ht="27">
      <c r="A133" s="120" t="s">
        <v>923</v>
      </c>
      <c r="B133" s="105">
        <f>ROUND(B128+B129+B130+B131+B132,3)</f>
        <v>0.57</v>
      </c>
      <c r="C133" s="89" t="s">
        <v>924</v>
      </c>
      <c r="D133" s="89"/>
      <c r="E133" s="90"/>
      <c r="F133" s="90"/>
      <c r="G133" s="90"/>
      <c r="H133" s="7"/>
      <c r="I133" s="7"/>
      <c r="J133" s="7"/>
      <c r="K133" s="7"/>
    </row>
    <row r="134" ht="38.25">
      <c r="A134" s="119" t="s">
        <v>40</v>
      </c>
      <c r="B134" s="108" t="s">
        <v>925</v>
      </c>
      <c r="C134" s="14" t="s">
        <v>926</v>
      </c>
      <c r="D134" s="14"/>
      <c r="E134" s="4"/>
      <c r="F134" s="4"/>
      <c r="G134" s="4"/>
      <c r="H134" s="4"/>
      <c r="I134" s="4"/>
      <c r="J134" s="4"/>
      <c r="K134" s="4"/>
    </row>
    <row r="135">
      <c r="A135" s="4" t="s">
        <v>927</v>
      </c>
      <c r="B135" s="87">
        <f>AVERAGE(J98:J103)</f>
        <v>0.006666666666666617</v>
      </c>
      <c r="C135" s="14" t="s">
        <v>928</v>
      </c>
      <c r="D135" s="14"/>
      <c r="E135" s="4"/>
      <c r="F135" s="4"/>
      <c r="G135" s="4"/>
      <c r="H135" s="4"/>
      <c r="I135" s="4"/>
      <c r="J135" s="4"/>
      <c r="K135" s="4"/>
    </row>
    <row r="136">
      <c r="A136" s="4" t="s">
        <v>929</v>
      </c>
      <c r="B136" s="87">
        <f>STDEV(J98:J103)</f>
        <v>0.16293147844006894</v>
      </c>
      <c r="C136" s="14" t="s">
        <v>581</v>
      </c>
      <c r="D136" s="14"/>
      <c r="E136" s="4"/>
      <c r="F136" s="4"/>
      <c r="G136" s="4"/>
      <c r="H136" s="4"/>
      <c r="I136" s="4"/>
      <c r="J136" s="4"/>
      <c r="K136" s="4"/>
    </row>
    <row r="137">
      <c r="A137" s="4"/>
      <c r="B137" s="14"/>
      <c r="C137" s="14"/>
      <c r="D137" s="14"/>
      <c r="E137" s="4"/>
      <c r="F137" s="4"/>
      <c r="G137" s="4"/>
      <c r="H137" s="4"/>
      <c r="I137" s="4"/>
      <c r="J137" s="4"/>
      <c r="K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</sheetData>
</worksheet>
</file>