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PFNA" sheetId="3" r:id="rId3"/>
    <sheet name="Segment - PBNA" sheetId="4" r:id="rId4"/>
    <sheet name="Segment - IB Franchise" sheetId="5" r:id="rId5"/>
    <sheet name="Segment - EMEA" sheetId="6" r:id="rId6"/>
    <sheet name="Segment - LatAm Foods" sheetId="7" r:id="rId7"/>
    <sheet name="Segment - APAC Foods" sheetId="8" r:id="rId8"/>
    <sheet name="Income Statement" sheetId="9" r:id="rId9"/>
    <sheet name="Balance Sheet" sheetId="10" r:id="rId10"/>
    <sheet name="Cash Flow Statement" sheetId="11" r:id="rId11"/>
    <sheet name="Geo" sheetId="12" r:id="rId12"/>
    <sheet name="Share Count" sheetId="13" r:id="rId13"/>
    <sheet name="Guidance" sheetId="14" r:id="rId14"/>
    <sheet name="Sources" sheetId="15" r:id="rId15"/>
    <sheet name="Inputs" sheetId="16" r:id="rId16"/>
  </sheets>
  <calcPr calcId="0"/>
</workbook>
</file>

<file path=xl/sharedStrings.xml><?xml version="1.0" encoding="utf-8"?>
<sst xmlns="http://schemas.openxmlformats.org/spreadsheetml/2006/main" count="3811" uniqueCount="927">
  <si>
    <t>PepsiCo, Inc. (NasdaqGS: PEP)</t>
  </si>
  <si>
    <t>Cover - Company Model — built by Shortcut</t>
  </si>
  <si>
    <t>$ millions, except per share</t>
  </si>
  <si>
    <t>Period</t>
  </si>
  <si>
    <t>1Q25A</t>
  </si>
  <si>
    <t>2Q25A</t>
  </si>
  <si>
    <t>3Q25A</t>
  </si>
  <si>
    <t>4Q25A</t>
  </si>
  <si>
    <t>FY25A</t>
  </si>
  <si>
    <t>1Q26A</t>
  </si>
  <si>
    <t>2Q26A</t>
  </si>
  <si>
    <t>3Q26E</t>
  </si>
  <si>
    <t>Notes / source</t>
  </si>
  <si>
    <t>Period end</t>
  </si>
  <si>
    <t>Days in period</t>
  </si>
  <si>
    <t>Company Model — built by Shortcut</t>
  </si>
  <si>
    <t>Author: Shortcut. Estimates are Shortcut forecasts from pre-release public evidence.</t>
  </si>
  <si>
    <t>Company profile</t>
  </si>
  <si>
    <t>Company</t>
  </si>
  <si>
    <t>PepsiCo, Inc.</t>
  </si>
  <si>
    <t>Ticker / exchange</t>
  </si>
  <si>
    <t>PEP / NasdaqGS (NasdaqGS:PEP)</t>
  </si>
  <si>
    <t>Fiscal year end</t>
  </si>
  <si>
    <t>Last Saturday of December (FY25 ended 27-Dec-2025)</t>
  </si>
  <si>
    <t>Reporting currency</t>
  </si>
  <si>
    <t>USD</t>
  </si>
  <si>
    <t>EPS basis</t>
  </si>
  <si>
    <t>Core (non-GAAP) diluted EPS = CapIQ normalized diluted EPS</t>
  </si>
  <si>
    <t>Forecast period</t>
  </si>
  <si>
    <t>3Q26: 12 weeks to 5-Sep-2026 (international: Jun-Aug)</t>
  </si>
  <si>
    <t>Information cutoff</t>
  </si>
  <si>
    <t>2026-10-04 22:22 UTC</t>
  </si>
  <si>
    <t>Expected report date</t>
  </si>
  <si>
    <t>2026-10-08 6:00 AM ET (issuer, S15); CapIQ lists 2026-10-14</t>
  </si>
  <si>
    <t>Market cap at cutoff ($m)</t>
  </si>
  <si>
    <t>S24; size bucket large; S&amp;P 500 member (CapIQ: Y)</t>
  </si>
  <si>
    <t>S&amp;P 500 member</t>
  </si>
  <si>
    <t>Headline 3Q26E vs consensus vs guidance</t>
  </si>
  <si>
    <t>Shortcut est.</t>
  </si>
  <si>
    <t>Consensus</t>
  </si>
  <si>
    <t>Variance</t>
  </si>
  <si>
    <t>Guidance mid</t>
  </si>
  <si>
    <t>Consensus = frozen CapIQ snapshot 4-Oct-2026 (S1); PepsiCo gives no quarterly guidance (annual only)</t>
  </si>
  <si>
    <t>Net revenue</t>
  </si>
  <si>
    <t>n/a</t>
  </si>
  <si>
    <t>% vs consensus (E) / % Y/Y (G)</t>
  </si>
  <si>
    <t>Core net income attributable</t>
  </si>
  <si>
    <t>Core diluted EPS (cons. basis)</t>
  </si>
  <si>
    <t>Includes ~$0.081/share (~$144m pre-tax) IEEPA tariff refund booked in PFNA/PBNA core OP (Guidance G40; S14: ~1pt of FY EPS 'likely in the quarter'; S13 cites refunds within core EPS outlook). Forecaster assumption</t>
  </si>
  <si>
    <t>GAAP net income attributable</t>
  </si>
  <si>
    <t>GAAP diluted EPS</t>
  </si>
  <si>
    <t>Memo: FY26 core EPS guidance midpoint</t>
  </si>
  <si>
    <t>Implied by +5% to +7% core EPS growth on $8.14 (S3)</t>
  </si>
  <si>
    <t>Memo: core EPS excl. tariff refund (sensitivity)</t>
  </si>
  <si>
    <t>Sensitivity, not the estimate: if refund is excluded from CapIQ normalized/core EPS or not booked in Q3. Alternative reading of S14 ('one point of EPS benefit ... in the quarter' = 1pt of Q3 growth, ~1% x $2.286 = ~$0.023) gives ~$2.25. Unresolved; verify refund treatment in the comparable normalized actual before scoring</t>
  </si>
  <si>
    <t>P(beat consensus EPS)</t>
  </si>
  <si>
    <t>Size-aware prior (Inputs E) updated for quarter evidence</t>
  </si>
  <si>
    <t>Confidence</t>
  </si>
  <si>
    <t>Consensus detail (CapIQ normalized EPS)</t>
  </si>
  <si>
    <t>Contributors (n)</t>
  </si>
  <si>
    <t>High</t>
  </si>
  <si>
    <t>Low</t>
  </si>
  <si>
    <t>Model integrity</t>
  </si>
  <si>
    <t>Identity: EPS link vs IS (= 0)</t>
  </si>
  <si>
    <t>Identity: revenue link vs IS (= 0)</t>
  </si>
  <si>
    <t>Check tolerance ($m)</t>
  </si>
  <si>
    <t>Rounding tolerance for $m check rows</t>
  </si>
  <si>
    <t>Check tolerance (per share)</t>
  </si>
  <si>
    <t>Rounding tolerance for per-share check rows</t>
  </si>
  <si>
    <t>Historical ties to filings (1Q25A-2Q26A, FY25A)</t>
  </si>
  <si>
    <t>PASS = historical check rows (C:I) tie to filed values within tolerance. Genuine data checks; says nothing about 3Q26E forecast accuracy</t>
  </si>
  <si>
    <t>Forecast &amp; internal identities (not validation)</t>
  </si>
  <si>
    <t>3Q26E check cells and identity rows (Revenue summary 78/103, CF 108, rows 46-47) are zero by construction; OK means formulas are linked, not that the forecast is validated</t>
  </si>
  <si>
    <t>Revenue summary</t>
  </si>
  <si>
    <t>Net revenue by reportable segment</t>
  </si>
  <si>
    <t>PFNA net revenue</t>
  </si>
  <si>
    <t>Link: Segment - PFNA</t>
  </si>
  <si>
    <t>% Y/Y</t>
  </si>
  <si>
    <t>% Q/Q</t>
  </si>
  <si>
    <t>% of total revenue</t>
  </si>
  <si>
    <t>Mix change Y/Y (bp)</t>
  </si>
  <si>
    <t>PBNA net revenue</t>
  </si>
  <si>
    <t>Link: Segment - PBNA</t>
  </si>
  <si>
    <t>IB Franchise net revenue</t>
  </si>
  <si>
    <t>Link: Segment - IB Franchise</t>
  </si>
  <si>
    <t>EMEA net revenue</t>
  </si>
  <si>
    <t>Link: Segment - EMEA</t>
  </si>
  <si>
    <t>LatAm Foods net revenue</t>
  </si>
  <si>
    <t>Link: Segment - LatAm Foods</t>
  </si>
  <si>
    <t>Asia Pacific Foods net revenue</t>
  </si>
  <si>
    <t>Link: Segment - APAC Foods</t>
  </si>
  <si>
    <t>Total net revenue</t>
  </si>
  <si>
    <t>Prior-year total net revenue</t>
  </si>
  <si>
    <t>Q/Q not day-adjusted: 4Q = 16 weeks (112 days) vs 12-week quarters; international segments report calendar months (3Q = Jun-Aug)</t>
  </si>
  <si>
    <t>Q/Q change ($m)</t>
  </si>
  <si>
    <t>Check: segments vs IS (= 0)</t>
  </si>
  <si>
    <t>Historical: ties to reported IS revenue. 3Q26E: identity (IS J10 links to J40)</t>
  </si>
  <si>
    <t>Total company growth decomposition</t>
  </si>
  <si>
    <t>Organic revenue</t>
  </si>
  <si>
    <t>FX translation impact</t>
  </si>
  <si>
    <t>Acquisitions &amp; structural impact</t>
  </si>
  <si>
    <t>Prior-year divestitures</t>
  </si>
  <si>
    <t>Organic + FX + M&amp;A (= total)</t>
  </si>
  <si>
    <t>Total Y/Y growth</t>
  </si>
  <si>
    <t>M&amp;A / structural contribution</t>
  </si>
  <si>
    <t>FX contribution</t>
  </si>
  <si>
    <t>Organic growth (formula)</t>
  </si>
  <si>
    <t>Memo: organic growth as disclosed</t>
  </si>
  <si>
    <t>Release A-8 organic table total (whole/half-point rounding; FY25 shows 2). S5 headline FY25 organic = 1.7% ($93,427/$91,848); model formula G56 = 1.71%. 3Q26E = organic $ / PY organic base - 1</t>
  </si>
  <si>
    <t>Y/Y change (bp)</t>
  </si>
  <si>
    <t>Q/Q change (bp)</t>
  </si>
  <si>
    <t>North America vs International (segment subtotals)</t>
  </si>
  <si>
    <t>North America (PFNA + PBNA)</t>
  </si>
  <si>
    <t>Prior-year North America</t>
  </si>
  <si>
    <t>North America organic growth</t>
  </si>
  <si>
    <t>(1+Y/Y)/((1+M&amp;A)(1+FX))-1</t>
  </si>
  <si>
    <t>International (4 segments)</t>
  </si>
  <si>
    <t>Prior-year International</t>
  </si>
  <si>
    <t>International organic growth</t>
  </si>
  <si>
    <t>Check: NA + Intl vs total (= 0)</t>
  </si>
  <si>
    <t>Identity/consistency row: NA and International subtotals are built from the same segments</t>
  </si>
  <si>
    <t>Beverages vs convenient foods (10-Q/10-K disaggregation)</t>
  </si>
  <si>
    <t>NA: beverages % of revenue</t>
  </si>
  <si>
    <t>Disclosed % (S10,S9,S11,S12; rounded). 4Q25 derived = FY less 9M, so FY/quarter rounding lands in 4Q (approx. +/-1.7pp on F81). 3Q26E = 3Q25 mix (assumption)</t>
  </si>
  <si>
    <t>NA beverages revenue (derived)</t>
  </si>
  <si>
    <t>Category M&amp;A/FX split not disclosed: organic decomposition unavailable</t>
  </si>
  <si>
    <t>NA conv. foods revenue (derived)</t>
  </si>
  <si>
    <t>Intl: beverages % of revenue</t>
  </si>
  <si>
    <t>Disclosed % (S10,S9,S11,S12; rounded). 4Q25 derived = FY less 9M, so FY/quarter rounding lands in 4Q (approx. +/-1.5pp on F88). 3Q26E = 3Q25 mix (assumption)</t>
  </si>
  <si>
    <t>Intl beverages revenue (derived)</t>
  </si>
  <si>
    <t>Intl conv. foods revenue (derived)</t>
  </si>
  <si>
    <t>Total beverages revenue (derived)</t>
  </si>
  <si>
    <t>Sum of NA and International derived beverage revenue</t>
  </si>
  <si>
    <t>Total conv. foods revenue (derived)</t>
  </si>
  <si>
    <t>Total: beverages % of revenue</t>
  </si>
  <si>
    <t>Derived from the NA + International split</t>
  </si>
  <si>
    <t>Memo: total bev. %, disclosed</t>
  </si>
  <si>
    <t>Rounded disclosure; 4Q25 not disclosed</t>
  </si>
  <si>
    <t>Check: bev. + foods vs total (= 0)</t>
  </si>
  <si>
    <t>Identity by construction: foods = total less derived beverages</t>
  </si>
  <si>
    <t>Segment - PepsiCo Foods North America (PFNA)</t>
  </si>
  <si>
    <t>Revenue build: organic ladder</t>
  </si>
  <si>
    <t>Prior-year reported net revenue</t>
  </si>
  <si>
    <t>2025 cols: PY column of organic table (S3-S8); 2026 cols link to same-tab 2025 actuals</t>
  </si>
  <si>
    <t>Less: prior-year divestitures</t>
  </si>
  <si>
    <t>Organic table "Impact of divestitures"; 3Q26E = 1H26 average (assumption)</t>
  </si>
  <si>
    <t>Prior-year organic base</t>
  </si>
  <si>
    <t>Organic volume impact (pp)</t>
  </si>
  <si>
    <t>Organic table "Organic volume change"; 3Q26E assumption</t>
  </si>
  <si>
    <t>Effective net pricing (pp)</t>
  </si>
  <si>
    <t>Organic table "Effective net pricing"; 3Q26E assumption</t>
  </si>
  <si>
    <t>Organic growth, as disclosed</t>
  </si>
  <si>
    <t>Disclosed (rounded); 3Q26E = volume + pricing</t>
  </si>
  <si>
    <t>Reported less FX less acquisitions (release definition)</t>
  </si>
  <si>
    <t>Organic growth, calculated</t>
  </si>
  <si>
    <t>Organic table FX line, sign flipped (+ = benefit); 3Q26E = PY rev x FX pp</t>
  </si>
  <si>
    <t>FX impact (pp of PY revenue)</t>
  </si>
  <si>
    <t>3Q26E assumption from Fed G.5 Jun-Aug 2026 vs 2025 averages (S16-S18)</t>
  </si>
  <si>
    <t>Organic table acquisitions/structural line, sign flipped (+ = benefit)</t>
  </si>
  <si>
    <t>Acq./structural (pp of PY rev.)</t>
  </si>
  <si>
    <t>3Q26E assumption</t>
  </si>
  <si>
    <t>Reported net revenue</t>
  </si>
  <si>
    <t>Reported (S3-S8); 3Q26E = organic + FX + acquisitions</t>
  </si>
  <si>
    <t>Growth decomposition</t>
  </si>
  <si>
    <t>Organic: formula vs disclosed (bp)</t>
  </si>
  <si>
    <t>Gap reflects rounding of disclosed % and multiplicative vs additive convention</t>
  </si>
  <si>
    <t>Unit volume (excludes M&amp;A; disclosed)</t>
  </si>
  <si>
    <t>Conv. foods unit volume growth</t>
  </si>
  <si>
    <t>Release summary table "Volume % change"; 3Q26E set equal to organic volume assumption</t>
  </si>
  <si>
    <t>Segment profit (core, non-GAAP)</t>
  </si>
  <si>
    <t>Core cost of sales</t>
  </si>
  <si>
    <t>"Certain line items by segment" tables (S3-S8)</t>
  </si>
  <si>
    <t>Core gross profit</t>
  </si>
  <si>
    <t>Core gross margin</t>
  </si>
  <si>
    <t>Core SG&amp;A</t>
  </si>
  <si>
    <t>Core SG&amp;A % of revenue</t>
  </si>
  <si>
    <t>Share of total tariff refund</t>
  </si>
  <si>
    <t>Assumed allocation of the refund between PBNA and PFNA (not disclosed)</t>
  </si>
  <si>
    <t>IEEPA tariff refund in core OP</t>
  </si>
  <si>
    <t>Not separately disclosed historically. 3Q26E: mgmt ~1pt FY EPS from refunds "likely in the quarter" (S14); split PBNA/PFNA assumed</t>
  </si>
  <si>
    <t>Core operating profit</t>
  </si>
  <si>
    <t>Core GP less core SG&amp;A (ties to release core OP)</t>
  </si>
  <si>
    <t>Core operating margin</t>
  </si>
  <si>
    <t>Prior-year core operating profit</t>
  </si>
  <si>
    <t>2025 cols: PY segment tables in S5-S8 releases; 2026 cols link to 2025 actuals</t>
  </si>
  <si>
    <t>Prior-year core operating margin</t>
  </si>
  <si>
    <t>FX translation impact on core OP</t>
  </si>
  <si>
    <t>Sign flipped (+ = benefit); 3Q26E = PY core OP x revenue FX pp</t>
  </si>
  <si>
    <t>Core constant-currency OP</t>
  </si>
  <si>
    <t>Core constant-currency OP growth</t>
  </si>
  <si>
    <t>Items affecting comparability (pre-tax; + = charge)</t>
  </si>
  <si>
    <t>Restructuring &amp; impairment</t>
  </si>
  <si>
    <t>3Q26E = 1H26 quarterly average (assumption)</t>
  </si>
  <si>
    <t>Acquisition &amp; divestiture-related</t>
  </si>
  <si>
    <t>3Q26E: none assumed (not forecastable; explicit assumption)</t>
  </si>
  <si>
    <t>Impairment &amp; other charges</t>
  </si>
  <si>
    <t>Indirect &amp; income tax impact</t>
  </si>
  <si>
    <t>Pension &amp; retiree medical-related</t>
  </si>
  <si>
    <t>Total items</t>
  </si>
  <si>
    <t>Reported operating profit</t>
  </si>
  <si>
    <t>Reported operating margin</t>
  </si>
  <si>
    <t>Memo: reported OP as filed</t>
  </si>
  <si>
    <t>Release segment tables</t>
  </si>
  <si>
    <t>Check: vs filed (= 0)</t>
  </si>
  <si>
    <t>Segment - PepsiCo Beverages North America (PBNA)</t>
  </si>
  <si>
    <t>3Q26E assumption; Alani Nu distribution (Celsius deal 28-Aug-2025, S27) still structural</t>
  </si>
  <si>
    <t>Beverage unit volume growth</t>
  </si>
  <si>
    <t>Segment - International Beverages Franchise (IB Franchise)</t>
  </si>
  <si>
    <t>Segment - Europe, Middle East and Africa (EMEA)</t>
  </si>
  <si>
    <t>Category split (10-Q / 10-K disaggregation)</t>
  </si>
  <si>
    <t>Beverages % of EMEA revenue</t>
  </si>
  <si>
    <t>S10/S9/S11/S12 disaggregation notes; 4Q25 derived from FY less 9M (rounded FY 37% =&gt; approx. +/-1.5pp on F54); 3Q26E = 3Q25 mix</t>
  </si>
  <si>
    <t>EMEA beverages rev. (derived)</t>
  </si>
  <si>
    <t>EMEA foods revenue (derived)</t>
  </si>
  <si>
    <t>EMEA revenue (beverages + foods)</t>
  </si>
  <si>
    <t>Segment - Latin America Foods (LatAm Foods)</t>
  </si>
  <si>
    <t>Segment - Asia Pacific Foods (Asia Pacific Foods)</t>
  </si>
  <si>
    <t>Income Statement</t>
  </si>
  <si>
    <t>Reported (GAAP)</t>
  </si>
  <si>
    <t>Reported (S3-S8); 3Q26E link Revenue summary</t>
  </si>
  <si>
    <t>Cost of sales</t>
  </si>
  <si>
    <t>3Q26E = sum of segment core COGS (segment-core basis; excludes corporate/MTM/indirect-tax COGS that sit in GAAP history). Gross margin and SG&amp;A split not comparable to history; OP and EPS unaffected</t>
  </si>
  <si>
    <t>3Q26E n/a: basis differs (segment-core COGS vs GAAP history; 3Q25 segment-core COGS 11,033 vs GAAP 11,113)</t>
  </si>
  <si>
    <t>Gross profit</t>
  </si>
  <si>
    <t>Gross margin</t>
  </si>
  <si>
    <t>3Q26E n/a: basis differs (segment-core COGS vs GAAP history)</t>
  </si>
  <si>
    <t>Selling, general &amp; administrative</t>
  </si>
  <si>
    <t>3Q26E derived plug: gross profit less impairment less operating profit build (absorbs corporate unallocated and tariff refund; not GAAP-comparable)</t>
  </si>
  <si>
    <t>SG&amp;A % of revenue</t>
  </si>
  <si>
    <t>3Q26E n/a: SG&amp;A is a plug on a different basis from history</t>
  </si>
  <si>
    <t>Impairment of intangible assets</t>
  </si>
  <si>
    <t>3Q26E: none assumed</t>
  </si>
  <si>
    <t>Operating profit</t>
  </si>
  <si>
    <t>3Q26E = operating profit build below</t>
  </si>
  <si>
    <t>Operating margin</t>
  </si>
  <si>
    <t>Other pension &amp; retiree medical</t>
  </si>
  <si>
    <t>Net interest expense &amp; other</t>
  </si>
  <si>
    <t>3Q26E assumption (1H26 avg -266; 3Q25 -264; higher debt)</t>
  </si>
  <si>
    <t>Income before income taxes</t>
  </si>
  <si>
    <t>Provision for income taxes</t>
  </si>
  <si>
    <t>3Q26E = core tax less tax benefit on items</t>
  </si>
  <si>
    <t>Effective tax rate</t>
  </si>
  <si>
    <t>Net income</t>
  </si>
  <si>
    <t>Less: noncontrolling interests</t>
  </si>
  <si>
    <t>Net income attributable to PepsiCo</t>
  </si>
  <si>
    <t>Net margin</t>
  </si>
  <si>
    <t>Weighted-average basic shares</t>
  </si>
  <si>
    <t>Link: Share Count</t>
  </si>
  <si>
    <t>Weighted-average diluted shares</t>
  </si>
  <si>
    <t>Basic EPS (GAAP)</t>
  </si>
  <si>
    <t>Diluted EPS (GAAP)</t>
  </si>
  <si>
    <t>Memo: diluted EPS as reported</t>
  </si>
  <si>
    <t>Check: EPS = NI / shares (= 0)</t>
  </si>
  <si>
    <t>Operating profit build (links to segment tabs)</t>
  </si>
  <si>
    <t>Core OP: PFNA</t>
  </si>
  <si>
    <t>Core OP: PBNA</t>
  </si>
  <si>
    <t>Core OP: IB Franchise</t>
  </si>
  <si>
    <t>Core OP: EMEA</t>
  </si>
  <si>
    <t>Core OP: LatAm Foods</t>
  </si>
  <si>
    <t>Core OP: Asia Pacific Foods</t>
  </si>
  <si>
    <t>Core corporate unallocated</t>
  </si>
  <si>
    <t>Release segment tables; 3Q26E assumption (3Q25 -406; 2Q26 -453)</t>
  </si>
  <si>
    <t>Total core operating profit</t>
  </si>
  <si>
    <t>Memo: total core OP as reported</t>
  </si>
  <si>
    <t>Check: build vs reported (= 0)</t>
  </si>
  <si>
    <t>Reported OP: PFNA</t>
  </si>
  <si>
    <t>Reported OP: PBNA</t>
  </si>
  <si>
    <t>Reported OP: IB Franchise</t>
  </si>
  <si>
    <t>Reported OP: EMEA</t>
  </si>
  <si>
    <t>Reported OP: LatAm Foods</t>
  </si>
  <si>
    <t>Reported OP: Asia Pacific Foods</t>
  </si>
  <si>
    <t>Corporate: mark-to-market</t>
  </si>
  <si>
    <t>3Q26E MTM: not forecast (commodity MTM unpredictable) = 0</t>
  </si>
  <si>
    <t>Corporate: restructuring</t>
  </si>
  <si>
    <t>3Q26E = 1H26 average</t>
  </si>
  <si>
    <t>Corporate: other items</t>
  </si>
  <si>
    <t>3Q26E none assumed</t>
  </si>
  <si>
    <t>Reported corporate unallocated</t>
  </si>
  <si>
    <t>Total reported operating profit</t>
  </si>
  <si>
    <t>Check: build vs P&amp;L OP (= 0)</t>
  </si>
  <si>
    <t>Historical: segment build ties to reported P&amp;L OP. 3Q26E: identity by construction (J24 = J81), not a validation</t>
  </si>
  <si>
    <t>GAAP to core (non-GAAP) bridge</t>
  </si>
  <si>
    <t>Pre-tax: mark-to-market</t>
  </si>
  <si>
    <t>Pre-tax: restructuring</t>
  </si>
  <si>
    <t>Pre-tax: acq. &amp; divestiture</t>
  </si>
  <si>
    <t>Pre-tax: impairment &amp; other</t>
  </si>
  <si>
    <t>Pre-tax: indirect &amp; income tax</t>
  </si>
  <si>
    <t>Pre-tax: pension-related (in OP)</t>
  </si>
  <si>
    <t>Pre-tax: other corporate items</t>
  </si>
  <si>
    <t>Total pre-tax items</t>
  </si>
  <si>
    <t>Check: items (= 0)</t>
  </si>
  <si>
    <t>Tax rate applied to forecast items</t>
  </si>
  <si>
    <t>3Q26E assumption (1H26 restructuring tax ~21%)</t>
  </si>
  <si>
    <t>Tax effect of items (forecast)</t>
  </si>
  <si>
    <t>Net income attributable (GAAP)</t>
  </si>
  <si>
    <t>+ Mark-to-market (after tax)</t>
  </si>
  <si>
    <t>EPS reconciliation tables (S3-S8), NI column; 3Q26E = pre-tax x (1 - tax rate)</t>
  </si>
  <si>
    <t>+ Restructuring (after tax)</t>
  </si>
  <si>
    <t>+ Acq. &amp; divestiture (after tax)</t>
  </si>
  <si>
    <t>+ Impairment &amp; other (after tax)</t>
  </si>
  <si>
    <t>+ Indirect/income tax (after tax)</t>
  </si>
  <si>
    <t>+ Pension-related (after tax)</t>
  </si>
  <si>
    <t>Memo: core net income as reported</t>
  </si>
  <si>
    <t>Check: bridge (= 0)</t>
  </si>
  <si>
    <t>+ Mark-to-market per share</t>
  </si>
  <si>
    <t>+ Restructuring per share</t>
  </si>
  <si>
    <t>+ Acq. &amp; divestiture per share</t>
  </si>
  <si>
    <t>+ Impairment &amp; other per share</t>
  </si>
  <si>
    <t>+ Indirect/income tax per share</t>
  </si>
  <si>
    <t>+ Pension-related per share</t>
  </si>
  <si>
    <t>Core diluted EPS (bridge)</t>
  </si>
  <si>
    <t>Core P&amp;L - EPS on consensus basis (CapIQ "normalized" = PepsiCo core)</t>
  </si>
  <si>
    <t>Core other pension income</t>
  </si>
  <si>
    <t>EPS reconciliation core column; 3Q26E = 1H26 run-rate (59/qtr)</t>
  </si>
  <si>
    <t>Core income before taxes</t>
  </si>
  <si>
    <t>Core provision for income taxes</t>
  </si>
  <si>
    <t>EPS reconciliation core column</t>
  </si>
  <si>
    <t>Core effective tax rate</t>
  </si>
  <si>
    <t>3Q26E assumption: FY26 guide ~22%, 1H26 21.6%, mgmt flagged higher Q3 rate Y/Y (S3,S14)</t>
  </si>
  <si>
    <t>Core diluted EPS</t>
  </si>
  <si>
    <t>Primary estimate basis (CapIQ normalized diluted EPS)</t>
  </si>
  <si>
    <t>Memo: core EPS as reported</t>
  </si>
  <si>
    <t>Check: core EPS (= 0)</t>
  </si>
  <si>
    <t>Prior-year comparatives (memo)</t>
  </si>
  <si>
    <t>Prior-year net revenue</t>
  </si>
  <si>
    <t>Link: Revenue summary (sum of segment prior-year revenue)</t>
  </si>
  <si>
    <t>2025 cols: prior-year columns of S5-S8 releases; 2026 cols link to 2025 actuals</t>
  </si>
  <si>
    <t>Prior-year diluted EPS (GAAP)</t>
  </si>
  <si>
    <t>Prior-year core diluted EPS</t>
  </si>
  <si>
    <t>Consensus history (CapIQ, linked from Inputs)</t>
  </si>
  <si>
    <t>Consensus normalized EPS (CapIQ)</t>
  </si>
  <si>
    <t>Inputs (S1/S2). 3Q26E = frozen 4-Oct-2026 mean, n=17</t>
  </si>
  <si>
    <t>CapIQ normalized EPS actual</t>
  </si>
  <si>
    <t>Check: core EPS vs CapIQ (= 0)</t>
  </si>
  <si>
    <t>Core EPS surprise vs consensus ($)</t>
  </si>
  <si>
    <t>Consensus revenue (CapIQ)</t>
  </si>
  <si>
    <t>Inputs (S1/S2)</t>
  </si>
  <si>
    <t>Revenue surprise vs consensus</t>
  </si>
  <si>
    <t>Consensus GAAP EPS (CapIQ)</t>
  </si>
  <si>
    <t>CapIQ GAAP EPS actual</t>
  </si>
  <si>
    <t>Check: GAAP EPS vs CapIQ (= 0)</t>
  </si>
  <si>
    <t>Balance Sheet</t>
  </si>
  <si>
    <t>Assets</t>
  </si>
  <si>
    <t>Cash and cash equivalents</t>
  </si>
  <si>
    <t>Releases S3-S8 (period-end); FY25 = 4Q25; 3Q26E rolled forward with CF</t>
  </si>
  <si>
    <t>Short-term investments</t>
  </si>
  <si>
    <t>Accounts and notes receivable, net</t>
  </si>
  <si>
    <t>Raw materials &amp; packaging</t>
  </si>
  <si>
    <t>Work-in-process</t>
  </si>
  <si>
    <t>Finished goods</t>
  </si>
  <si>
    <t>3Q26E: inventory change applied to finished goods</t>
  </si>
  <si>
    <t>Total inventories</t>
  </si>
  <si>
    <t>Prepaid expenses &amp; other current</t>
  </si>
  <si>
    <t>Total current assets</t>
  </si>
  <si>
    <t>Property, plant &amp; equipment, net</t>
  </si>
  <si>
    <t>Amortizable intangible assets, net</t>
  </si>
  <si>
    <t>Goodwill</t>
  </si>
  <si>
    <t>Other indefinite-lived intangibles</t>
  </si>
  <si>
    <t>Equity-method investments</t>
  </si>
  <si>
    <t>Deferred income taxes (asset)</t>
  </si>
  <si>
    <t>Other assets</t>
  </si>
  <si>
    <t>Total assets</t>
  </si>
  <si>
    <t>Memo: total assets as reported</t>
  </si>
  <si>
    <t>Check: assets vs reported (= 0)</t>
  </si>
  <si>
    <t>Liabilities</t>
  </si>
  <si>
    <t>Short-term debt obligations</t>
  </si>
  <si>
    <t>Payables &amp; other current liab.</t>
  </si>
  <si>
    <t>Total current liabilities</t>
  </si>
  <si>
    <t>Long-term debt obligations</t>
  </si>
  <si>
    <t>Deferred income taxes (liability)</t>
  </si>
  <si>
    <t>Other liabilities</t>
  </si>
  <si>
    <t>Total liabilities</t>
  </si>
  <si>
    <t>Equity</t>
  </si>
  <si>
    <t>Common stock</t>
  </si>
  <si>
    <t>Capital in excess of par value</t>
  </si>
  <si>
    <t>Retained earnings</t>
  </si>
  <si>
    <t>Accumulated OCI</t>
  </si>
  <si>
    <t>Repurchased common stock</t>
  </si>
  <si>
    <t>Total PepsiCo shareholders’ equity</t>
  </si>
  <si>
    <t>Noncontrolling interests</t>
  </si>
  <si>
    <t>Total equity</t>
  </si>
  <si>
    <t>Total liabilities &amp; equity</t>
  </si>
  <si>
    <t>Check: A - L - E (= 0)</t>
  </si>
  <si>
    <t>Leverage and working capital</t>
  </si>
  <si>
    <t>Net debt</t>
  </si>
  <si>
    <t>Short- plus long-term debt less cash and short-term investments</t>
  </si>
  <si>
    <t>Trade working capital</t>
  </si>
  <si>
    <t>Cash Flow Statement</t>
  </si>
  <si>
    <t>Quarterly cash flow (12/16-week periods; derived as YTD less prior YTD)</t>
  </si>
  <si>
    <t>Operating activities</t>
  </si>
  <si>
    <t>3Q26E linked to model</t>
  </si>
  <si>
    <t>Depreciation &amp; amortization</t>
  </si>
  <si>
    <t>3Q26E: nil assumed (explicit)</t>
  </si>
  <si>
    <t>Product recall impact</t>
  </si>
  <si>
    <t>Recall cash payments</t>
  </si>
  <si>
    <t>3Q26E: nil assumed (explicit). 3Q25 derived -5 mixes bases: S6 original YTD (-5) less S3 restated 2Q25 YTD (recall merged into Other, net); consistent basis approx. -3</t>
  </si>
  <si>
    <t>Lease ROU amortization</t>
  </si>
  <si>
    <t>3Q26E = 2Q26 run-rate</t>
  </si>
  <si>
    <t>Share-based compensation</t>
  </si>
  <si>
    <t>Restructuring cash paid</t>
  </si>
  <si>
    <t>3Q26E = 3Q25 seasonal analog</t>
  </si>
  <si>
    <t>Acq. &amp; divest. charges</t>
  </si>
  <si>
    <t>Acq./divest. cash paid</t>
  </si>
  <si>
    <t>3Q26E = 3Q25 analog (-22): cash settlement of acquisition/divestiture charges accrued in prior periods (FY25 charges 453 vs cash paid 228, rows 173-174), not a new charge (J30 = 0). Pending accrued balance and non-cash share of prior charges not disclosed: assumption, no EPS effect</t>
  </si>
  <si>
    <t>Pension expense</t>
  </si>
  <si>
    <t>Pension contributions</t>
  </si>
  <si>
    <t>Deferred &amp; other taxes</t>
  </si>
  <si>
    <t>Tax payments: TCJ Act</t>
  </si>
  <si>
    <t>Change: receivables</t>
  </si>
  <si>
    <t>Change: inventories</t>
  </si>
  <si>
    <t>Change: prepaid</t>
  </si>
  <si>
    <t>Change: payables</t>
  </si>
  <si>
    <t>Change: taxes payable</t>
  </si>
  <si>
    <t>Other, net</t>
  </si>
  <si>
    <t>3Q26E = 3Q25 seasonal analog. 3Q25 derived across bases (S6 original YTD less S3 restated 2Q25 YTD); on a consistent S6 basis 3Q25 Other, net is approx. -143 vs -141 used. Not adjusted: restated 3Q25 comparatives not yet filed</t>
  </si>
  <si>
    <t>Net cash from operating activities</t>
  </si>
  <si>
    <t>Investing activities</t>
  </si>
  <si>
    <t>Capital spending</t>
  </si>
  <si>
    <t>Sales of PP&amp;E</t>
  </si>
  <si>
    <t>Acquisitions &amp; investments</t>
  </si>
  <si>
    <t>Divestitures</t>
  </si>
  <si>
    <t>3Q26E: nil assumed (explicit). 2Q25 YTD divestitures/other investing kept on original S7 basis while S3 restated merges them; 3Q25 derived lines unaffected in total</t>
  </si>
  <si>
    <t>ST investments &gt;3m: purchases</t>
  </si>
  <si>
    <t>ST investments &gt;3m: maturities</t>
  </si>
  <si>
    <t>ST investments &gt;3m: sales</t>
  </si>
  <si>
    <t>ST investments &lt;=3m, net</t>
  </si>
  <si>
    <t>Other investing, net</t>
  </si>
  <si>
    <t>Net cash from investing activities</t>
  </si>
  <si>
    <t>Financing activities</t>
  </si>
  <si>
    <t>Proceeds: long-term debt</t>
  </si>
  <si>
    <t>Payments: long-term debt</t>
  </si>
  <si>
    <t>ST borrowings &gt;3m: proceeds</t>
  </si>
  <si>
    <t>ST borrowings &gt;3m: payments</t>
  </si>
  <si>
    <t>ST borrowings &lt;=3m, net</t>
  </si>
  <si>
    <t>Cash dividends paid</t>
  </si>
  <si>
    <t>Share repurchases</t>
  </si>
  <si>
    <t>Stock option proceeds</t>
  </si>
  <si>
    <t>Withholding tax on RSU/PSU</t>
  </si>
  <si>
    <t>Other financing</t>
  </si>
  <si>
    <t>Net cash from financing activities</t>
  </si>
  <si>
    <t>FX effect on cash</t>
  </si>
  <si>
    <t>Net change in cash</t>
  </si>
  <si>
    <t>Cash &amp; restricted, beginning</t>
  </si>
  <si>
    <t>Cash &amp; restricted, end</t>
  </si>
  <si>
    <t>Memo: ending cash reported</t>
  </si>
  <si>
    <t>Check: vs reported (= 0)</t>
  </si>
  <si>
    <t>Free cash flow</t>
  </si>
  <si>
    <t>Cash tie to Balance Sheet</t>
  </si>
  <si>
    <t>Balance sheet cash &amp; equivalents</t>
  </si>
  <si>
    <t>Restricted cash (derived)</t>
  </si>
  <si>
    <t>Restricted cash is held in other assets; derived</t>
  </si>
  <si>
    <t>Identity: cash tie to BS (= 0 by construction)</t>
  </si>
  <si>
    <t>Not an independent check: restricted cash (row 107) is derived as CF ending cash less BS cash. Real historical tie is row 101</t>
  </si>
  <si>
    <t>Restricted cash tolerance ($m)</t>
  </si>
  <si>
    <t>Assumption: band for the derived restricted-cash check</t>
  </si>
  <si>
    <t>Check: restricted cash band</t>
  </si>
  <si>
    <t>0 = pass; 3Q26E restricted cash held flat by construction</t>
  </si>
  <si>
    <t>Capital spending and D&amp;A by segment (10-Q/10-K segment note)</t>
  </si>
  <si>
    <t>Capital spending: PFNA</t>
  </si>
  <si>
    <t>4Q25 derived = FY (10-K) less 9M; 3Q26E = 3Q25 analog</t>
  </si>
  <si>
    <t>Capital spending: PBNA</t>
  </si>
  <si>
    <t>3Q26E = 3Q25 analog</t>
  </si>
  <si>
    <t>Capital spending: IB Franchise</t>
  </si>
  <si>
    <t>Capital spending: EMEA</t>
  </si>
  <si>
    <t>Capital spending: LatAm Foods</t>
  </si>
  <si>
    <t>Capital spending: Asia Pacific Foods</t>
  </si>
  <si>
    <t>Capital spending: Corporate</t>
  </si>
  <si>
    <t>Total capital spending</t>
  </si>
  <si>
    <t>Check: capex vs CF (= 0)</t>
  </si>
  <si>
    <t>Historical: segment capex ties to CF. 3Q26E: identity (J64 = -J134)</t>
  </si>
  <si>
    <t>Capex % of net revenue</t>
  </si>
  <si>
    <t>FY26 guide: below 5% (S3)</t>
  </si>
  <si>
    <t>D&amp;A: PFNA</t>
  </si>
  <si>
    <t>4Q25 derived = FY (10-K) less 9M; 3Q26E = 2Q26 run-rate</t>
  </si>
  <si>
    <t>D&amp;A: PBNA</t>
  </si>
  <si>
    <t>D&amp;A: IB Franchise</t>
  </si>
  <si>
    <t>D&amp;A: EMEA</t>
  </si>
  <si>
    <t>D&amp;A: LatAm Foods</t>
  </si>
  <si>
    <t>D&amp;A: Asia Pacific Foods</t>
  </si>
  <si>
    <t>D&amp;A: Corporate</t>
  </si>
  <si>
    <t>Total D&amp;A</t>
  </si>
  <si>
    <t>Check: D&amp;A vs CF (= 0)</t>
  </si>
  <si>
    <t>Historical: segment D&amp;A ties to CF. 3Q26E: identity (J14 = J160)</t>
  </si>
  <si>
    <t>Year-to-date cash flow as reported (12/24/36/52 weeks)</t>
  </si>
  <si>
    <t>Net income (YTD)</t>
  </si>
  <si>
    <t>S8(restated in S4)/S7(restated in S3)/S6/S5/S4/S3; lines absent from a filing = nil. Mixed bases: 1Q25/2Q25 operating lines restated (recall and acq./divest. split from Other, net), 3Q25/FY25 original; derived 3Q25/4Q25 line items carry small reclassification error (approx. 2-5m per line), totals tie (row 208)</t>
  </si>
  <si>
    <t>D&amp;A (YTD)</t>
  </si>
  <si>
    <t>S8(restated in S4)/S7(restated in S3)/S6/S5/S4/S3; lines absent from a filing = nil</t>
  </si>
  <si>
    <t>Impairment &amp; other (YTD)</t>
  </si>
  <si>
    <t>Product recall impact (YTD)</t>
  </si>
  <si>
    <t>Recall cash payments (YTD)</t>
  </si>
  <si>
    <t>Lease ROU amortization (YTD)</t>
  </si>
  <si>
    <t>Share-based compensation (YTD)</t>
  </si>
  <si>
    <t>Restructuring charges (YTD)</t>
  </si>
  <si>
    <t>Restructuring cash paid (YTD)</t>
  </si>
  <si>
    <t>Acq. &amp; divest. charges (YTD)</t>
  </si>
  <si>
    <t>Acq./divest. cash paid (YTD)</t>
  </si>
  <si>
    <t>Pension expense (YTD)</t>
  </si>
  <si>
    <t>Pension contributions (YTD)</t>
  </si>
  <si>
    <t>Deferred &amp; other taxes (YTD)</t>
  </si>
  <si>
    <t>Tax payments: TCJ Act (YTD)</t>
  </si>
  <si>
    <t>Change: receivables (YTD)</t>
  </si>
  <si>
    <t>Change: inventories (YTD)</t>
  </si>
  <si>
    <t>Change: prepaid (YTD)</t>
  </si>
  <si>
    <t>Change: payables (YTD)</t>
  </si>
  <si>
    <t>Change: taxes payable (YTD)</t>
  </si>
  <si>
    <t>Other, net (YTD)</t>
  </si>
  <si>
    <t>Capital spending (YTD)</t>
  </si>
  <si>
    <t>Sales of PP&amp;E (YTD)</t>
  </si>
  <si>
    <t>Acquisitions &amp; investments (YTD)</t>
  </si>
  <si>
    <t>Divestitures (YTD)</t>
  </si>
  <si>
    <t>ST inv. &gt;3m: purchases (YTD)</t>
  </si>
  <si>
    <t>ST inv. &gt;3m: maturities (YTD)</t>
  </si>
  <si>
    <t>ST inv. &gt;3m: sales (YTD)</t>
  </si>
  <si>
    <t>ST inv. &lt;=3m, net (YTD)</t>
  </si>
  <si>
    <t>Other investing, net (YTD)</t>
  </si>
  <si>
    <t>Proceeds: long-term debt (YTD)</t>
  </si>
  <si>
    <t>Payments: long-term debt (YTD)</t>
  </si>
  <si>
    <t>ST debt &gt;3m: proceeds (YTD)</t>
  </si>
  <si>
    <t>ST debt &gt;3m: payments (YTD)</t>
  </si>
  <si>
    <t>ST debt &lt;=3m, net (YTD)</t>
  </si>
  <si>
    <t>Cash dividends paid (YTD)</t>
  </si>
  <si>
    <t>Share repurchases (YTD)</t>
  </si>
  <si>
    <t>Stock option proceeds (YTD)</t>
  </si>
  <si>
    <t>RSU/PSU tax withholding (YTD)</t>
  </si>
  <si>
    <t>Other financing (YTD)</t>
  </si>
  <si>
    <t>FX effect on cash (YTD)</t>
  </si>
  <si>
    <t>Cash, beginning of year</t>
  </si>
  <si>
    <t>Cash, end (as reported)</t>
  </si>
  <si>
    <t>Memo: YTD CFO as reported</t>
  </si>
  <si>
    <t>Check: YTD CFO lines (= 0)</t>
  </si>
  <si>
    <t>Geo - net revenue by geography</t>
  </si>
  <si>
    <t>Net revenue by country (10-K, annual disclosure only)</t>
  </si>
  <si>
    <t>United States</t>
  </si>
  <si>
    <t>S12 (10-K FY2025 Note 1). Quarterly country revenue not disclosed: unavailable</t>
  </si>
  <si>
    <t>Prior year (FY24)</t>
  </si>
  <si>
    <t>Mexico</t>
  </si>
  <si>
    <t>Russia</t>
  </si>
  <si>
    <t>Canada</t>
  </si>
  <si>
    <t>China</t>
  </si>
  <si>
    <t>United Kingdom</t>
  </si>
  <si>
    <t>Brazil</t>
  </si>
  <si>
    <t>South Africa</t>
  </si>
  <si>
    <t>All other countries</t>
  </si>
  <si>
    <t>Total net revenue by country</t>
  </si>
  <si>
    <t>Check: countries vs IS (= 0)</t>
  </si>
  <si>
    <t>Quarterly geography: North America vs international segments</t>
  </si>
  <si>
    <t>US &amp; Canada (PFNA + PBNA)</t>
  </si>
  <si>
    <t>Link: Revenue summary</t>
  </si>
  <si>
    <t>Europe, Middle East &amp; Africa</t>
  </si>
  <si>
    <t>Link: Revenue summary (IBF spans all international regions)</t>
  </si>
  <si>
    <t>Latin America (LatAm Foods)</t>
  </si>
  <si>
    <t>Asia Pacific (APAC Foods)</t>
  </si>
  <si>
    <t>Global franchise beverages (IBF)</t>
  </si>
  <si>
    <t>Check: regions vs IS (= 0)</t>
  </si>
  <si>
    <t>Historical: regions tie to reported IS revenue. 3Q26E: identity (both link to segment revenue)</t>
  </si>
  <si>
    <t>Share Count</t>
  </si>
  <si>
    <t>Weighted-average shares (millions)</t>
  </si>
  <si>
    <t>10-Q EPS notes (S10,S9,S11), 10-K R3 (S12). 4Q25 not separately disclosed (10-K reports FY only). 3Q26E = 2Q26 period-end shares less time-weighted net repurchases (J17)</t>
  </si>
  <si>
    <t>Q/Q change (m)</t>
  </si>
  <si>
    <t>Dilutive securities</t>
  </si>
  <si>
    <t>Derived; 3Q26E held at 2Q26 level</t>
  </si>
  <si>
    <t>Releases (S3-S8); 3Q26E = basic + dilutive. Share count behind forecast EPS</t>
  </si>
  <si>
    <t>Net repurchase timing in WA shares (fraction of quarter's net change)</t>
  </si>
  <si>
    <t>Assumption: net repurchases/issuance spread evenly through 3Q26 (mid-quarter = 0.5). Weighted average, not period end</t>
  </si>
  <si>
    <t>Period-end shares and capital returns</t>
  </si>
  <si>
    <t>Shares outstanding, period end</t>
  </si>
  <si>
    <t>Balance sheet parenthetical (issued net of repurchased; rounded m)</t>
  </si>
  <si>
    <t>Shares repurchased (m)</t>
  </si>
  <si>
    <t>Statement of equity (10-Q S9,S10,S11; rounded). 4Q25/FY25 not in fetched filings: unavailable</t>
  </si>
  <si>
    <t>FY26 share repurchase plan ($m)</t>
  </si>
  <si>
    <t>Company guidance ~$1.0bn (S3)</t>
  </si>
  <si>
    <t>Remaining 2H26 quarters</t>
  </si>
  <si>
    <t>3Q and 4Q; even phasing assumed</t>
  </si>
  <si>
    <t>Share repurchases ($m, cash)</t>
  </si>
  <si>
    <t>Link: Cash Flow Statement. 3Q26E: FY26 plan $1.0bn (S3) less 1H26 $479m, spread over 2H</t>
  </si>
  <si>
    <t>Avg. repurchase price ($)</t>
  </si>
  <si>
    <t>Approximate (share counts rounded); 3Q26E assumption ~$130 (stock $126-139 in Jul-Sep 2026, S24)</t>
  </si>
  <si>
    <t>Q/Q change ($)</t>
  </si>
  <si>
    <t>Shares issued under plans (m)</t>
  </si>
  <si>
    <t>Not disclosed quarterly; 3Q26E assumption ~1m (options/RSUs)</t>
  </si>
  <si>
    <t>Q/Q change (m; n/a = not disclosed)</t>
  </si>
  <si>
    <t>Dividend declared per share ($)</t>
  </si>
  <si>
    <t>Dividend $5.69 annualized from Jun-2025, $5.92 from Jun-2026 (S5); 3Q26E = 2Q26 quarterly rate</t>
  </si>
  <si>
    <t>Dividends paid ($m, cash)</t>
  </si>
  <si>
    <t>Link: Cash Flow Statement; 3Q26E = DPS x basic shares</t>
  </si>
  <si>
    <t>Total cash returned ($m)</t>
  </si>
  <si>
    <t>Share count behind the forecast EPS</t>
  </si>
  <si>
    <t>Core net income attributable ($m)</t>
  </si>
  <si>
    <t>EPS impact of +/-1m diluted shares</t>
  </si>
  <si>
    <t>Guidance history (company-issued)</t>
  </si>
  <si>
    <t>Period columns not applicable on this tab; table columns are defined in row 10</t>
  </si>
  <si>
    <t>C date | D period | E low | F high | G mid | H actual | I result | J better if</t>
  </si>
  <si>
    <t>Guidance item</t>
  </si>
  <si>
    <t>Date given</t>
  </si>
  <si>
    <t>Midpoint</t>
  </si>
  <si>
    <t>Actual</t>
  </si>
  <si>
    <t>Result</t>
  </si>
  <si>
    <t>Better if</t>
  </si>
  <si>
    <t>Fiscal 2025 (reported; FY ended 27-Dec-2025)</t>
  </si>
  <si>
    <t>Organic revenue growth (LSD)</t>
  </si>
  <si>
    <t>FY25</t>
  </si>
  <si>
    <t>higher</t>
  </si>
  <si>
    <t>"Low-single-digit" read as 1-3%; S5 headline actual 1.7%. H12 = model-calculated decomposition (Revenue summary G56 = 1.71%); A-8 table rounds to 2% (Revenue summary G57)</t>
  </si>
  <si>
    <t>Core cc EPS growth (MSD)</t>
  </si>
  <si>
    <t>Initial "mid-single-digit" read as 4-6%; cut 24-Apr-25 (S8). Actual even (S5, as reported)</t>
  </si>
  <si>
    <t>Core cc EPS growth (~even)</t>
  </si>
  <si>
    <t>"Approximately even" read as +/-0.5pt; reiterated 17-Jul and 9-Oct-25 (S7,S6)</t>
  </si>
  <si>
    <t>Implied core EPS growth vs FY24</t>
  </si>
  <si>
    <t>Point implied by FX assumption (S8)</t>
  </si>
  <si>
    <t>Implied core EPS ($)</t>
  </si>
  <si>
    <t>FY24 core EPS $8.16 (Income Statement memo) x (1 + implied growth)</t>
  </si>
  <si>
    <t>Point implied by FX assumption (S7)</t>
  </si>
  <si>
    <t>Point implied by FX assumption (S6)</t>
  </si>
  <si>
    <t>Core effective tax rate (~20%)</t>
  </si>
  <si>
    <t>lower</t>
  </si>
  <si>
    <t>"Approximately" read as +/-0.5pt (S8/S6)</t>
  </si>
  <si>
    <t>Cash returned ($m)</t>
  </si>
  <si>
    <t>~$8.6bn (div ~$7.6bn + buyback ~$1.0bn) read as +/-$100m (S8)</t>
  </si>
  <si>
    <t>Fiscal 2026 (affirmed 3-Feb, 16-Apr and 9-Jul-2026)</t>
  </si>
  <si>
    <t>Organic revenue growth</t>
  </si>
  <si>
    <t>FY26</t>
  </si>
  <si>
    <t>1H26 actual 2.5% (S3). FY not yet reported</t>
  </si>
  <si>
    <t>Core cc EPS growth</t>
  </si>
  <si>
    <t>1H26 actual +3%; mgmt: may land toward low end (S14)</t>
  </si>
  <si>
    <t>Implied core EPS growth</t>
  </si>
  <si>
    <t>Incl. ~1pt FX tailwind and global minimum tax (S3)</t>
  </si>
  <si>
    <t>FY25 core EPS $8.14 (Income Statement) x (1 + implied growth)</t>
  </si>
  <si>
    <t>Core effective tax rate (~22%)</t>
  </si>
  <si>
    <t>1H26 actual 21.6% (S3); "approximately" read as +/-0.5pt</t>
  </si>
  <si>
    <t>Implied reported revenue growth</t>
  </si>
  <si>
    <t>1H26 actual +7.3% (S3)</t>
  </si>
  <si>
    <t>FX impact on revenue &amp; core EPS</t>
  </si>
  <si>
    <t>"Approximately 1 percentage point" tailwind (S3), read as +/-0.5pt</t>
  </si>
  <si>
    <t>M&amp;A net impact (revenue)</t>
  </si>
  <si>
    <t>"1 percentage point" from 2025 deals (S3), read as +/-0.5pt</t>
  </si>
  <si>
    <t>Capex % of revenue (below)</t>
  </si>
  <si>
    <t>"Below 5 percent" (S3)</t>
  </si>
  <si>
    <t>FCF conversion (at least)</t>
  </si>
  <si>
    <t>"At least 80 percent" (S3)</t>
  </si>
  <si>
    <t>~$8.9bn (div ~$7.9bn + buyback ~$1.0bn) (S3)</t>
  </si>
  <si>
    <t>3Q26-specific commentary (9-Jul-2026 call; no numeric quarterly guidance)</t>
  </si>
  <si>
    <t>Quarterly revenue / EPS guidance</t>
  </si>
  <si>
    <t>3Q26</t>
  </si>
  <si>
    <t>None given: PepsiCo guides annually only</t>
  </si>
  <si>
    <t>Tariff refunds (pp of FY EPS growth)</t>
  </si>
  <si>
    <t>CFO: "about 1 full point of EPS growth ... likely in the quarter" (S14)</t>
  </si>
  <si>
    <t>Tariff refunds in Q3 ($/share)</t>
  </si>
  <si>
    <t>Equals 1pt x FY25 core EPS; model books ~$144m pre-tax in PFNA/PBNA core OP. Core treatment supported by S13/S14 (refunds cited within core EPS outlook); CapIQ normalized treatment and Q3 timing unverified (~$0.08/share sensitivity, unresolved)</t>
  </si>
  <si>
    <t>Q3 core tax rate higher Y/Y</t>
  </si>
  <si>
    <t>Direction only (S14); low = 3Q25 core ETR; model 22.5%</t>
  </si>
  <si>
    <t>Core EPS growth weighted to Q4</t>
  </si>
  <si>
    <t>2H26</t>
  </si>
  <si>
    <t>Prepared remarks (S13); cost/investment timing hits Q3 more than Q4 (S14)</t>
  </si>
  <si>
    <t>Sources and evidence log</t>
  </si>
  <si>
    <t>Period columns not applicable on this tab; table columns are defined in row 9</t>
  </si>
  <si>
    <t>Source ID</t>
  </si>
  <si>
    <t>Published</t>
  </si>
  <si>
    <t>Retrieved</t>
  </si>
  <si>
    <t>Document | publisher</t>
  </si>
  <si>
    <t>What it feeds</t>
  </si>
  <si>
    <t>URL or file</t>
  </si>
  <si>
    <t>S1</t>
  </si>
  <si>
    <t>file</t>
  </si>
  <si>
    <t>PEP_consensus.json (CapIQ snapshot) | S&amp;P Capital IQ</t>
  </si>
  <si>
    <t>Inputs; Cover consensus</t>
  </si>
  <si>
    <t>workspace/PEP_consensus.json</t>
  </si>
  <si>
    <t>S2</t>
  </si>
  <si>
    <t>PEP_history.csv (CapIQ history) | S&amp;P Capital IQ</t>
  </si>
  <si>
    <t>Inputs; IS consensus history; prior</t>
  </si>
  <si>
    <t>workspace/PEP_history.csv</t>
  </si>
  <si>
    <t>S3</t>
  </si>
  <si>
    <t>Q2 2026 earnings release (8-K Ex.99.1) | PepsiCo / SEC</t>
  </si>
  <si>
    <t>2Q26 actuals, 2Q25 comparatives, FY26 guidance</t>
  </si>
  <si>
    <t>https://www.sec.gov/Archives/edgar/data/77476/000007747626000037/q220268-kxexhibit991.htm</t>
  </si>
  <si>
    <t>S4</t>
  </si>
  <si>
    <t>Q1 2026 earnings release (8-K Ex.99.1) | PepsiCo / SEC</t>
  </si>
  <si>
    <t>1Q26 actuals, restated 1Q25 CF</t>
  </si>
  <si>
    <t>https://www.sec.gov/Archives/edgar/data/77476/000007747626000019/q120268-kxexhibit991.htm</t>
  </si>
  <si>
    <t>S5</t>
  </si>
  <si>
    <t>Q4/FY2025 earnings release (8-K Ex.99.1) | PepsiCo / SEC</t>
  </si>
  <si>
    <t>4Q25 and FY25 actuals, dividend</t>
  </si>
  <si>
    <t>https://www.sec.gov/Archives/edgar/data/77476/000007747626000009/q420258-kxexhibit991.htm</t>
  </si>
  <si>
    <t>S6</t>
  </si>
  <si>
    <t>Q3 2025 earnings release (8-K Ex.99.1) | PepsiCo / SEC</t>
  </si>
  <si>
    <t>3Q25 actuals (year-ago quarter)</t>
  </si>
  <si>
    <t>https://www.sec.gov/Archives/edgar/data/77476/000007747625000055/q320258-kxexhibit991.htm</t>
  </si>
  <si>
    <t>S7</t>
  </si>
  <si>
    <t>Q2 2025 earnings release (8-K Ex.99.1) | PepsiCo / SEC</t>
  </si>
  <si>
    <t>2Q25 actuals, FY25 guidance</t>
  </si>
  <si>
    <t>https://www.sec.gov/Archives/edgar/data/77476/000007747625000046/q220258-kxexhibit991.htm</t>
  </si>
  <si>
    <t>S8</t>
  </si>
  <si>
    <t>Q1 2025 earnings release (8-K Ex.99.1) | PepsiCo / SEC</t>
  </si>
  <si>
    <t>1Q25 actuals, FY25 guidance cut</t>
  </si>
  <si>
    <t>https://www.sec.gov/Archives/edgar/data/77476/000007747625000022/q120258-kxexhibit991.htm</t>
  </si>
  <si>
    <t>S9</t>
  </si>
  <si>
    <t>Q2 2026 Form 10-Q | PepsiCo</t>
  </si>
  <si>
    <t>Basic shares, bev/food split, segment capex/D&amp;A, buyback shares</t>
  </si>
  <si>
    <t>https://investors.pepsico.com/docs/pepsico-5v9wci20/media/Files/investors/q2-2026-form-10q.pdf</t>
  </si>
  <si>
    <t>S10</t>
  </si>
  <si>
    <t>Q1 2026 Form 10-Q | PepsiCo</t>
  </si>
  <si>
    <t>Basic shares, bev/food split, segment capex/D&amp;A</t>
  </si>
  <si>
    <t>https://investors.pepsico.com/docs/pepsico-5v9wci20/media/Files/investors/q1-2026-form-10q.pdf</t>
  </si>
  <si>
    <t>S11</t>
  </si>
  <si>
    <t>Q3 2025 Form 10-Q | PepsiCo</t>
  </si>
  <si>
    <t>Basic shares, bev/food split, segment capex/D&amp;A (Q3, 36wk)</t>
  </si>
  <si>
    <t>https://edge.sitecorecloud.io/pepsico-5v9wci20/media/Files/investors/q3-2025-form-10q.pdf</t>
  </si>
  <si>
    <t>S12</t>
  </si>
  <si>
    <t>FY2025 Form 10-K (R3 income statement; R9 segment note) | PepsiCo / SEC</t>
  </si>
  <si>
    <t>FY25 basic shares, revenue by country, FY capex/D&amp;A, bev/food split</t>
  </si>
  <si>
    <t>https://www.sec.gov/Archives/edgar/data/77476/000007747626000007/R9.htm</t>
  </si>
  <si>
    <t>S13</t>
  </si>
  <si>
    <t>Q2 2026 prepared management remarks | PepsiCo</t>
  </si>
  <si>
    <t>Outlook: EPS weighted to Q4; 2H input cost inflation</t>
  </si>
  <si>
    <t>https://investors.pepsico.com/docs/pepsico-5v9wci20/media/Files/investors/q2-2026-prepared-management-remarks.pdf</t>
  </si>
  <si>
    <t>S14</t>
  </si>
  <si>
    <t>Q2 2026 earnings call transcript (FactSet CallStreet) | PepsiCo</t>
  </si>
  <si>
    <t>Tariff refunds in Q3; higher Q3 tax rate; PBNA vs PFNA profit</t>
  </si>
  <si>
    <t>https://investor.pepsico.com/docs/pepsico-5v9wci20/media/Files/investors/q2-2026-pep-transcript.pdf</t>
  </si>
  <si>
    <t>S15</t>
  </si>
  <si>
    <t>Timing of Q3 2026 results (press release) | PepsiCo</t>
  </si>
  <si>
    <t>Report date 8-Oct-2026; quarter end 5-Sep-2026</t>
  </si>
  <si>
    <t>https://www.pepsico.com/en/newsroom/press-releases/2026/pepsico-announces-timing-and-availability-of-third-quarter-2026-financial-results</t>
  </si>
  <si>
    <t>S16</t>
  </si>
  <si>
    <t>Fed G.5 foreign exchange rates (Jun-2026) | Federal Reserve Board</t>
  </si>
  <si>
    <t>3Q26E FX assumptions</t>
  </si>
  <si>
    <t>https://www.federalreserve.gov/releases/g5/20260701</t>
  </si>
  <si>
    <t>S17</t>
  </si>
  <si>
    <t>Fed G.5 foreign exchange rates (Jul-2026) | Federal Reserve Board</t>
  </si>
  <si>
    <t>https://www.federalreserve.gov/releases/g5/20260803</t>
  </si>
  <si>
    <t>S18</t>
  </si>
  <si>
    <t>Fed G.5 foreign exchange rates (Aug-2026) | Federal Reserve Board</t>
  </si>
  <si>
    <t>3Q26E FX: MXN +8.7%, BRL +7.4%, CNY +6%, EUR -0.9%, INR -10% Y/Y</t>
  </si>
  <si>
    <t>https://www.federalreserve.gov/releases/g5/20260901</t>
  </si>
  <si>
    <t>S19</t>
  </si>
  <si>
    <t>JPMorgan downgrades PepsiCo to Neutral | Investing.com</t>
  </si>
  <si>
    <t>Q3 "may still look decent" (intl, World Cup); NA weak</t>
  </si>
  <si>
    <t>https://www.investing.com/news/stock-market-news/jpmorgan-downgrades-pepsico-to-neutral-in-second-cut-of-the-week-4922214</t>
  </si>
  <si>
    <t>S20</t>
  </si>
  <si>
    <t>Deutsche Bank lowers PepsiCo rating | Investing.com</t>
  </si>
  <si>
    <t>FY26 EPS est. $8.55; NA consumption lackluster</t>
  </si>
  <si>
    <t>https://www.investing.com/news/stock-market-news/deutsche-bank-lowers-pepsico-rating-as-turnaround-now-more-complicated-4920201</t>
  </si>
  <si>
    <t>S21</t>
  </si>
  <si>
    <t>Analysts trim PepsiCo targets ahead of Q3 | NexaCurrent</t>
  </si>
  <si>
    <t>Evercore: Q3 "looks fine"; consensus $2.30 / $24.97bn</t>
  </si>
  <si>
    <t>https://nexacurrent.com/business/analysts-trim-pepsico-targets-ahead-of-october-8-q3-earnings-release-5bcf71df.html</t>
  </si>
  <si>
    <t>S22</t>
  </si>
  <si>
    <t>PepsiCo snack turnaround faces a margin test | Earnings Whispers</t>
  </si>
  <si>
    <t>Whisper $2.32 (sentiment only)</t>
  </si>
  <si>
    <t>https://wt11.earningswhispers.com/article/PEP/20306</t>
  </si>
  <si>
    <t>S23</t>
  </si>
  <si>
    <t>JP Morgan downgrades PepsiCo with eight days to print | ORTEX</t>
  </si>
  <si>
    <t>Estimate revisions negative; positioning</t>
  </si>
  <si>
    <t>https://ortex.news/articles/177057/jp-morgan-downgrades-pepsico-with-eight-days-to-print</t>
  </si>
  <si>
    <t>S24</t>
  </si>
  <si>
    <t>PepsiCo market cap | stockanalysis.com</t>
  </si>
  <si>
    <t>Market cap $171.83bn (size bucket)</t>
  </si>
  <si>
    <t>https://stockanalysis.com/stocks/pep/market-cap/</t>
  </si>
  <si>
    <t>S25</t>
  </si>
  <si>
    <t>General Mills FQ1 FY27 results | General Mills / last10k</t>
  </si>
  <si>
    <t>Peer: NA retail organic -3%, ahead of expectations</t>
  </si>
  <si>
    <t>https://last10k.com/sec-filings/gis/0001628280-26-063141.htm</t>
  </si>
  <si>
    <t>S26</t>
  </si>
  <si>
    <t>Conagra FQ1 FY27 results | Conagra Brands</t>
  </si>
  <si>
    <t>Peer: snacks volume -3.9%, profit ahead of expectations</t>
  </si>
  <si>
    <t>https://www.conagrabrands.com/news-room/news-conagra-brands-reports-first-quarter-results-prn-122968</t>
  </si>
  <si>
    <t>S27</t>
  </si>
  <si>
    <t>Celsius/PepsiCo partnership (Alani Nu distribution) | Celsius / PepsiCo</t>
  </si>
  <si>
    <t>PBNA structural benefit in 3Q26E</t>
  </si>
  <si>
    <t>https://www.pepsico.com/newsroom/press-releases/2025/celsius-holdings-and-pepsico-strengthen-long-term-strategic-partnership</t>
  </si>
  <si>
    <t>S28</t>
  </si>
  <si>
    <t>Celsius: 80% of Alani Nu DSD moved to PepsiCo by 1-Dec-2025 | FoodBev Media</t>
  </si>
  <si>
    <t>PBNA structural timing</t>
  </si>
  <si>
    <t>https://www.foodbev.com/news/celsius-holdings-says-it-has-achieved-80-transition-of-alani-nu-integration</t>
  </si>
  <si>
    <t>S29</t>
  </si>
  <si>
    <t>PepsiCo (PEP) reports next week: what awaits? | Zacks / Yahoo Finance</t>
  </si>
  <si>
    <t>Earnings ESP -0.10% (most-accurate estimate slightly below)</t>
  </si>
  <si>
    <t>https://finance.yahoo.com/markets/stocks/articles/pepsico-pep-reports-next-week-130002007.html</t>
  </si>
  <si>
    <t>Tab coverage</t>
  </si>
  <si>
    <t>All template tabs carry content; none omitted. Geo uses 10-K FY2025 country disclosure (S12) plus segment regions.</t>
  </si>
  <si>
    <t>Target-quarter actuals</t>
  </si>
  <si>
    <t>Not seen: no 3Q26 results encountered; only material published before the 4-Oct-2026 cutoff was used.</t>
  </si>
  <si>
    <t>EPS basis check</t>
  </si>
  <si>
    <t>CapIQ normalized actuals equal PepsiCo core EPS in all six history quarters (Income Statement check row).</t>
  </si>
  <si>
    <t>Retrieval timestamps</t>
  </si>
  <si>
    <t>Web sources retrieved 2026-10-05 02:00-03:00 UTC via web_fetch/exa search; all carry published dates on or before 4-Oct-2026. Post-cutoff retrieval is not itself leakage, but no as-of snapshots exist for live pages (S19-S24, S29). CapIQ files (S1/S2) have 4-Oct-2026 date precision only</t>
  </si>
  <si>
    <t>Inputs - S&amp;P Capital IQ raw data and beat-probability calibration</t>
  </si>
  <si>
    <t>A. PEP_consensus.json - top-level fields (raw; value in 3Q26E column)</t>
  </si>
  <si>
    <t>source</t>
  </si>
  <si>
    <t>S&amp;P Capital IQ</t>
  </si>
  <si>
    <t>ticker</t>
  </si>
  <si>
    <t>PEP</t>
  </si>
  <si>
    <t>Raw (S1)</t>
  </si>
  <si>
    <t>company</t>
  </si>
  <si>
    <t>fiscal_period</t>
  </si>
  <si>
    <t>Q3 FY2026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</si>
  <si>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</si>
  <si>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</si>
  <si>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</si>
  <si>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</si>
  <si>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</si>
  <si>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</si>
  <si>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</si>
  <si>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</si>
  <si>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summary_sha256</t>
  </si>
  <si>
    <t>dcd0ceefcbfabc05b4b93dc4d870480edb653ec275c18d538b8e064442f96004</t>
  </si>
  <si>
    <t>captured_precision</t>
  </si>
  <si>
    <t>date only, user confirmed</t>
  </si>
  <si>
    <t>currency_units_status</t>
  </si>
  <si>
    <t>USD per common share inferred; verify filings</t>
  </si>
  <si>
    <t>B. PEP_consensus.json - summary_row (raw, all fields; blanks preserved)</t>
  </si>
  <si>
    <t>company_name</t>
  </si>
  <si>
    <t>exchange_ticker</t>
  </si>
  <si>
    <t>NasdaqGS:PEP</t>
  </si>
  <si>
    <t>capiq_company_id</t>
  </si>
  <si>
    <t>sp500_member</t>
  </si>
  <si>
    <t>Y</t>
  </si>
  <si>
    <t>market_cap_usd_m</t>
  </si>
  <si>
    <t>Blank in source (preserved)</t>
  </si>
  <si>
    <t>fiscal_quarter</t>
  </si>
  <si>
    <t>FQ3 2026 - Sep 2026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</si>
  <si>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</si>
  <si>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</si>
  <si>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</si>
  <si>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</si>
  <si>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</si>
  <si>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</si>
  <si>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</si>
  <si>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</si>
  <si>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</si>
  <si>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</si>
  <si>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</si>
  <si>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</si>
  <si>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</si>
  <si>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</si>
  <si>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</si>
  <si>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</si>
  <si>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</si>
  <si>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</si>
  <si>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</si>
  <si>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</si>
  <si>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</si>
  <si>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</si>
  <si>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</si>
  <si>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</si>
  <si>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</si>
  <si>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</si>
  <si>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</si>
  <si>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</si>
  <si>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</si>
  <si>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</si>
  <si>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</si>
  <si>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</si>
  <si>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</si>
  <si>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</si>
  <si>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</si>
  <si>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</si>
  <si>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</si>
  <si>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</si>
  <si>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</si>
  <si>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</si>
  <si>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</si>
  <si>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</si>
  <si>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</si>
  <si>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</si>
  <si>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</si>
  <si>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</si>
  <si>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</si>
  <si>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</si>
  <si>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</si>
  <si>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</si>
  <si>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adj_nii_per_share_consensus</t>
  </si>
  <si>
    <t>target_price_mean</t>
  </si>
  <si>
    <t>Raw (S1). NOT USED: target-price columns excluded per instructions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</si>
  <si>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</si>
  <si>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</si>
  <si>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</si>
  <si>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</si>
  <si>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</si>
  <si>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</si>
  <si>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</si>
  <si>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</si>
  <si>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</si>
  <si>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wk52_high_low</t>
  </si>
  <si>
    <t>units</t>
  </si>
  <si>
    <t>per-share in USD; revenue and income in USD millions</t>
  </si>
  <si>
    <t>estimates_captured_at</t>
  </si>
  <si>
    <t>notes</t>
  </si>
  <si>
    <t>CapIQ lists the FQ3 2026 release date as Oct-14-2026, which is AFTER the Oct 5-9 window you specified. Flagging rather than forcing it into the week.</t>
  </si>
  <si>
    <t>C. PEP_history.csv - six historical rows (raw; columns aligned to issuer quarters)</t>
  </si>
  <si>
    <t>Raw (S2). CapIQ calendar labels map to issuer quarters ending 22-Mar-25 ... 13-Jun-26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</si>
  <si>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</si>
  <si>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</si>
  <si>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</si>
  <si>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</si>
  <si>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</si>
  <si>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</si>
  <si>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</si>
  <si>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D. Derived from CapIQ history</t>
  </si>
  <si>
    <t>Normalized EPS surprise ($)</t>
  </si>
  <si>
    <t>Strict beat (1 = yes)</t>
  </si>
  <si>
    <t>Valid pair (1 = yes)</t>
  </si>
  <si>
    <t>Revenue surprise %</t>
  </si>
  <si>
    <t>E. Size-aware beat prior (playbook v2) - values in 3Q26E column</t>
  </si>
  <si>
    <t>S24 stockanalysis.com (Nasdaq Data Link), 2-Oct-2026 close $125.89; CapIQ field blank</t>
  </si>
  <si>
    <t>Large-cap threshold ($m)</t>
  </si>
  <si>
    <t>Playbook v2: large &gt; $10bn</t>
  </si>
  <si>
    <t>Mid-cap threshold ($m)</t>
  </si>
  <si>
    <t>Playbook v2: mid $2bn-$10bn; small $300m-$2bn</t>
  </si>
  <si>
    <t>Size bucket</t>
  </si>
  <si>
    <t>S&amp;P 500 member (CapIQ field)</t>
  </si>
  <si>
    <t>Cohort prior: large or S&amp;P 500</t>
  </si>
  <si>
    <t>Playbook v2 (applied once, not additively)</t>
  </si>
  <si>
    <t>Cohort prior: mid</t>
  </si>
  <si>
    <t>Playbook v2</t>
  </si>
  <si>
    <t>Cohort prior: small</t>
  </si>
  <si>
    <t>Cohort prior (applied)</t>
  </si>
  <si>
    <t>b = strict beats in history</t>
  </si>
  <si>
    <t>n = valid pairs</t>
  </si>
  <si>
    <t>Pseudo-count</t>
  </si>
  <si>
    <t>Starting p = (k*prior + b)/(k + n)</t>
  </si>
  <si>
    <t>Quarter-specific evidence adjustment</t>
  </si>
  <si>
    <t>Mgmt: Q3 cost timing + higher tax, EPS back-end loaded; NA downgrades; model EPS only ~1c above consensus (see Sources)</t>
  </si>
  <si>
    <t>Final P(beat consensus EPS)</t>
  </si>
  <si>
    <t>medium</t>
  </si>
  <si>
    <t>Scoring baseline: frozen consensus EPS</t>
  </si>
  <si>
    <t>4-Oct-2026 CapIQ mean; never replaced</t>
  </si>
</sst>
</file>

<file path=xl/styles.xml><?xml version="1.0" encoding="utf-8"?>
<styleSheet xmlns="http://schemas.openxmlformats.org/spreadsheetml/2006/main">
  <numFmts count="13">
    <numFmt numFmtId="164" formatCode="#,##0.0_);(#,##0.0);–_)"/>
    <numFmt numFmtId="165" formatCode="yyyy-mm-dd"/>
    <numFmt numFmtId="166" formatCode="$0.00"/>
    <numFmt numFmtId="167" formatCode="0.0%_);(0.0%);–_)"/>
    <numFmt numFmtId="168" formatCode="0"/>
    <numFmt numFmtId="169" formatCode="0_);(0);–_)"/>
    <numFmt numFmtId="170" formatCode="#,##0.00_);(#,##0.00);–_)"/>
    <numFmt numFmtId="171" formatCode="#,##0_);(#,##0);–_)"/>
    <numFmt numFmtId="172" formatCode="General"/>
    <numFmt numFmtId="173" formatCode="$0.00_);($0.00)"/>
    <numFmt numFmtId="174" formatCode="0.00_);(0.00);–_)"/>
    <numFmt numFmtId="175" formatCode="$0.0000_);($0.0000)"/>
    <numFmt numFmtId="176" formatCode="$0.000_);($0.000)"/>
  </numFmts>
  <fonts count="32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0"/>
      <color rgb="FF595959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/>
      <i val="0"/>
      <strike val="0"/>
      <sz val="10"/>
      <color rgb="FF006100"/>
      <name val="Arial"/>
    </font>
    <font>
      <b/>
      <i/>
      <strike val="0"/>
      <sz val="10"/>
      <color rgb="FF000000"/>
      <name val="Arial"/>
    </font>
    <font>
      <b/>
      <i/>
      <strike val="0"/>
      <sz val="10"/>
      <color rgb="FF006100"/>
      <name val="Arial"/>
    </font>
    <font>
      <b/>
      <i val="0"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 val="0"/>
      <i/>
      <strike val="0"/>
      <sz val="10"/>
      <color rgb="FF006100"/>
      <name val="Arial"/>
      <family val="2"/>
      <scheme val="minor"/>
    </font>
    <font>
      <b val="0"/>
      <i val="0"/>
      <strike val="0"/>
      <sz val="10"/>
      <color rgb="FF595959"/>
      <name val="Arial"/>
      <family val="2"/>
      <scheme val="minor"/>
    </font>
    <font>
      <b val="0"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00FF"/>
      <name val="Arial"/>
      <family val="2"/>
      <scheme val="minor"/>
    </font>
    <font>
      <b/>
      <i val="0"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595959"/>
      <name val="Arial"/>
      <family val="2"/>
      <scheme val="minor"/>
    </font>
    <font>
      <b val="0"/>
      <i val="0"/>
      <strike val="0"/>
      <sz val="10"/>
      <color rgb="FF000000"/>
      <name val="Calibri"/>
      <family val="2"/>
      <scheme val="minor"/>
    </font>
    <font>
      <b val="0"/>
      <i/>
      <strike val="0"/>
      <sz val="10"/>
      <color rgb="FF000000"/>
      <name val="Arial"/>
      <family val="2"/>
      <scheme val="minor"/>
    </font>
    <font>
      <b val="0"/>
      <i/>
      <strike val="0"/>
      <sz val="10"/>
      <color rgb="FF000000"/>
      <name val="Calibri"/>
      <family val="2"/>
      <scheme val="minor"/>
    </font>
    <font>
      <b/>
      <i/>
      <strike val="0"/>
      <sz val="10"/>
      <color rgb="FF000000"/>
      <name val="Arial"/>
      <family val="2"/>
      <scheme val="minor"/>
    </font>
    <font>
      <b val="0"/>
      <i val="0"/>
      <strike val="0"/>
      <sz val="10"/>
      <color rgb="FF006100"/>
      <name val="Arial"/>
      <family val="2"/>
      <scheme val="minor"/>
    </font>
    <font>
      <b/>
      <i val="0"/>
      <strike val="0"/>
      <sz val="10"/>
      <color rgb="FF0061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EEF3FA"/>
      </patternFill>
    </fill>
    <fill>
      <patternFill patternType="solid">
        <fgColor rgb="FFDCE6F2"/>
      </patternFill>
    </fill>
    <fill>
      <patternFill patternType="solid">
        <fgColor rgb="FFF2F2F2"/>
      </patternFill>
    </fill>
  </fills>
  <borders count="4">
    <border/>
    <border>
      <bottom style="thin">
        <color rgb="FF808080"/>
      </bottom>
    </border>
    <border>
      <top style="thin">
        <color rgb="FF808080"/>
      </top>
    </border>
    <border>
      <top style="thin">
        <color rgb="FF000000"/>
      </top>
    </border>
  </borders>
  <cellStyleXfs count="1">
    <xf numFmtId="0" fontId="0" fillId="0" borderId="0"/>
  </cellStyleXfs>
  <cellXfs count="160">
    <xf numFmtId="0" fontId="0" fillId="0" borderId="0" xfId="0"/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165" fontId="2" fillId="2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0" fontId="3" fillId="2" borderId="0" xfId="0" applyFont="1" applyFill="1" applyAlignment="1" applyProtection="1">
      <alignment horizontal="general" vertical="bottom"/>
      <protection locked="1" hidden="0"/>
    </xf>
    <xf numFmtId="164" fontId="4" fillId="2" borderId="0" xfId="0" applyNumberFormat="1" applyFont="1" applyFill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167" fontId="5" fillId="2" borderId="0" xfId="0" applyNumberFormat="1" applyFont="1" applyFill="1" applyAlignment="1" applyProtection="1">
      <alignment horizontal="right" vertical="bottom"/>
      <protection locked="1" hidden="0"/>
    </xf>
    <xf numFmtId="166" fontId="1" fillId="2" borderId="0" xfId="0" applyNumberFormat="1" applyFont="1" applyFill="1" applyAlignment="1" applyProtection="1">
      <alignment horizontal="right" vertical="bottom"/>
      <protection locked="1" hidden="0"/>
    </xf>
    <xf numFmtId="167" fontId="2" fillId="2" borderId="0" xfId="0" applyNumberFormat="1" applyFont="1" applyFill="1" applyAlignment="1" applyProtection="1">
      <alignment horizontal="right" vertical="bottom"/>
      <protection locked="1" hidden="0"/>
    </xf>
    <xf numFmtId="165" fontId="6" fillId="2" borderId="0" xfId="0" applyNumberFormat="1" applyFont="1" applyFill="1" applyAlignment="1" applyProtection="1">
      <alignment horizontal="right" vertical="bottom"/>
      <protection locked="1" hidden="0"/>
    </xf>
    <xf numFmtId="168" fontId="1" fillId="4" borderId="1" xfId="0" applyNumberFormat="1" applyFont="1" applyFill="1" applyBorder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general" vertical="bottom"/>
      <protection locked="1" hidden="0"/>
    </xf>
    <xf numFmtId="166" fontId="7" fillId="2" borderId="0" xfId="0" applyNumberFormat="1" applyFont="1" applyFill="1" applyAlignment="1" applyProtection="1">
      <alignment horizontal="right" vertical="bottom"/>
      <protection locked="1" hidden="0"/>
    </xf>
    <xf numFmtId="0" fontId="4" fillId="5" borderId="2" xfId="0" applyFont="1" applyFill="1" applyBorder="1" applyAlignment="1" applyProtection="1">
      <alignment horizontal="right" vertical="bottom"/>
      <protection locked="1" hidden="0"/>
    </xf>
    <xf numFmtId="0" fontId="4" fillId="2" borderId="0" xfId="0" applyFont="1" applyFill="1" applyAlignment="1" applyProtection="1">
      <alignment horizontal="general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164" fontId="7" fillId="2" borderId="0" xfId="0" applyNumberFormat="1" applyFont="1" applyFill="1" applyAlignment="1" applyProtection="1">
      <alignment horizontal="right" vertical="bottom"/>
      <protection locked="1" hidden="0"/>
    </xf>
    <xf numFmtId="165" fontId="1" fillId="5" borderId="0" xfId="0" applyNumberFormat="1" applyFont="1" applyFill="1" applyAlignment="1" applyProtection="1">
      <alignment horizontal="right" vertical="bottom"/>
      <protection locked="1" hidden="0"/>
    </xf>
    <xf numFmtId="164" fontId="6" fillId="2" borderId="0" xfId="0" applyNumberFormat="1" applyFont="1" applyFill="1" applyAlignment="1" applyProtection="1">
      <alignment horizontal="right" vertical="bottom"/>
      <protection locked="1" hidden="0"/>
    </xf>
    <xf numFmtId="165" fontId="4" fillId="2" borderId="0" xfId="0" applyNumberFormat="1" applyFont="1" applyFill="1" applyAlignment="1" applyProtection="1">
      <alignment horizontal="right" vertical="bottom"/>
      <protection locked="1" hidden="0"/>
    </xf>
    <xf numFmtId="164" fontId="4" fillId="2" borderId="3" xfId="0" applyNumberFormat="1" applyFont="1" applyFill="1" applyBorder="1" applyAlignment="1" applyProtection="1">
      <alignment horizontal="right" vertical="bottom"/>
      <protection locked="1" hidden="0"/>
    </xf>
    <xf numFmtId="164" fontId="4" fillId="3" borderId="0" xfId="0" applyNumberFormat="1" applyFont="1" applyFill="1" applyAlignment="1" applyProtection="1">
      <alignment horizontal="right" vertical="bottom"/>
      <protection locked="1" hidden="0"/>
    </xf>
    <xf numFmtId="168" fontId="1" fillId="5" borderId="1" xfId="0" applyNumberFormat="1" applyFont="1" applyFill="1" applyBorder="1" applyAlignment="1" applyProtection="1">
      <alignment horizontal="right" vertical="bottom"/>
      <protection locked="1" hidden="0"/>
    </xf>
    <xf numFmtId="166" fontId="4" fillId="3" borderId="3" xfId="0" applyNumberFormat="1" applyFont="1" applyFill="1" applyBorder="1" applyAlignment="1" applyProtection="1">
      <alignment horizontal="right" vertical="bottom"/>
      <protection locked="1" hidden="0"/>
    </xf>
    <xf numFmtId="167" fontId="5" fillId="3" borderId="0" xfId="0" applyNumberFormat="1" applyFont="1" applyFill="1" applyAlignment="1" applyProtection="1">
      <alignment horizontal="right" vertical="bottom"/>
      <protection locked="1" hidden="0"/>
    </xf>
    <xf numFmtId="0" fontId="1" fillId="5" borderId="0" xfId="0" applyFont="1" applyFill="1" applyAlignment="1" applyProtection="1">
      <alignment horizontal="general" vertical="bottom"/>
      <protection locked="1" hidden="0"/>
    </xf>
    <xf numFmtId="169" fontId="1" fillId="2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 indent="1"/>
      <protection locked="1" hidden="0"/>
    </xf>
    <xf numFmtId="0" fontId="4" fillId="5" borderId="2" xfId="0" applyFont="1" applyFill="1" applyBorder="1" applyAlignment="1" applyProtection="1">
      <alignment horizontal="general" vertical="bottom"/>
      <protection locked="1" hidden="0"/>
    </xf>
    <xf numFmtId="0" fontId="4" fillId="2" borderId="0" xfId="0" applyFont="1" applyFill="1" applyAlignment="1" applyProtection="1">
      <alignment horizontal="right" vertical="bottom"/>
      <protection locked="1" hidden="0"/>
    </xf>
    <xf numFmtId="164" fontId="8" fillId="2" borderId="3" xfId="0" applyNumberFormat="1" applyFont="1" applyFill="1" applyBorder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0" fontId="1" fillId="5" borderId="1" xfId="0" applyFont="1" applyFill="1" applyBorder="1" applyAlignment="1" applyProtection="1">
      <alignment horizontal="general" vertical="bottom"/>
      <protection locked="1" hidden="0"/>
    </xf>
    <xf numFmtId="166" fontId="4" fillId="2" borderId="3" xfId="0" applyNumberFormat="1" applyFont="1" applyFill="1" applyBorder="1" applyAlignment="1" applyProtection="1">
      <alignment horizontal="right" vertical="bottom"/>
      <protection locked="1" hidden="0"/>
    </xf>
    <xf numFmtId="167" fontId="9" fillId="2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0" fontId="10" fillId="2" borderId="0" xfId="0" applyFont="1" applyFill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left" vertical="bottom"/>
      <protection locked="1" hidden="0"/>
    </xf>
    <xf numFmtId="0" fontId="4" fillId="2" borderId="0" xfId="0" applyFont="1" applyFill="1" applyAlignment="1" applyProtection="1">
      <alignment horizontal="left" vertical="bottom"/>
      <protection locked="1" hidden="0"/>
    </xf>
    <xf numFmtId="164" fontId="11" fillId="2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left" vertical="bottom"/>
      <protection locked="1" hidden="0"/>
    </xf>
    <xf numFmtId="164" fontId="4" fillId="3" borderId="3" xfId="0" applyNumberFormat="1" applyFont="1" applyFill="1" applyBorder="1" applyAlignment="1" applyProtection="1">
      <alignment horizontal="right" vertical="bottom"/>
      <protection locked="1" hidden="0"/>
    </xf>
    <xf numFmtId="166" fontId="4" fillId="2" borderId="0" xfId="0" applyNumberFormat="1" applyFont="1" applyFill="1" applyAlignment="1" applyProtection="1">
      <alignment horizontal="right" vertical="bottom"/>
      <protection locked="1" hidden="0"/>
    </xf>
    <xf numFmtId="166" fontId="5" fillId="2" borderId="0" xfId="0" applyNumberFormat="1" applyFont="1" applyFill="1" applyAlignment="1" applyProtection="1">
      <alignment horizontal="right" vertical="bottom"/>
      <protection locked="1" hidden="0"/>
    </xf>
    <xf numFmtId="170" fontId="6" fillId="2" borderId="0" xfId="0" applyNumberFormat="1" applyFont="1" applyFill="1" applyAlignment="1" applyProtection="1">
      <alignment horizontal="right" vertical="bottom"/>
      <protection locked="1" hidden="0"/>
    </xf>
    <xf numFmtId="166" fontId="6" fillId="2" borderId="0" xfId="0" applyNumberFormat="1" applyFont="1" applyFill="1" applyAlignment="1" applyProtection="1">
      <alignment horizontal="right" vertical="bottom"/>
      <protection locked="1" hidden="0"/>
    </xf>
    <xf numFmtId="0" fontId="4" fillId="4" borderId="2" xfId="0" applyFont="1" applyFill="1" applyBorder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general" vertical="bottom" indent="2"/>
      <protection locked="1" hidden="0"/>
    </xf>
    <xf numFmtId="165" fontId="1" fillId="4" borderId="0" xfId="0" applyNumberFormat="1" applyFont="1" applyFill="1" applyAlignment="1" applyProtection="1">
      <alignment horizontal="right" vertical="bottom"/>
      <protection locked="1" hidden="0"/>
    </xf>
    <xf numFmtId="164" fontId="6" fillId="3" borderId="0" xfId="0" applyNumberFormat="1" applyFont="1" applyFill="1" applyAlignment="1" applyProtection="1">
      <alignment horizontal="right" vertical="bottom"/>
      <protection locked="1" hidden="0"/>
    </xf>
    <xf numFmtId="164" fontId="5" fillId="2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166" fontId="9" fillId="2" borderId="0" xfId="0" applyNumberFormat="1" applyFont="1" applyFill="1" applyAlignment="1" applyProtection="1">
      <alignment horizontal="right" vertical="bottom"/>
      <protection locked="1" hidden="0"/>
    </xf>
    <xf numFmtId="170" fontId="1" fillId="2" borderId="0" xfId="0" applyNumberFormat="1" applyFont="1" applyFill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general" vertical="bottom" indent="1"/>
      <protection locked="1" hidden="0"/>
    </xf>
    <xf numFmtId="0" fontId="4" fillId="3" borderId="0" xfId="0" applyFont="1" applyFill="1" applyAlignment="1" applyProtection="1">
      <alignment horizontal="right" vertical="bottom"/>
      <protection locked="1" hidden="0"/>
    </xf>
    <xf numFmtId="167" fontId="12" fillId="3" borderId="0" xfId="0" applyNumberFormat="1" applyFont="1" applyFill="1" applyAlignment="1" applyProtection="1">
      <alignment horizontal="right" vertical="bottom"/>
      <protection locked="1" hidden="0"/>
    </xf>
    <xf numFmtId="0" fontId="7" fillId="2" borderId="0" xfId="0" applyFont="1" applyFill="1" applyAlignment="1" applyProtection="1">
      <alignment horizontal="left" vertical="bottom"/>
      <protection locked="1" hidden="0"/>
    </xf>
    <xf numFmtId="166" fontId="5" fillId="3" borderId="0" xfId="0" applyNumberFormat="1" applyFont="1" applyFill="1" applyAlignment="1" applyProtection="1">
      <alignment horizontal="right" vertical="bottom"/>
      <protection locked="1" hidden="0"/>
    </xf>
    <xf numFmtId="167" fontId="12" fillId="2" borderId="0" xfId="0" applyNumberFormat="1" applyFont="1" applyFill="1" applyAlignment="1" applyProtection="1">
      <alignment horizontal="right" vertical="bottom"/>
      <protection locked="1" hidden="0"/>
    </xf>
    <xf numFmtId="164" fontId="5" fillId="3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 indent="2"/>
      <protection locked="1" hidden="0"/>
    </xf>
    <xf numFmtId="164" fontId="7" fillId="3" borderId="0" xfId="0" applyNumberFormat="1" applyFont="1" applyFill="1" applyAlignment="1" applyProtection="1">
      <alignment horizontal="right" vertical="bottom"/>
      <protection locked="1" hidden="0"/>
    </xf>
    <xf numFmtId="170" fontId="1" fillId="3" borderId="0" xfId="0" applyNumberFormat="1" applyFont="1" applyFill="1" applyAlignment="1" applyProtection="1">
      <alignment horizontal="right" vertical="bottom"/>
      <protection locked="1" hidden="0"/>
    </xf>
    <xf numFmtId="169" fontId="6" fillId="3" borderId="0" xfId="0" applyNumberFormat="1" applyFont="1" applyFill="1" applyAlignment="1" applyProtection="1">
      <alignment horizontal="right" vertical="bottom"/>
      <protection locked="1" hidden="0"/>
    </xf>
    <xf numFmtId="166" fontId="6" fillId="3" borderId="0" xfId="0" applyNumberFormat="1" applyFont="1" applyFill="1" applyAlignment="1" applyProtection="1">
      <alignment horizontal="right" vertical="bottom"/>
      <protection locked="1" hidden="0"/>
    </xf>
    <xf numFmtId="166" fontId="11" fillId="2" borderId="0" xfId="0" applyNumberFormat="1" applyFont="1" applyFill="1" applyAlignment="1" applyProtection="1">
      <alignment horizontal="right" vertical="bottom"/>
      <protection locked="1" hidden="0"/>
    </xf>
    <xf numFmtId="0" fontId="11" fillId="2" borderId="0" xfId="0" applyFont="1" applyFill="1" applyAlignment="1" applyProtection="1">
      <alignment horizontal="left" vertical="bottom"/>
      <protection locked="1" hidden="0"/>
    </xf>
    <xf numFmtId="0" fontId="4" fillId="3" borderId="0" xfId="0" applyFont="1" applyFill="1" applyAlignment="1" applyProtection="1">
      <alignment horizontal="left" vertical="bottom"/>
      <protection locked="1" hidden="0"/>
    </xf>
    <xf numFmtId="166" fontId="4" fillId="3" borderId="0" xfId="0" applyNumberFormat="1" applyFont="1" applyFill="1" applyAlignment="1" applyProtection="1">
      <alignment horizontal="right" vertical="bottom"/>
      <protection locked="1" hidden="0"/>
    </xf>
    <xf numFmtId="164" fontId="9" fillId="2" borderId="0" xfId="0" applyNumberFormat="1" applyFont="1" applyFill="1" applyAlignment="1" applyProtection="1">
      <alignment horizontal="right" vertical="bottom"/>
      <protection locked="1" hidden="0"/>
    </xf>
    <xf numFmtId="167" fontId="13" fillId="2" borderId="0" xfId="0" applyNumberFormat="1" applyFont="1" applyFill="1" applyAlignment="1" applyProtection="1">
      <alignment horizontal="right" vertical="bottom"/>
      <protection locked="1" hidden="0"/>
    </xf>
    <xf numFmtId="169" fontId="1" fillId="3" borderId="0" xfId="0" applyNumberFormat="1" applyFont="1" applyFill="1" applyAlignment="1" applyProtection="1">
      <alignment horizontal="right" vertical="bottom"/>
      <protection locked="1" hidden="0"/>
    </xf>
    <xf numFmtId="0" fontId="12" fillId="2" borderId="0" xfId="0" applyFont="1" applyFill="1" applyAlignment="1" applyProtection="1">
      <alignment horizontal="general" vertical="bottom"/>
      <protection locked="1" hidden="0"/>
    </xf>
    <xf numFmtId="169" fontId="7" fillId="2" borderId="0" xfId="0" applyNumberFormat="1" applyFont="1" applyFill="1" applyAlignment="1" applyProtection="1">
      <alignment horizontal="right" vertical="bottom"/>
      <protection locked="1" hidden="0"/>
    </xf>
    <xf numFmtId="171" fontId="5" fillId="2" borderId="0" xfId="0" applyNumberFormat="1" applyFont="1" applyFill="1" applyAlignment="1" applyProtection="1">
      <alignment horizontal="right" vertical="bottom"/>
      <protection locked="1" hidden="0"/>
    </xf>
    <xf numFmtId="171" fontId="5" fillId="3" borderId="0" xfId="0" applyNumberFormat="1" applyFont="1" applyFill="1" applyAlignment="1" applyProtection="1">
      <alignment horizontal="right" vertical="bottom"/>
      <protection locked="1" hidden="0"/>
    </xf>
    <xf numFmtId="167" fontId="2" fillId="3" borderId="0" xfId="0" applyNumberFormat="1" applyFont="1" applyFill="1" applyAlignment="1" applyProtection="1">
      <alignment horizontal="right" vertical="bottom"/>
      <protection locked="1" hidden="0"/>
    </xf>
    <xf numFmtId="167" fontId="12" fillId="3" borderId="3" xfId="0" applyNumberFormat="1" applyFont="1" applyFill="1" applyBorder="1" applyAlignment="1" applyProtection="1">
      <alignment horizontal="right" vertical="bottom"/>
      <protection locked="1" hidden="0"/>
    </xf>
    <xf numFmtId="170" fontId="6" fillId="3" borderId="0" xfId="0" applyNumberFormat="1" applyFont="1" applyFill="1" applyAlignment="1" applyProtection="1">
      <alignment horizontal="right" vertical="bottom"/>
      <protection locked="1" hidden="0"/>
    </xf>
    <xf numFmtId="165" fontId="6" fillId="2" borderId="0" xfId="0" applyNumberFormat="1" applyFont="1" applyFill="1" applyAlignment="1" applyProtection="1">
      <alignment horizontal="left" vertical="bottom"/>
      <protection locked="1" hidden="0"/>
    </xf>
    <xf numFmtId="167" fontId="12" fillId="2" borderId="3" xfId="0" applyNumberFormat="1" applyFont="1" applyFill="1" applyBorder="1" applyAlignment="1" applyProtection="1">
      <alignment horizontal="right" vertical="bottom"/>
      <protection locked="1" hidden="0"/>
    </xf>
    <xf numFmtId="167" fontId="9" fillId="3" borderId="0" xfId="0" applyNumberFormat="1" applyFont="1" applyFill="1" applyAlignment="1" applyProtection="1">
      <alignment horizontal="right" vertical="bottom"/>
      <protection locked="1" hidden="0"/>
    </xf>
    <xf numFmtId="164" fontId="1" fillId="3" borderId="0" xfId="0" applyNumberFormat="1" applyFont="1" applyFill="1" applyAlignment="1" applyProtection="1">
      <alignment horizontal="left" vertical="bottom"/>
      <protection locked="1" hidden="0"/>
    </xf>
    <xf numFmtId="165" fontId="6" fillId="3" borderId="0" xfId="0" applyNumberFormat="1" applyFont="1" applyFill="1" applyAlignment="1" applyProtection="1">
      <alignment horizontal="left" vertical="bottom"/>
      <protection locked="1" hidden="0"/>
    </xf>
    <xf numFmtId="164" fontId="9" fillId="3" borderId="0" xfId="0" applyNumberFormat="1" applyFont="1" applyFill="1" applyAlignment="1" applyProtection="1">
      <alignment horizontal="right" vertical="bottom"/>
      <protection locked="1" hidden="0"/>
    </xf>
    <xf numFmtId="164" fontId="8" fillId="2" borderId="0" xfId="0" applyNumberFormat="1" applyFont="1" applyFill="1" applyAlignment="1" applyProtection="1">
      <alignment horizontal="right" vertical="bottom"/>
      <protection locked="1" hidden="0"/>
    </xf>
    <xf numFmtId="164" fontId="11" fillId="3" borderId="0" xfId="0" applyNumberFormat="1" applyFont="1" applyFill="1" applyAlignment="1" applyProtection="1">
      <alignment horizontal="right" vertical="bottom"/>
      <protection locked="1" hidden="0"/>
    </xf>
    <xf numFmtId="166" fontId="7" fillId="3" borderId="0" xfId="0" applyNumberFormat="1" applyFont="1" applyFill="1" applyAlignment="1" applyProtection="1">
      <alignment horizontal="right" vertical="bottom"/>
      <protection locked="1" hidden="0"/>
    </xf>
    <xf numFmtId="0" fontId="4" fillId="2" borderId="0" xfId="0" applyFont="1" applyFill="1" applyAlignment="1" applyProtection="1">
      <alignment horizontal="general" vertical="bottom" indent="1"/>
      <protection locked="1" hidden="0"/>
    </xf>
    <xf numFmtId="169" fontId="5" fillId="2" borderId="0" xfId="0" applyNumberFormat="1" applyFont="1" applyFill="1" applyAlignment="1" applyProtection="1">
      <alignment horizontal="right" vertical="bottom"/>
      <protection locked="1" hidden="0"/>
    </xf>
    <xf numFmtId="169" fontId="5" fillId="3" borderId="0" xfId="0" applyNumberFormat="1" applyFont="1" applyFill="1" applyAlignment="1" applyProtection="1">
      <alignment horizontal="right" vertical="bottom"/>
      <protection locked="1" hidden="0"/>
    </xf>
    <xf numFmtId="172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6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5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8" fillId="5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3" fontId="18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5" fillId="5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5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3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8" fontId="15" fillId="5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7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6" fillId="0" borderId="0" xfId="0" applyNumberFormat="1" applyFont="1" applyFill="1" applyAlignment="1" applyProtection="1">
      <alignment horizontal="right" vertical="bottom"/>
      <protection locked="1" hidden="0"/>
    </xf>
    <xf numFmtId="173" fontId="18" fillId="0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2" fontId="2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4" fontId="19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9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18" fillId="3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5" fontId="19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15" fillId="3" borderId="0" xfId="0" applyNumberFormat="1" applyFont="1" applyFill="1" applyAlignment="1" applyProtection="1">
      <alignment horizontal="left" vertical="top" textRotation="0" wrapText="1" indent="0" readingOrder="0"/>
      <protection locked="1" hidden="0"/>
    </xf>
    <xf numFmtId="164" fontId="15" fillId="3" borderId="0" xfId="0" applyNumberFormat="1" applyFont="1" applyFill="1" applyAlignment="1" applyProtection="1">
      <alignment horizontal="right" vertical="bottom"/>
      <protection locked="1" hidden="0"/>
    </xf>
    <xf numFmtId="173" fontId="18" fillId="3" borderId="3" xfId="0" applyNumberFormat="1" applyFont="1" applyFill="1" applyBorder="1" applyAlignment="1" applyProtection="1">
      <alignment horizontal="right" vertical="bottom"/>
      <protection locked="1" hidden="0"/>
    </xf>
    <xf numFmtId="173" fontId="17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2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2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65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4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0" fontId="25" fillId="0" borderId="0" xfId="0" applyFont="1" applyFill="1" applyAlignment="1" applyProtection="1">
      <alignment horizontal="general" vertical="bottom"/>
      <protection locked="1" hidden="0"/>
    </xf>
    <xf numFmtId="172" fontId="24" fillId="0" borderId="0" xfId="0" applyNumberFormat="1" applyFont="1" applyFill="1" applyAlignment="1" applyProtection="1">
      <alignment horizontal="left" vertical="bottom"/>
      <protection locked="1" hidden="0"/>
    </xf>
    <xf numFmtId="173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5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64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8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24" fillId="0" borderId="0" xfId="0" applyFont="1" applyFill="1" applyAlignment="1" applyProtection="1">
      <alignment horizontal="general" vertical="bottom"/>
      <protection locked="1" hidden="0"/>
    </xf>
    <xf numFmtId="170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9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22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30" fillId="0" borderId="0" xfId="0" applyNumberFormat="1" applyFont="1" applyFill="1" applyAlignment="1" applyProtection="1">
      <alignment horizontal="right" vertical="bottom"/>
      <protection locked="1" hidden="0"/>
    </xf>
    <xf numFmtId="167" fontId="2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4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3" fontId="26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4" fillId="3" borderId="0" xfId="0" applyNumberFormat="1" applyFont="1" applyFill="1" applyAlignment="1" applyProtection="1">
      <alignment horizontal="left" vertical="bottom"/>
      <protection locked="1" hidden="0"/>
    </xf>
    <xf numFmtId="164" fontId="22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31" fillId="0" borderId="0" xfId="0" applyNumberFormat="1" applyFont="1" applyFill="1" applyAlignment="1" applyProtection="1">
      <alignment horizontal="right" vertical="bottom"/>
      <protection locked="1" hidden="0"/>
    </xf>
    <xf numFmtId="170" fontId="22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22" fillId="0" borderId="0" xfId="0" applyFont="1" applyFill="1" applyAlignment="1" applyProtection="1">
      <alignment horizontal="general" vertical="bottom"/>
      <protection locked="1" hidden="0"/>
    </xf>
    <xf numFmtId="164" fontId="27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2" fontId="24" fillId="3" borderId="0" xfId="0" applyNumberFormat="1" applyFont="1" applyFill="1" applyAlignment="1" applyProtection="1">
      <alignment horizontal="lef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theme" Target="theme/theme1.xml"/><Relationship Id="rId1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38100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showGridLines="0" tabSelected="1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 ht="5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15</v>
      </c>
      <c r="C9" s="40"/>
      <c r="D9" s="40"/>
      <c r="E9" s="40"/>
      <c r="F9" s="40"/>
      <c r="G9" s="40"/>
      <c r="H9" s="40"/>
      <c r="I9" s="40"/>
      <c r="J9" s="70"/>
      <c r="K9" s="4" t="s">
        <v>16</v>
      </c>
      <c r="L9" s="3"/>
      <c r="M9" s="3"/>
    </row>
    <row r="10">
      <c r="A10" s="3"/>
      <c r="B10" s="3"/>
      <c r="C10" s="1"/>
      <c r="D10" s="1"/>
      <c r="E10" s="1"/>
      <c r="F10" s="1"/>
      <c r="G10" s="1"/>
      <c r="H10" s="1"/>
      <c r="I10" s="1"/>
      <c r="J10" s="16"/>
      <c r="K10" s="4"/>
      <c r="L10" s="3"/>
      <c r="M10" s="3"/>
    </row>
    <row r="11">
      <c r="A11" s="3"/>
      <c r="B11" s="15" t="s">
        <v>17</v>
      </c>
      <c r="C11" s="5"/>
      <c r="D11" s="5"/>
      <c r="E11" s="5"/>
      <c r="F11" s="5"/>
      <c r="G11" s="5"/>
      <c r="H11" s="5"/>
      <c r="I11" s="5"/>
      <c r="J11" s="22"/>
      <c r="K11" s="4"/>
      <c r="L11" s="3"/>
      <c r="M11" s="3"/>
    </row>
    <row r="12">
      <c r="A12" s="3"/>
      <c r="B12" s="3" t="s">
        <v>18</v>
      </c>
      <c r="C12" s="39" t="s">
        <v>19</v>
      </c>
      <c r="D12" s="39"/>
      <c r="E12" s="39"/>
      <c r="F12" s="39"/>
      <c r="G12" s="39"/>
      <c r="H12" s="39"/>
      <c r="I12" s="39"/>
      <c r="J12" s="42"/>
      <c r="K12" s="4"/>
      <c r="L12" s="3"/>
      <c r="M12" s="3"/>
    </row>
    <row r="13">
      <c r="A13" s="3"/>
      <c r="B13" s="3" t="s">
        <v>20</v>
      </c>
      <c r="C13" s="39" t="s">
        <v>21</v>
      </c>
      <c r="D13" s="39"/>
      <c r="E13" s="39"/>
      <c r="F13" s="39"/>
      <c r="G13" s="39"/>
      <c r="H13" s="39"/>
      <c r="I13" s="39"/>
      <c r="J13" s="42"/>
      <c r="K13" s="4"/>
      <c r="L13" s="3"/>
      <c r="M13" s="3"/>
    </row>
    <row r="14">
      <c r="A14" s="3"/>
      <c r="B14" s="3" t="s">
        <v>22</v>
      </c>
      <c r="C14" s="39" t="s">
        <v>23</v>
      </c>
      <c r="D14" s="39"/>
      <c r="E14" s="39"/>
      <c r="F14" s="39"/>
      <c r="G14" s="39"/>
      <c r="H14" s="39"/>
      <c r="I14" s="39"/>
      <c r="J14" s="42"/>
      <c r="K14" s="4"/>
      <c r="L14" s="3"/>
      <c r="M14" s="3"/>
    </row>
    <row r="15">
      <c r="A15" s="3"/>
      <c r="B15" s="3" t="s">
        <v>24</v>
      </c>
      <c r="C15" s="39" t="s">
        <v>25</v>
      </c>
      <c r="D15" s="39"/>
      <c r="E15" s="39"/>
      <c r="F15" s="39"/>
      <c r="G15" s="39"/>
      <c r="H15" s="39"/>
      <c r="I15" s="39"/>
      <c r="J15" s="42"/>
      <c r="K15" s="4"/>
      <c r="L15" s="3"/>
      <c r="M15" s="3"/>
    </row>
    <row r="16">
      <c r="A16" s="3"/>
      <c r="B16" s="3" t="s">
        <v>26</v>
      </c>
      <c r="C16" s="39" t="s">
        <v>27</v>
      </c>
      <c r="D16" s="39"/>
      <c r="E16" s="39"/>
      <c r="F16" s="39"/>
      <c r="G16" s="39"/>
      <c r="H16" s="39"/>
      <c r="I16" s="39"/>
      <c r="J16" s="42"/>
      <c r="K16" s="4"/>
      <c r="L16" s="3"/>
      <c r="M16" s="3"/>
    </row>
    <row r="17">
      <c r="A17" s="3"/>
      <c r="B17" s="3" t="s">
        <v>28</v>
      </c>
      <c r="C17" s="39" t="s">
        <v>29</v>
      </c>
      <c r="D17" s="39"/>
      <c r="E17" s="39"/>
      <c r="F17" s="39"/>
      <c r="G17" s="39"/>
      <c r="H17" s="39"/>
      <c r="I17" s="39"/>
      <c r="J17" s="42"/>
      <c r="K17" s="4"/>
      <c r="L17" s="3"/>
      <c r="M17" s="3"/>
    </row>
    <row r="18">
      <c r="A18" s="3"/>
      <c r="B18" s="3" t="s">
        <v>30</v>
      </c>
      <c r="C18" s="39" t="s">
        <v>31</v>
      </c>
      <c r="D18" s="39"/>
      <c r="E18" s="39"/>
      <c r="F18" s="39"/>
      <c r="G18" s="39"/>
      <c r="H18" s="39"/>
      <c r="I18" s="39"/>
      <c r="J18" s="42"/>
      <c r="K18" s="4"/>
      <c r="L18" s="3"/>
      <c r="M18" s="3"/>
    </row>
    <row r="19">
      <c r="A19" s="3"/>
      <c r="B19" s="3" t="s">
        <v>32</v>
      </c>
      <c r="C19" s="39" t="s">
        <v>33</v>
      </c>
      <c r="D19" s="39"/>
      <c r="E19" s="39"/>
      <c r="F19" s="39"/>
      <c r="G19" s="39"/>
      <c r="H19" s="39"/>
      <c r="I19" s="39"/>
      <c r="J19" s="42"/>
      <c r="K19" s="4"/>
      <c r="L19" s="3"/>
      <c r="M19" s="3"/>
    </row>
    <row r="20">
      <c r="A20" s="3"/>
      <c r="B20" s="3" t="s">
        <v>34</v>
      </c>
      <c r="C20" s="17">
        <f>Inputs!J115</f>
        <v>171830</v>
      </c>
      <c r="D20" s="1"/>
      <c r="E20" s="1"/>
      <c r="F20" s="1"/>
      <c r="G20" s="1"/>
      <c r="H20" s="1"/>
      <c r="I20" s="1"/>
      <c r="J20" s="16"/>
      <c r="K20" s="4" t="s">
        <v>35</v>
      </c>
      <c r="L20" s="3"/>
      <c r="M20" s="3"/>
    </row>
    <row r="21">
      <c r="A21" s="3"/>
      <c r="B21" s="3" t="s">
        <v>36</v>
      </c>
      <c r="C21" s="98" t="str">
        <f>Inputs!J119</f>
        <v>Y</v>
      </c>
      <c r="D21" s="39"/>
      <c r="E21" s="39"/>
      <c r="F21" s="39"/>
      <c r="G21" s="39"/>
      <c r="H21" s="39"/>
      <c r="I21" s="39"/>
      <c r="J21" s="42"/>
      <c r="K21" s="4"/>
      <c r="L21" s="3"/>
      <c r="M21" s="3"/>
    </row>
    <row r="22">
      <c r="A22" s="3"/>
      <c r="B22" s="3"/>
      <c r="C22" s="1"/>
      <c r="D22" s="1"/>
      <c r="E22" s="1"/>
      <c r="F22" s="1"/>
      <c r="G22" s="1"/>
      <c r="H22" s="1"/>
      <c r="I22" s="1"/>
      <c r="J22" s="16"/>
      <c r="K22" s="4"/>
      <c r="L22" s="3"/>
      <c r="M22" s="3"/>
    </row>
    <row r="23">
      <c r="A23" s="3"/>
      <c r="B23" s="15" t="s">
        <v>37</v>
      </c>
      <c r="C23" s="5"/>
      <c r="D23" s="5"/>
      <c r="E23" s="5"/>
      <c r="F23" s="5"/>
      <c r="G23" s="5"/>
      <c r="H23" s="5"/>
      <c r="I23" s="5"/>
      <c r="J23" s="22"/>
      <c r="K23" s="4"/>
      <c r="L23" s="3"/>
      <c r="M23" s="3"/>
    </row>
    <row r="24">
      <c r="A24" s="3"/>
      <c r="B24" s="15" t="s">
        <v>2</v>
      </c>
      <c r="C24" s="31" t="s">
        <v>38</v>
      </c>
      <c r="D24" s="31" t="s">
        <v>39</v>
      </c>
      <c r="E24" s="31" t="s">
        <v>40</v>
      </c>
      <c r="F24" s="31" t="s">
        <v>41</v>
      </c>
      <c r="G24" s="31" t="s">
        <v>6</v>
      </c>
      <c r="H24" s="31"/>
      <c r="I24" s="31"/>
      <c r="J24" s="57"/>
      <c r="K24" s="4" t="s">
        <v>42</v>
      </c>
      <c r="L24" s="3"/>
      <c r="M24" s="3"/>
    </row>
    <row r="25">
      <c r="A25" s="3"/>
      <c r="B25" s="15" t="s">
        <v>43</v>
      </c>
      <c r="C25" s="41">
        <f>'Income Statement'!J10</f>
        <v>24980.533500000005</v>
      </c>
      <c r="D25" s="41">
        <f>Inputs!J53</f>
        <v>24970.63</v>
      </c>
      <c r="E25" s="5">
        <f>C25-D25</f>
        <v>9.903500000003987</v>
      </c>
      <c r="F25" s="5" t="s">
        <v>44</v>
      </c>
      <c r="G25" s="41">
        <f>'Income Statement'!E10</f>
        <v>23937</v>
      </c>
      <c r="H25" s="5"/>
      <c r="I25" s="5"/>
      <c r="J25" s="22"/>
      <c r="K25" s="4"/>
      <c r="L25" s="3"/>
      <c r="M25" s="3"/>
    </row>
    <row r="26">
      <c r="A26" s="3"/>
      <c r="B26" s="56" t="s">
        <v>45</v>
      </c>
      <c r="C26" s="7"/>
      <c r="D26" s="7"/>
      <c r="E26" s="7">
        <f>C25/D25-1</f>
        <v>0.0003966059326498961</v>
      </c>
      <c r="F26" s="7"/>
      <c r="G26" s="7">
        <f>C25/G25-1</f>
        <v>0.043594999373355314</v>
      </c>
      <c r="H26" s="7"/>
      <c r="I26" s="7"/>
      <c r="J26" s="25"/>
      <c r="K26" s="4"/>
      <c r="L26" s="3"/>
      <c r="M26" s="3"/>
    </row>
    <row r="27">
      <c r="A27" s="3"/>
      <c r="B27" s="15" t="s">
        <v>46</v>
      </c>
      <c r="C27" s="41">
        <f>'Income Statement'!J131</f>
        <v>3154.8665308865384</v>
      </c>
      <c r="D27" s="41">
        <f>Inputs!J66</f>
        <v>3140.74</v>
      </c>
      <c r="E27" s="5">
        <f>C27-D27</f>
        <v>14.126530886538603</v>
      </c>
      <c r="F27" s="5" t="s">
        <v>44</v>
      </c>
      <c r="G27" s="41">
        <f>'Income Statement'!E131</f>
        <v>3137</v>
      </c>
      <c r="H27" s="5"/>
      <c r="I27" s="5"/>
      <c r="J27" s="22"/>
      <c r="K27" s="4"/>
      <c r="L27" s="3"/>
      <c r="M27" s="3"/>
    </row>
    <row r="28">
      <c r="A28" s="3"/>
      <c r="B28" s="56" t="s">
        <v>45</v>
      </c>
      <c r="C28" s="7"/>
      <c r="D28" s="7"/>
      <c r="E28" s="7">
        <f>C27/D27-1</f>
        <v>0.004497835187420307</v>
      </c>
      <c r="F28" s="7"/>
      <c r="G28" s="7">
        <f>C27/G27-1</f>
        <v>0.0056954194729161856</v>
      </c>
      <c r="H28" s="7"/>
      <c r="I28" s="7"/>
      <c r="J28" s="25"/>
      <c r="K28" s="4"/>
      <c r="L28" s="3"/>
      <c r="M28" s="3"/>
    </row>
    <row r="29">
      <c r="A29" s="3"/>
      <c r="B29" s="15" t="s">
        <v>47</v>
      </c>
      <c r="C29" s="107">
        <f>'Income Statement'!J133</f>
        <v>2.3053496267820277</v>
      </c>
      <c r="D29" s="107">
        <f>Inputs!J37</f>
        <v>2.3</v>
      </c>
      <c r="E29" s="105">
        <f>C29-D29</f>
        <v>0.005349626782027883</v>
      </c>
      <c r="F29" s="105" t="s">
        <v>44</v>
      </c>
      <c r="G29" s="107">
        <f>'Income Statement'!E133</f>
        <v>2.2864431486880465</v>
      </c>
      <c r="H29" s="105"/>
      <c r="I29" s="105"/>
      <c r="J29" s="103"/>
      <c r="K29" s="4" t="s">
        <v>48</v>
      </c>
      <c r="L29" s="3"/>
      <c r="M29" s="3"/>
    </row>
    <row r="30">
      <c r="A30" s="3"/>
      <c r="B30" s="56" t="s">
        <v>45</v>
      </c>
      <c r="C30" s="7"/>
      <c r="D30" s="7"/>
      <c r="E30" s="7">
        <f>C29/D29-1</f>
        <v>0.00232592468783821</v>
      </c>
      <c r="F30" s="7"/>
      <c r="G30" s="7">
        <f>C29/G29-1</f>
        <v>0.008268947384425296</v>
      </c>
      <c r="H30" s="7"/>
      <c r="I30" s="7"/>
      <c r="J30" s="25"/>
      <c r="K30" s="4"/>
      <c r="L30" s="3"/>
      <c r="M30" s="3"/>
    </row>
    <row r="31">
      <c r="A31" s="3"/>
      <c r="B31" s="15" t="s">
        <v>49</v>
      </c>
      <c r="C31" s="41">
        <f>'Income Statement'!J43</f>
        <v>3084.2765308865382</v>
      </c>
      <c r="D31" s="41">
        <f>Inputs!J67</f>
        <v>3115.72</v>
      </c>
      <c r="E31" s="5">
        <f>C31-D31</f>
        <v>-31.44346911346156</v>
      </c>
      <c r="F31" s="5" t="s">
        <v>44</v>
      </c>
      <c r="G31" s="41">
        <f>'Income Statement'!E43</f>
        <v>2603</v>
      </c>
      <c r="H31" s="5"/>
      <c r="I31" s="5"/>
      <c r="J31" s="22"/>
      <c r="K31" s="4"/>
      <c r="L31" s="3"/>
      <c r="M31" s="3"/>
    </row>
    <row r="32">
      <c r="A32" s="3"/>
      <c r="B32" s="56" t="s">
        <v>45</v>
      </c>
      <c r="C32" s="7"/>
      <c r="D32" s="7"/>
      <c r="E32" s="7">
        <f>C31/D31-1</f>
        <v>-0.010091878960067469</v>
      </c>
      <c r="F32" s="7"/>
      <c r="G32" s="7">
        <f>C31/G31-1</f>
        <v>0.18489301993336094</v>
      </c>
      <c r="H32" s="7"/>
      <c r="I32" s="7"/>
      <c r="J32" s="25"/>
      <c r="K32" s="4"/>
      <c r="L32" s="3"/>
      <c r="M32" s="3"/>
    </row>
    <row r="33">
      <c r="A33" s="3"/>
      <c r="B33" s="15" t="s">
        <v>50</v>
      </c>
      <c r="C33" s="107">
        <f>'Income Statement'!J51</f>
        <v>2.2537675301825835</v>
      </c>
      <c r="D33" s="107">
        <f>Inputs!J46</f>
        <v>2.28</v>
      </c>
      <c r="E33" s="105">
        <f>C33-D33</f>
        <v>-0.026232469817416337</v>
      </c>
      <c r="F33" s="105" t="s">
        <v>44</v>
      </c>
      <c r="G33" s="107">
        <f>'Income Statement'!E51</f>
        <v>1.8972303206997085</v>
      </c>
      <c r="H33" s="105"/>
      <c r="I33" s="105"/>
      <c r="J33" s="103"/>
      <c r="K33" s="4"/>
      <c r="L33" s="3"/>
      <c r="M33" s="3"/>
    </row>
    <row r="34">
      <c r="A34" s="3"/>
      <c r="B34" s="56" t="s">
        <v>45</v>
      </c>
      <c r="C34" s="7"/>
      <c r="D34" s="7"/>
      <c r="E34" s="7">
        <f>C33/D33-1</f>
        <v>-0.011505469218165087</v>
      </c>
      <c r="F34" s="7"/>
      <c r="G34" s="7">
        <f>C33/G33-1</f>
        <v>0.18792510618920644</v>
      </c>
      <c r="H34" s="7"/>
      <c r="I34" s="7"/>
      <c r="J34" s="25"/>
      <c r="K34" s="4"/>
      <c r="L34" s="3"/>
      <c r="M34" s="3"/>
    </row>
    <row r="35">
      <c r="A35" s="3"/>
      <c r="B35" s="3" t="s">
        <v>51</v>
      </c>
      <c r="C35" s="95"/>
      <c r="D35" s="95"/>
      <c r="E35" s="95"/>
      <c r="F35" s="99">
        <f>Guidance!G28</f>
        <v>8.628400000000001</v>
      </c>
      <c r="G35" s="95"/>
      <c r="H35" s="95"/>
      <c r="I35" s="95"/>
      <c r="J35" s="100"/>
      <c r="K35" s="4" t="s">
        <v>52</v>
      </c>
      <c r="L35" s="3"/>
      <c r="M35" s="3"/>
    </row>
    <row r="36">
      <c r="A36" s="3"/>
      <c r="B36" s="157" t="s">
        <v>53</v>
      </c>
      <c r="C36" s="147">
        <f>C29-Guidance!G40</f>
        <v>2.223949626782028</v>
      </c>
      <c r="D36" s="144">
        <f>D29</f>
        <v>2.3</v>
      </c>
      <c r="E36" s="144">
        <f>C36-D36</f>
        <v>-0.07605037321797203</v>
      </c>
      <c r="F36" s="61"/>
      <c r="G36" s="61"/>
      <c r="H36" s="61"/>
      <c r="I36" s="61"/>
      <c r="J36" s="58"/>
      <c r="K36" s="133" t="s">
        <v>54</v>
      </c>
      <c r="L36" s="3"/>
      <c r="M36" s="3"/>
    </row>
    <row r="37">
      <c r="A37" s="3"/>
      <c r="B37" s="75" t="s">
        <v>55</v>
      </c>
      <c r="C37" s="73">
        <f>Inputs!J129</f>
        <v>0.621</v>
      </c>
      <c r="D37" s="148"/>
      <c r="E37" s="148"/>
      <c r="F37" s="148"/>
      <c r="G37" s="148"/>
      <c r="H37" s="148"/>
      <c r="I37" s="148"/>
      <c r="J37" s="145"/>
      <c r="K37" s="4" t="s">
        <v>56</v>
      </c>
      <c r="L37" s="3"/>
      <c r="M37" s="3"/>
    </row>
    <row r="38">
      <c r="A38" s="3"/>
      <c r="B38" s="15" t="s">
        <v>57</v>
      </c>
      <c r="C38" s="94" t="str">
        <f>Inputs!J130</f>
        <v>medium</v>
      </c>
      <c r="D38" s="132"/>
      <c r="E38" s="132"/>
      <c r="F38" s="132"/>
      <c r="G38" s="132"/>
      <c r="H38" s="132"/>
      <c r="I38" s="132"/>
      <c r="J38" s="159"/>
      <c r="K38" s="4"/>
      <c r="L38" s="3"/>
      <c r="M38" s="3"/>
    </row>
    <row r="39">
      <c r="A39" s="3"/>
      <c r="C39" s="5"/>
      <c r="D39" s="139"/>
      <c r="E39" s="139"/>
      <c r="F39" s="139"/>
      <c r="G39" s="139"/>
      <c r="H39" s="139"/>
      <c r="I39" s="139"/>
      <c r="J39" s="153"/>
      <c r="K39" s="4"/>
      <c r="L39" s="3"/>
      <c r="M39" s="3"/>
    </row>
    <row r="40">
      <c r="A40" s="3"/>
      <c r="B40" s="15" t="s">
        <v>58</v>
      </c>
      <c r="D40" s="130"/>
      <c r="E40" s="130"/>
      <c r="F40" s="130"/>
      <c r="G40" s="130"/>
      <c r="H40" s="130"/>
      <c r="I40" s="130"/>
      <c r="J40" s="149"/>
      <c r="K40" s="4"/>
      <c r="L40" s="3"/>
      <c r="M40" s="3"/>
    </row>
    <row r="41">
      <c r="A41" s="3"/>
      <c r="B41" s="3" t="s">
        <v>59</v>
      </c>
      <c r="C41" s="76">
        <f>Inputs!J42</f>
        <v>17</v>
      </c>
      <c r="D41" s="150"/>
      <c r="E41" s="150"/>
      <c r="F41" s="150"/>
      <c r="G41" s="150"/>
      <c r="H41" s="150"/>
      <c r="I41" s="150"/>
      <c r="J41" s="146"/>
      <c r="K41" s="4"/>
      <c r="L41" s="3"/>
      <c r="M41" s="3"/>
    </row>
    <row r="42">
      <c r="A42" s="3"/>
      <c r="B42" s="3" t="s">
        <v>60</v>
      </c>
      <c r="C42" s="99">
        <f>Inputs!J39</f>
        <v>2.33</v>
      </c>
      <c r="D42" s="135"/>
      <c r="E42" s="135"/>
      <c r="F42" s="135"/>
      <c r="G42" s="135"/>
      <c r="H42" s="135"/>
      <c r="I42" s="135"/>
      <c r="J42" s="151"/>
      <c r="K42" s="4"/>
      <c r="L42" s="3"/>
      <c r="M42" s="3"/>
    </row>
    <row r="43">
      <c r="A43" s="3"/>
      <c r="B43" s="3" t="s">
        <v>61</v>
      </c>
      <c r="C43" s="99">
        <f>Inputs!J40</f>
        <v>2.26</v>
      </c>
      <c r="D43" s="135"/>
      <c r="E43" s="135"/>
      <c r="F43" s="135"/>
      <c r="G43" s="135"/>
      <c r="H43" s="135"/>
      <c r="I43" s="135"/>
      <c r="J43" s="151"/>
      <c r="K43" s="4"/>
      <c r="L43" s="3"/>
      <c r="M43" s="3"/>
    </row>
    <row r="44">
      <c r="A44" s="3"/>
      <c r="C44" s="5"/>
      <c r="D44" s="139"/>
      <c r="E44" s="139"/>
      <c r="F44" s="139"/>
      <c r="G44" s="139"/>
      <c r="H44" s="139"/>
      <c r="I44" s="139"/>
      <c r="J44" s="153"/>
      <c r="K44" s="4"/>
      <c r="L44" s="3"/>
      <c r="M44" s="3"/>
    </row>
    <row r="45">
      <c r="A45" s="3"/>
      <c r="B45" s="15" t="s">
        <v>62</v>
      </c>
      <c r="D45" s="130"/>
      <c r="E45" s="130"/>
      <c r="F45" s="130"/>
      <c r="G45" s="130"/>
      <c r="H45" s="130"/>
      <c r="I45" s="130"/>
      <c r="J45" s="149"/>
      <c r="K45" s="4"/>
      <c r="L45" s="3"/>
      <c r="M45" s="3"/>
    </row>
    <row r="46">
      <c r="A46" s="3"/>
      <c r="B46" s="12" t="s">
        <v>63</v>
      </c>
      <c r="C46" s="111">
        <f>C29-'Income Statement'!J133</f>
        <v>0</v>
      </c>
      <c r="D46" s="142"/>
      <c r="E46" s="142"/>
      <c r="F46" s="142"/>
      <c r="G46" s="142"/>
      <c r="H46" s="142"/>
      <c r="I46" s="142"/>
      <c r="J46" s="138"/>
      <c r="K46" s="4"/>
      <c r="L46" s="3"/>
      <c r="M46" s="3"/>
    </row>
    <row r="47">
      <c r="A47" s="3"/>
      <c r="B47" s="12" t="s">
        <v>64</v>
      </c>
      <c r="C47" s="72">
        <f>C25-'Income Statement'!J10</f>
        <v>0</v>
      </c>
      <c r="D47" s="137"/>
      <c r="E47" s="137"/>
      <c r="F47" s="137"/>
      <c r="G47" s="137"/>
      <c r="H47" s="137"/>
      <c r="I47" s="137"/>
      <c r="J47" s="158"/>
      <c r="L47" s="3"/>
      <c r="M47" s="3"/>
    </row>
    <row r="48">
      <c r="A48" s="3"/>
      <c r="B48" s="3" t="s">
        <v>65</v>
      </c>
      <c r="C48" s="46">
        <v>0.5</v>
      </c>
      <c r="D48" s="141"/>
      <c r="E48" s="141"/>
      <c r="F48" s="141"/>
      <c r="G48" s="141"/>
      <c r="H48" s="141"/>
      <c r="I48" s="141"/>
      <c r="J48" s="155"/>
      <c r="K48" s="4" t="s">
        <v>66</v>
      </c>
      <c r="L48" s="3"/>
      <c r="M48" s="3"/>
    </row>
    <row r="49">
      <c r="A49" s="3"/>
      <c r="B49" s="3" t="s">
        <v>67</v>
      </c>
      <c r="C49" s="156">
        <v>0.005</v>
      </c>
      <c r="D49" s="135"/>
      <c r="E49" s="135"/>
      <c r="F49" s="135"/>
      <c r="G49" s="135"/>
      <c r="H49" s="135"/>
      <c r="I49" s="135"/>
      <c r="J49" s="151"/>
      <c r="K49" s="4" t="s">
        <v>68</v>
      </c>
      <c r="L49" s="3"/>
      <c r="M49" s="3"/>
    </row>
    <row r="50">
      <c r="B50" s="15" t="s">
        <v>69</v>
      </c>
      <c r="C50" s="94" t="str">
        <f>IF(COUNTIF('Segment - PFNA'!C97:I97,"&gt;"&amp;$C$48)+COUNTIF('Segment - PFNA'!C97:I97,"&lt;"&amp;-$C$48)+COUNTIF('Segment - PBNA'!C97:I97,"&gt;"&amp;$C$48)+COUNTIF('Segment - PBNA'!C97:I97,"&lt;"&amp;-$C$48)+COUNTIF('Segment - IB Franchise'!C95:I95,"&gt;"&amp;$C$48)+COUNTIF('Segment - IB Franchise'!C95:I95,"&lt;"&amp;-$C$48)+COUNTIF('Segment - EMEA'!C108:I108,"&gt;"&amp;$C$48)+COUNTIF('Segment - EMEA'!C108:I108,"&lt;"&amp;-$C$48)+COUNTIF('Segment - LatAm Foods'!C95:I95,"&gt;"&amp;$C$48)+COUNTIF('Segment - LatAm Foods'!C95:I95,"&lt;"&amp;-$C$48)+COUNTIF('Segment - APAC Foods'!C95:I95,"&gt;"&amp;$C$48)+COUNTIF('Segment - APAC Foods'!C95:I95,"&lt;"&amp;-$C$48)+COUNTIF('Revenue summary'!C45:I45,"&gt;"&amp;$C$48)+COUNTIF('Revenue summary'!C45:I45,"&lt;"&amp;-$C$48)+COUNTIF('Income Statement'!C54:I54,"&gt;"&amp;$C$49)+COUNTIF('Income Statement'!C54:I54,"&lt;"&amp;-$C$49)+COUNTIF('Income Statement'!C70:I70,"&gt;"&amp;$C$48)+COUNTIF('Income Statement'!C70:I70,"&lt;"&amp;-$C$48)+COUNTIF('Income Statement'!C82:I82,"&gt;"&amp;$C$48)+COUNTIF('Income Statement'!C82:I82,"&lt;"&amp;-$C$48)+COUNTIF('Income Statement'!C93:I93,"&gt;"&amp;$C$48)+COUNTIF('Income Statement'!C93:I93,"&lt;"&amp;-$C$48)+COUNTIF('Income Statement'!C105:I105,"&gt;"&amp;$C$48)+COUNTIF('Income Statement'!C105:I105,"&lt;"&amp;-$C$48)+COUNTIF('Income Statement'!C136:I136,"&gt;"&amp;$C$49)+COUNTIF('Income Statement'!C136:I136,"&lt;"&amp;-$C$49)+COUNTIF('Income Statement'!C148:I148,"&gt;"&amp;$C$49)+COUNTIF('Income Statement'!C148:I148,"&lt;"&amp;-$C$49)+COUNTIF('Income Statement'!C154:I154,"&gt;"&amp;$C$49)+COUNTIF('Income Statement'!C154:I154,"&lt;"&amp;-$C$49)+COUNTIF('Balance Sheet'!C29:I29,"&gt;"&amp;$C$48)+COUNTIF('Balance Sheet'!C29:I29,"&lt;"&amp;-$C$48)+COUNTIF('Balance Sheet'!C50:I50,"&gt;"&amp;$C$48)+COUNTIF('Balance Sheet'!C50:I50,"&lt;"&amp;-$C$48)+COUNTIF('Cash Flow Statement'!C101:I101,"&gt;"&amp;$C$48)+COUNTIF('Cash Flow Statement'!C101:I101,"&lt;"&amp;-$C$48)+COUNTIF('Cash Flow Statement'!C110:I110,"&gt;"&amp;$C$48)+COUNTIF('Cash Flow Statement'!C110:I110,"&lt;"&amp;-$C$48)+COUNTIF('Cash Flow Statement'!C135:I135,"&gt;"&amp;$C$48)+COUNTIF('Cash Flow Statement'!C135:I135,"&lt;"&amp;-$C$48)+COUNTIF('Cash Flow Statement'!C161:I161,"&gt;"&amp;$C$48)+COUNTIF('Cash Flow Statement'!C161:I161,"&lt;"&amp;-$C$48)+COUNTIF('Cash Flow Statement'!C208:I208,"&gt;"&amp;$C$48)+COUNTIF('Cash Flow Statement'!C208:I208,"&lt;"&amp;-$C$48)+COUNTIF(Geo!C47:I47,"&gt;"&amp;$C$48)+COUNTIF(Geo!C47:I47,"&lt;"&amp;-$C$48)+COUNTIF(Geo!C66:I66,"&gt;"&amp;$C$48)+COUNTIF(Geo!C66:I66,"&lt;"&amp;-$C$48)=0,"PASS","FAIL")</f>
        <v>PASS</v>
      </c>
      <c r="D50" s="134"/>
      <c r="E50" s="134"/>
      <c r="F50" s="134"/>
      <c r="G50" s="134"/>
      <c r="H50" s="134"/>
      <c r="I50" s="134"/>
      <c r="J50" s="152"/>
      <c r="K50" s="4" t="s">
        <v>70</v>
      </c>
    </row>
    <row r="51">
      <c r="B51" s="140" t="s">
        <v>71</v>
      </c>
      <c r="C51" s="154" t="str">
        <f>IF(COUNTIF('Revenue summary'!C78:J78,"&gt;"&amp;$C$48)+COUNTIF('Revenue summary'!C78:J78,"&lt;"&amp;-$C$48)+COUNTIF('Revenue summary'!C103:J103,"&gt;"&amp;$C$48)+COUNTIF('Revenue summary'!C103:J103,"&lt;"&amp;-$C$48)+COUNTIF('Cash Flow Statement'!C108:J108,"&gt;"&amp;$C$48)+COUNTIF('Cash Flow Statement'!C108:J108,"&lt;"&amp;-$C$48)+COUNTIF('Revenue summary'!J45,"&gt;"&amp;$C$48)+COUNTIF('Revenue summary'!J45,"&lt;"&amp;-$C$48)+COUNTIF('Income Statement'!J82,"&gt;"&amp;$C$48)+COUNTIF('Income Statement'!J82,"&lt;"&amp;-$C$48)+COUNTIF('Income Statement'!J93,"&gt;"&amp;$C$48)+COUNTIF('Income Statement'!J93,"&lt;"&amp;-$C$48)+COUNTIF('Income Statement'!J105,"&gt;"&amp;$C$48)+COUNTIF('Income Statement'!J105,"&lt;"&amp;-$C$48)+COUNTIF('Balance Sheet'!J50,"&gt;"&amp;$C$48)+COUNTIF('Balance Sheet'!J50,"&lt;"&amp;-$C$48)+COUNTIF('Cash Flow Statement'!J110,"&gt;"&amp;$C$48)+COUNTIF('Cash Flow Statement'!J110,"&lt;"&amp;-$C$48)+COUNTIF('Cash Flow Statement'!J135,"&gt;"&amp;$C$48)+COUNTIF('Cash Flow Statement'!J135,"&lt;"&amp;-$C$48)+COUNTIF('Cash Flow Statement'!J161,"&gt;"&amp;$C$48)+COUNTIF('Cash Flow Statement'!J161,"&lt;"&amp;-$C$48)+COUNTIF(Geo!J66,"&gt;"&amp;$C$48)+COUNTIF(Geo!J66,"&lt;"&amp;-$C$48)+COUNTIF(C46,"&gt;"&amp;$C$49)+COUNTIF(C46,"&lt;"&amp;-$C$49)+COUNTIF(C47,"&gt;"&amp;$C$48)+COUNTIF(C47,"&lt;"&amp;-$C$48)=0,"OK","BROKEN")</f>
        <v>OK</v>
      </c>
      <c r="K51" s="133" t="s">
        <v>72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74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3" t="s">
        <v>75</v>
      </c>
      <c r="C10" s="17">
        <f>'Segment - PFNA'!C33</f>
        <v>6213</v>
      </c>
      <c r="D10" s="17">
        <f>'Segment - PFNA'!D33</f>
        <v>6476</v>
      </c>
      <c r="E10" s="17">
        <f>'Segment - PFNA'!E33</f>
        <v>6526</v>
      </c>
      <c r="F10" s="17">
        <f>'Segment - PFNA'!F33</f>
        <v>8313</v>
      </c>
      <c r="G10" s="17">
        <f>'Segment - PFNA'!G33</f>
        <v>27528</v>
      </c>
      <c r="H10" s="17">
        <f>'Segment - PFNA'!H33</f>
        <v>6332</v>
      </c>
      <c r="I10" s="17">
        <f>'Segment - PFNA'!I33</f>
        <v>6368</v>
      </c>
      <c r="J10" s="64">
        <f>'Segment - PFNA'!J33</f>
        <v>6457.477</v>
      </c>
      <c r="K10" s="4" t="s">
        <v>76</v>
      </c>
      <c r="L10" s="3"/>
      <c r="M10" s="3"/>
    </row>
    <row r="11">
      <c r="A11" s="3"/>
      <c r="B11" s="56" t="s">
        <v>77</v>
      </c>
      <c r="C11" s="36">
        <f>IFERROR('Segment - PFNA'!C33/'Segment - PFNA'!C10-1,"n/a")</f>
        <v>-0.00893284415377249</v>
      </c>
      <c r="D11" s="36">
        <f>IFERROR('Segment - PFNA'!D33/'Segment - PFNA'!D10-1,"n/a")</f>
        <v>0.0063714063714064295</v>
      </c>
      <c r="E11" s="36">
        <f>IFERROR('Segment - PFNA'!E33/'Segment - PFNA'!E10-1,"n/a")</f>
        <v>-0.0015299877600979395</v>
      </c>
      <c r="F11" s="36">
        <f>IFERROR('Segment - PFNA'!F33/'Segment - PFNA'!F10-1,"n/a")</f>
        <v>0.014894396288609446</v>
      </c>
      <c r="G11" s="36">
        <f>IFERROR('Segment - PFNA'!G33/'Segment - PFNA'!G10-1,"n/a")</f>
        <v>0.00353614523714052</v>
      </c>
      <c r="H11" s="36">
        <f>IFERROR('Segment - PFNA'!H33/'Segment - PFNA'!H10-1,"n/a")</f>
        <v>0.01915338805729916</v>
      </c>
      <c r="I11" s="36">
        <f>IFERROR('Segment - PFNA'!I33/'Segment - PFNA'!I10-1,"n/a")</f>
        <v>-0.016676961087090825</v>
      </c>
      <c r="J11" s="84">
        <f>IFERROR('Segment - PFNA'!J33/'Segment - PFNA'!J10-1,"n/a")</f>
        <v>-0.010500000000000065</v>
      </c>
      <c r="K11" s="4"/>
      <c r="L11" s="3"/>
      <c r="M11" s="3"/>
    </row>
    <row r="12">
      <c r="A12" s="3"/>
      <c r="B12" s="56" t="s">
        <v>78</v>
      </c>
      <c r="C12" s="7" t="s">
        <v>44</v>
      </c>
      <c r="D12" s="7">
        <f>IFERROR(IF(OR(D10&lt;0,C10&lt;0),"n.m.",D10/C10-1),"n/a")</f>
        <v>0.042330597135039394</v>
      </c>
      <c r="E12" s="7">
        <f>IFERROR(IF(OR(E10&lt;0,D10&lt;0),"n.m.",E10/D10-1),"n/a")</f>
        <v>0.007720815318097651</v>
      </c>
      <c r="F12" s="7">
        <f>IFERROR(IF(OR(F10&lt;0,E10&lt;0),"n.m.",F10/E10-1),"n/a")</f>
        <v>0.2738277658596384</v>
      </c>
      <c r="G12" s="7" t="s">
        <v>44</v>
      </c>
      <c r="H12" s="7">
        <f>IFERROR(IF(OR(H10&lt;0,F10&lt;0),"n.m.",H10/F10-1),"n/a")</f>
        <v>-0.2383014555515458</v>
      </c>
      <c r="I12" s="7">
        <f>IFERROR(IF(OR(I10&lt;0,H10&lt;0),"n.m.",I10/H10-1),"n/a")</f>
        <v>0.005685407454200986</v>
      </c>
      <c r="J12" s="25">
        <f>IFERROR(IF(OR(J10&lt;0,I10&lt;0),"n.m.",J10/I10-1),"n/a")</f>
        <v>0.01405103643216088</v>
      </c>
      <c r="K12" s="4"/>
      <c r="L12" s="3"/>
      <c r="M12" s="3"/>
    </row>
    <row r="13">
      <c r="A13" s="3"/>
      <c r="B13" s="56" t="s">
        <v>79</v>
      </c>
      <c r="C13" s="7">
        <f>IFERROR(C10/C40,"n/a")</f>
        <v>0.34672693788715886</v>
      </c>
      <c r="D13" s="7">
        <f>IFERROR(D10/D40,"n/a")</f>
        <v>0.28495995775763444</v>
      </c>
      <c r="E13" s="7">
        <f>IFERROR(E10/E40,"n/a")</f>
        <v>0.2726323265237916</v>
      </c>
      <c r="F13" s="7">
        <f>IFERROR(F10/F40,"n/a")</f>
        <v>0.2833043656067887</v>
      </c>
      <c r="G13" s="7">
        <f>IFERROR(G10/G40,"n/a")</f>
        <v>0.29308490817141336</v>
      </c>
      <c r="H13" s="7">
        <f>IFERROR(H10/H40,"n/a")</f>
        <v>0.32566990690737024</v>
      </c>
      <c r="I13" s="7">
        <f>IFERROR(I10/I40,"n/a")</f>
        <v>0.2633472561101691</v>
      </c>
      <c r="J13" s="25">
        <f>IFERROR(J10/J40,"n/a")</f>
        <v>0.2585003638933491</v>
      </c>
      <c r="K13" s="4"/>
      <c r="L13" s="3"/>
      <c r="M13" s="3"/>
    </row>
    <row r="14">
      <c r="A14" s="3"/>
      <c r="B14" s="49" t="s">
        <v>80</v>
      </c>
      <c r="C14" s="77" t="s">
        <v>44</v>
      </c>
      <c r="D14" s="77" t="s">
        <v>44</v>
      </c>
      <c r="E14" s="77" t="s">
        <v>44</v>
      </c>
      <c r="F14" s="77" t="s">
        <v>44</v>
      </c>
      <c r="G14" s="77" t="s">
        <v>44</v>
      </c>
      <c r="H14" s="77">
        <f>IFERROR((H13-C13)*10000,"n/a")</f>
        <v>-210.57030979788615</v>
      </c>
      <c r="I14" s="77">
        <f>IFERROR((I13-D13)*10000,"n/a")</f>
        <v>-216.12701647465315</v>
      </c>
      <c r="J14" s="78">
        <f>IFERROR((J13-E13)*10000,"n/a")</f>
        <v>-141.31962630442473</v>
      </c>
      <c r="K14" s="4"/>
      <c r="L14" s="3"/>
      <c r="M14" s="3"/>
    </row>
    <row r="15">
      <c r="A15" s="3"/>
      <c r="B15" s="3" t="s">
        <v>81</v>
      </c>
      <c r="C15" s="17">
        <f>'Segment - PBNA'!C33</f>
        <v>5876</v>
      </c>
      <c r="D15" s="17">
        <f>'Segment - PBNA'!D33</f>
        <v>6796</v>
      </c>
      <c r="E15" s="17">
        <f>'Segment - PBNA'!E33</f>
        <v>7327</v>
      </c>
      <c r="F15" s="17">
        <f>'Segment - PBNA'!F33</f>
        <v>8198</v>
      </c>
      <c r="G15" s="17">
        <f>'Segment - PBNA'!G33</f>
        <v>28197</v>
      </c>
      <c r="H15" s="17">
        <f>'Segment - PBNA'!H33</f>
        <v>6391</v>
      </c>
      <c r="I15" s="17">
        <f>'Segment - PBNA'!I33</f>
        <v>7243</v>
      </c>
      <c r="J15" s="64">
        <f>'Segment - PBNA'!J33</f>
        <v>7678.5765</v>
      </c>
      <c r="K15" s="4" t="s">
        <v>82</v>
      </c>
      <c r="L15" s="3"/>
      <c r="M15" s="3"/>
    </row>
    <row r="16">
      <c r="A16" s="3"/>
      <c r="B16" s="56" t="s">
        <v>77</v>
      </c>
      <c r="C16" s="36">
        <f>IFERROR('Segment - PBNA'!C33/'Segment - PBNA'!C10-1,"n/a")</f>
        <v>0.0003404834865508022</v>
      </c>
      <c r="D16" s="36">
        <f>IFERROR('Segment - PBNA'!D33/'Segment - PBNA'!D10-1,"n/a")</f>
        <v>-0.002202319776831607</v>
      </c>
      <c r="E16" s="36">
        <f>IFERROR('Segment - PBNA'!E33/'Segment - PBNA'!E10-1,"n/a")</f>
        <v>0.021184668989546962</v>
      </c>
      <c r="F16" s="36">
        <f>IFERROR('Segment - PBNA'!F33/'Segment - PBNA'!F10-1,"n/a")</f>
        <v>0.03654064989252759</v>
      </c>
      <c r="G16" s="36">
        <f>IFERROR('Segment - PBNA'!G33/'Segment - PBNA'!G10-1,"n/a")</f>
        <v>0.015412870467067519</v>
      </c>
      <c r="H16" s="36">
        <f>IFERROR('Segment - PBNA'!H33/'Segment - PBNA'!H10-1,"n/a")</f>
        <v>0.08764465622872697</v>
      </c>
      <c r="I16" s="36">
        <f>IFERROR('Segment - PBNA'!I33/'Segment - PBNA'!I10-1,"n/a")</f>
        <v>0.06577398469688056</v>
      </c>
      <c r="J16" s="84">
        <f>IFERROR('Segment - PBNA'!J33/'Segment - PBNA'!J10-1,"n/a")</f>
        <v>0.04798369045994266</v>
      </c>
      <c r="K16" s="4"/>
      <c r="L16" s="3"/>
      <c r="M16" s="3"/>
    </row>
    <row r="17">
      <c r="A17" s="3"/>
      <c r="B17" s="56" t="s">
        <v>78</v>
      </c>
      <c r="C17" s="7" t="s">
        <v>44</v>
      </c>
      <c r="D17" s="7">
        <f>IFERROR(IF(OR(D15&lt;0,C15&lt;0),"n.m.",D15/C15-1),"n/a")</f>
        <v>0.15656909462219204</v>
      </c>
      <c r="E17" s="7">
        <f>IFERROR(IF(OR(E15&lt;0,D15&lt;0),"n.m.",E15/D15-1),"n/a")</f>
        <v>0.07813419658622722</v>
      </c>
      <c r="F17" s="7">
        <f>IFERROR(IF(OR(F15&lt;0,E15&lt;0),"n.m.",F15/E15-1),"n/a")</f>
        <v>0.11887539238433198</v>
      </c>
      <c r="G17" s="7" t="s">
        <v>44</v>
      </c>
      <c r="H17" s="7">
        <f>IFERROR(IF(OR(H15&lt;0,F15&lt;0),"n.m.",H15/F15-1),"n/a")</f>
        <v>-0.2204196145401317</v>
      </c>
      <c r="I17" s="7">
        <f>IFERROR(IF(OR(I15&lt;0,H15&lt;0),"n.m.",I15/H15-1),"n/a")</f>
        <v>0.13331247066186824</v>
      </c>
      <c r="J17" s="25">
        <f>IFERROR(IF(OR(J15&lt;0,I15&lt;0),"n.m.",J15/I15-1),"n/a")</f>
        <v>0.060137581112798655</v>
      </c>
      <c r="K17" s="4"/>
      <c r="L17" s="3"/>
      <c r="M17" s="3"/>
    </row>
    <row r="18">
      <c r="A18" s="3"/>
      <c r="B18" s="56" t="s">
        <v>79</v>
      </c>
      <c r="C18" s="7">
        <f>IFERROR(C15/C40,"n/a")</f>
        <v>0.3279200848261622</v>
      </c>
      <c r="D18" s="7">
        <f>IFERROR(D15/D40,"n/a")</f>
        <v>0.2990407462817918</v>
      </c>
      <c r="E18" s="7">
        <f>IFERROR(E15/E40,"n/a")</f>
        <v>0.3060951664786732</v>
      </c>
      <c r="F18" s="7">
        <f>IFERROR(F15/F40,"n/a")</f>
        <v>0.27938520260368743</v>
      </c>
      <c r="G18" s="7">
        <f>IFERROR(G15/G40,"n/a")</f>
        <v>0.30020761245674743</v>
      </c>
      <c r="H18" s="7">
        <f>IFERROR(H15/H40,"n/a")</f>
        <v>0.3287044180424832</v>
      </c>
      <c r="I18" s="7">
        <f>IFERROR(I15/I40,"n/a")</f>
        <v>0.299532690955709</v>
      </c>
      <c r="J18" s="25">
        <f>IFERROR(J15/J40,"n/a")</f>
        <v>0.30738240638455533</v>
      </c>
      <c r="K18" s="4"/>
      <c r="L18" s="3"/>
      <c r="M18" s="3"/>
    </row>
    <row r="19">
      <c r="A19" s="3"/>
      <c r="B19" s="49" t="s">
        <v>80</v>
      </c>
      <c r="C19" s="77" t="s">
        <v>44</v>
      </c>
      <c r="D19" s="77" t="s">
        <v>44</v>
      </c>
      <c r="E19" s="77" t="s">
        <v>44</v>
      </c>
      <c r="F19" s="77" t="s">
        <v>44</v>
      </c>
      <c r="G19" s="77" t="s">
        <v>44</v>
      </c>
      <c r="H19" s="77">
        <f>IFERROR((H18-C18)*10000,"n/a")</f>
        <v>7.843332163209871</v>
      </c>
      <c r="I19" s="77">
        <f>IFERROR((I18-D18)*10000,"n/a")</f>
        <v>4.919446739172217</v>
      </c>
      <c r="J19" s="78">
        <f>IFERROR((J18-E18)*10000,"n/a")</f>
        <v>12.872399058821426</v>
      </c>
      <c r="K19" s="4"/>
      <c r="L19" s="3"/>
      <c r="M19" s="3"/>
    </row>
    <row r="20">
      <c r="A20" s="3"/>
      <c r="B20" s="3" t="s">
        <v>83</v>
      </c>
      <c r="C20" s="17">
        <f>'Segment - IB Franchise'!C33</f>
        <v>759</v>
      </c>
      <c r="D20" s="17">
        <f>'Segment - IB Franchise'!D33</f>
        <v>1368</v>
      </c>
      <c r="E20" s="17">
        <f>'Segment - IB Franchise'!E33</f>
        <v>1291</v>
      </c>
      <c r="F20" s="17">
        <f>'Segment - IB Franchise'!F33</f>
        <v>1579</v>
      </c>
      <c r="G20" s="17">
        <f>'Segment - IB Franchise'!G33</f>
        <v>4997</v>
      </c>
      <c r="H20" s="17">
        <f>'Segment - IB Franchise'!H33</f>
        <v>824</v>
      </c>
      <c r="I20" s="17">
        <f>'Segment - IB Franchise'!I33</f>
        <v>1523</v>
      </c>
      <c r="J20" s="64">
        <f>'Segment - IB Franchise'!J33</f>
        <v>1407.1900000000003</v>
      </c>
      <c r="K20" s="4" t="s">
        <v>84</v>
      </c>
      <c r="L20" s="3"/>
      <c r="M20" s="3"/>
    </row>
    <row r="21">
      <c r="A21" s="3"/>
      <c r="B21" s="56" t="s">
        <v>77</v>
      </c>
      <c r="C21" s="36">
        <f>IFERROR('Segment - IB Franchise'!C33/'Segment - IB Franchise'!C10-1,"n/a")</f>
        <v>0.02706359945872805</v>
      </c>
      <c r="D21" s="36">
        <f>IFERROR('Segment - IB Franchise'!D33/'Segment - IB Franchise'!D10-1,"n/a")</f>
        <v>0.03167420814479649</v>
      </c>
      <c r="E21" s="36">
        <f>IFERROR('Segment - IB Franchise'!E33/'Segment - IB Franchise'!E10-1,"n/a")</f>
        <v>0.0007751937984497026</v>
      </c>
      <c r="F21" s="36">
        <f>IFERROR('Segment - IB Franchise'!F33/'Segment - IB Franchise'!F10-1,"n/a")</f>
        <v>0.03608923884514437</v>
      </c>
      <c r="G21" s="36">
        <f>IFERROR('Segment - IB Franchise'!G33/'Segment - IB Franchise'!G10-1,"n/a")</f>
        <v>0.02418528386964547</v>
      </c>
      <c r="H21" s="36">
        <f>IFERROR('Segment - IB Franchise'!H33/'Segment - IB Franchise'!H10-1,"n/a")</f>
        <v>0.08563899868247704</v>
      </c>
      <c r="I21" s="36">
        <f>IFERROR('Segment - IB Franchise'!I33/'Segment - IB Franchise'!I10-1,"n/a")</f>
        <v>0.11330409356725135</v>
      </c>
      <c r="J21" s="84">
        <f>IFERROR('Segment - IB Franchise'!J33/'Segment - IB Franchise'!J10-1,"n/a")</f>
        <v>0.0900000000000003</v>
      </c>
      <c r="K21" s="4"/>
      <c r="L21" s="3"/>
      <c r="M21" s="3"/>
    </row>
    <row r="22">
      <c r="A22" s="3"/>
      <c r="B22" s="56" t="s">
        <v>78</v>
      </c>
      <c r="C22" s="7" t="s">
        <v>44</v>
      </c>
      <c r="D22" s="7">
        <f>IFERROR(IF(OR(D20&lt;0,C20&lt;0),"n.m.",D20/C20-1),"n/a")</f>
        <v>0.8023715415019763</v>
      </c>
      <c r="E22" s="7">
        <f>IFERROR(IF(OR(E20&lt;0,D20&lt;0),"n.m.",E20/D20-1),"n/a")</f>
        <v>-0.056286549707602385</v>
      </c>
      <c r="F22" s="7">
        <f>IFERROR(IF(OR(F20&lt;0,E20&lt;0),"n.m.",F20/E20-1),"n/a")</f>
        <v>0.22308288148721922</v>
      </c>
      <c r="G22" s="7" t="s">
        <v>44</v>
      </c>
      <c r="H22" s="7">
        <f>IFERROR(IF(OR(H20&lt;0,F20&lt;0),"n.m.",H20/F20-1),"n/a")</f>
        <v>-0.47815072830905636</v>
      </c>
      <c r="I22" s="7">
        <f>IFERROR(IF(OR(I20&lt;0,H20&lt;0),"n.m.",I20/H20-1),"n/a")</f>
        <v>0.8483009708737863</v>
      </c>
      <c r="J22" s="25">
        <f>IFERROR(IF(OR(J20&lt;0,I20&lt;0),"n.m.",J20/I20-1),"n/a")</f>
        <v>-0.07604070912672334</v>
      </c>
      <c r="K22" s="4"/>
      <c r="L22" s="3"/>
      <c r="M22" s="3"/>
    </row>
    <row r="23">
      <c r="A23" s="3"/>
      <c r="B23" s="56" t="s">
        <v>79</v>
      </c>
      <c r="C23" s="7">
        <f>IFERROR(C20/C40,"n/a")</f>
        <v>0.0423572744014733</v>
      </c>
      <c r="D23" s="7">
        <f>IFERROR(D20/D40,"n/a")</f>
        <v>0.06019537094077268</v>
      </c>
      <c r="E23" s="7">
        <f>IFERROR(E20/E40,"n/a")</f>
        <v>0.05393324142540836</v>
      </c>
      <c r="F23" s="7">
        <f>IFERROR(F20/F40,"n/a")</f>
        <v>0.05381181201649456</v>
      </c>
      <c r="G23" s="7">
        <f>IFERROR(G20/G40,"n/a")</f>
        <v>0.0532020228906042</v>
      </c>
      <c r="H23" s="7">
        <f>IFERROR(H20/H40,"n/a")</f>
        <v>0.0423802911073394</v>
      </c>
      <c r="I23" s="7">
        <f>IFERROR(I20/I40,"n/a")</f>
        <v>0.06298333402257972</v>
      </c>
      <c r="J23" s="25">
        <f>IFERROR(J20/J40,"n/a")</f>
        <v>0.05633146305702398</v>
      </c>
      <c r="K23" s="4"/>
      <c r="L23" s="3"/>
      <c r="M23" s="3"/>
    </row>
    <row r="24">
      <c r="A24" s="3"/>
      <c r="B24" s="49" t="s">
        <v>80</v>
      </c>
      <c r="C24" s="77" t="s">
        <v>44</v>
      </c>
      <c r="D24" s="77" t="s">
        <v>44</v>
      </c>
      <c r="E24" s="77" t="s">
        <v>44</v>
      </c>
      <c r="F24" s="77" t="s">
        <v>44</v>
      </c>
      <c r="G24" s="77" t="s">
        <v>44</v>
      </c>
      <c r="H24" s="77">
        <f>IFERROR((H23-C23)*10000,"n/a")</f>
        <v>0.23016705866102383</v>
      </c>
      <c r="I24" s="77">
        <f>IFERROR((I23-D23)*10000,"n/a")</f>
        <v>27.87963081807038</v>
      </c>
      <c r="J24" s="78">
        <f>IFERROR((J23-E23)*10000,"n/a")</f>
        <v>23.982216316156197</v>
      </c>
      <c r="K24" s="4"/>
      <c r="L24" s="3"/>
      <c r="M24" s="3"/>
    </row>
    <row r="25">
      <c r="A25" s="3"/>
      <c r="B25" s="3" t="s">
        <v>85</v>
      </c>
      <c r="C25" s="17">
        <f>'Segment - EMEA'!C33</f>
        <v>2388</v>
      </c>
      <c r="D25" s="17">
        <f>'Segment - EMEA'!D33</f>
        <v>4536</v>
      </c>
      <c r="E25" s="17">
        <f>'Segment - EMEA'!E33</f>
        <v>5022</v>
      </c>
      <c r="F25" s="17">
        <f>'Segment - EMEA'!F33</f>
        <v>6079</v>
      </c>
      <c r="G25" s="17">
        <f>'Segment - EMEA'!G33</f>
        <v>18025</v>
      </c>
      <c r="H25" s="17">
        <f>'Segment - EMEA'!H33</f>
        <v>2823</v>
      </c>
      <c r="I25" s="17">
        <f>'Segment - EMEA'!I33</f>
        <v>4983</v>
      </c>
      <c r="J25" s="64">
        <f>'Segment - EMEA'!J33</f>
        <v>5298.210000000001</v>
      </c>
      <c r="K25" s="4" t="s">
        <v>86</v>
      </c>
      <c r="L25" s="3"/>
      <c r="M25" s="3"/>
    </row>
    <row r="26">
      <c r="A26" s="3"/>
      <c r="B26" s="56" t="s">
        <v>77</v>
      </c>
      <c r="C26" s="36">
        <f>IFERROR('Segment - EMEA'!C33/'Segment - EMEA'!C10-1,"n/a")</f>
        <v>-0.018495684340320562</v>
      </c>
      <c r="D26" s="36">
        <f>IFERROR('Segment - EMEA'!D33/'Segment - EMEA'!D10-1,"n/a")</f>
        <v>0.08438919435811609</v>
      </c>
      <c r="E26" s="36">
        <f>IFERROR('Segment - EMEA'!E33/'Segment - EMEA'!E10-1,"n/a")</f>
        <v>0.08889852558542932</v>
      </c>
      <c r="F26" s="36">
        <f>IFERROR('Segment - EMEA'!F33/'Segment - EMEA'!F10-1,"n/a")</f>
        <v>0.1195211786372008</v>
      </c>
      <c r="G26" s="36">
        <f>IFERROR('Segment - EMEA'!G33/'Segment - EMEA'!G10-1,"n/a")</f>
        <v>0.08206267258974664</v>
      </c>
      <c r="H26" s="36">
        <f>IFERROR('Segment - EMEA'!H33/'Segment - EMEA'!H10-1,"n/a")</f>
        <v>0.1821608040201006</v>
      </c>
      <c r="I26" s="36">
        <f>IFERROR('Segment - EMEA'!I33/'Segment - EMEA'!I10-1,"n/a")</f>
        <v>0.09854497354497349</v>
      </c>
      <c r="J26" s="84">
        <f>IFERROR('Segment - EMEA'!J33/'Segment - EMEA'!J10-1,"n/a")</f>
        <v>0.05500000000000016</v>
      </c>
      <c r="K26" s="4"/>
      <c r="L26" s="3"/>
      <c r="M26" s="3"/>
    </row>
    <row r="27">
      <c r="A27" s="3"/>
      <c r="B27" s="56" t="s">
        <v>78</v>
      </c>
      <c r="C27" s="7" t="s">
        <v>44</v>
      </c>
      <c r="D27" s="7">
        <f>IFERROR(IF(OR(D25&lt;0,C25&lt;0),"n.m.",D25/C25-1),"n/a")</f>
        <v>0.8994974874371859</v>
      </c>
      <c r="E27" s="7">
        <f>IFERROR(IF(OR(E25&lt;0,D25&lt;0),"n.m.",E25/D25-1),"n/a")</f>
        <v>0.1071428571428572</v>
      </c>
      <c r="F27" s="7">
        <f>IFERROR(IF(OR(F25&lt;0,E25&lt;0),"n.m.",F25/E25-1),"n/a")</f>
        <v>0.2104739147749901</v>
      </c>
      <c r="G27" s="7" t="s">
        <v>44</v>
      </c>
      <c r="H27" s="7">
        <f>IFERROR(IF(OR(H25&lt;0,F25&lt;0),"n.m.",H25/F25-1),"n/a")</f>
        <v>-0.5356144102648461</v>
      </c>
      <c r="I27" s="7">
        <f>IFERROR(IF(OR(I25&lt;0,H25&lt;0),"n.m.",I25/H25-1),"n/a")</f>
        <v>0.7651434643995749</v>
      </c>
      <c r="J27" s="25">
        <f>IFERROR(IF(OR(J25&lt;0,I25&lt;0),"n.m.",J25/I25-1),"n/a")</f>
        <v>0.06325707405177616</v>
      </c>
      <c r="K27" s="4"/>
      <c r="L27" s="3"/>
      <c r="M27" s="3"/>
    </row>
    <row r="28">
      <c r="A28" s="3"/>
      <c r="B28" s="56" t="s">
        <v>79</v>
      </c>
      <c r="C28" s="7">
        <f>IFERROR(C25/C40,"n/a")</f>
        <v>0.1332663653105642</v>
      </c>
      <c r="D28" s="7">
        <f>IFERROR(D25/D40,"n/a")</f>
        <v>0.19959517732993048</v>
      </c>
      <c r="E28" s="7">
        <f>IFERROR(E25/E40,"n/a")</f>
        <v>0.20980072690813384</v>
      </c>
      <c r="F28" s="7">
        <f>IFERROR(F25/F40,"n/a")</f>
        <v>0.2071703643117609</v>
      </c>
      <c r="G28" s="7">
        <f>IFERROR(G25/G40,"n/a")</f>
        <v>0.19190843758317808</v>
      </c>
      <c r="H28" s="7">
        <f>IFERROR(H25/H40,"n/a")</f>
        <v>0.1451936429563339</v>
      </c>
      <c r="I28" s="7">
        <f>IFERROR(I25/I40,"n/a")</f>
        <v>0.2060708820975146</v>
      </c>
      <c r="J28" s="25">
        <f>IFERROR(J25/J40,"n/a")</f>
        <v>0.21209354876267955</v>
      </c>
      <c r="K28" s="4"/>
      <c r="L28" s="3"/>
      <c r="M28" s="3"/>
    </row>
    <row r="29">
      <c r="A29" s="3"/>
      <c r="B29" s="49" t="s">
        <v>80</v>
      </c>
      <c r="C29" s="77" t="s">
        <v>44</v>
      </c>
      <c r="D29" s="77" t="s">
        <v>44</v>
      </c>
      <c r="E29" s="77" t="s">
        <v>44</v>
      </c>
      <c r="F29" s="77" t="s">
        <v>44</v>
      </c>
      <c r="G29" s="77" t="s">
        <v>44</v>
      </c>
      <c r="H29" s="77">
        <f>IFERROR((H28-C28)*10000,"n/a")</f>
        <v>119.27277645769702</v>
      </c>
      <c r="I29" s="77">
        <f>IFERROR((I28-D28)*10000,"n/a")</f>
        <v>64.75704767584106</v>
      </c>
      <c r="J29" s="78">
        <f>IFERROR((J28-E28)*10000,"n/a")</f>
        <v>22.928218545457124</v>
      </c>
      <c r="K29" s="4"/>
      <c r="L29" s="3"/>
      <c r="M29" s="3"/>
    </row>
    <row r="30">
      <c r="A30" s="3"/>
      <c r="B30" s="3" t="s">
        <v>87</v>
      </c>
      <c r="C30" s="17">
        <f>'Segment - LatAm Foods'!C33</f>
        <v>1661</v>
      </c>
      <c r="D30" s="17">
        <f>'Segment - LatAm Foods'!D33</f>
        <v>2548</v>
      </c>
      <c r="E30" s="17">
        <f>'Segment - LatAm Foods'!E33</f>
        <v>2656</v>
      </c>
      <c r="F30" s="17">
        <f>'Segment - LatAm Foods'!F33</f>
        <v>3684</v>
      </c>
      <c r="G30" s="17">
        <f>'Segment - LatAm Foods'!G33</f>
        <v>10549</v>
      </c>
      <c r="H30" s="17">
        <f>'Segment - LatAm Foods'!H33</f>
        <v>1934</v>
      </c>
      <c r="I30" s="17">
        <f>'Segment - LatAm Foods'!I33</f>
        <v>2940</v>
      </c>
      <c r="J30" s="64">
        <f>'Segment - LatAm Foods'!J33</f>
        <v>2934.88</v>
      </c>
      <c r="K30" s="4" t="s">
        <v>88</v>
      </c>
      <c r="L30" s="3"/>
      <c r="M30" s="3"/>
    </row>
    <row r="31">
      <c r="A31" s="3"/>
      <c r="B31" s="56" t="s">
        <v>77</v>
      </c>
      <c r="C31" s="36">
        <f>IFERROR('Segment - LatAm Foods'!C33/'Segment - LatAm Foods'!C10-1,"n/a")</f>
        <v>-0.12116402116402114</v>
      </c>
      <c r="D31" s="36">
        <f>IFERROR('Segment - LatAm Foods'!D33/'Segment - LatAm Foods'!D10-1,"n/a")</f>
        <v>-0.07311749727173522</v>
      </c>
      <c r="E31" s="36">
        <f>IFERROR('Segment - LatAm Foods'!E33/'Segment - LatAm Foods'!E10-1,"n/a")</f>
        <v>0.01567877629063097</v>
      </c>
      <c r="F31" s="36">
        <f>IFERROR('Segment - LatAm Foods'!F33/'Segment - LatAm Foods'!F10-1,"n/a")</f>
        <v>0.11164755582377794</v>
      </c>
      <c r="G31" s="36">
        <f>IFERROR('Segment - LatAm Foods'!G33/'Segment - LatAm Foods'!G10-1,"n/a")</f>
        <v>-0.0017978803936411492</v>
      </c>
      <c r="H31" s="36">
        <f>IFERROR('Segment - LatAm Foods'!H33/'Segment - LatAm Foods'!H10-1,"n/a")</f>
        <v>0.1643588199879591</v>
      </c>
      <c r="I31" s="36">
        <f>IFERROR('Segment - LatAm Foods'!I33/'Segment - LatAm Foods'!I10-1,"n/a")</f>
        <v>0.15384615384615374</v>
      </c>
      <c r="J31" s="84">
        <f>IFERROR('Segment - LatAm Foods'!J33/'Segment - LatAm Foods'!J10-1,"n/a")</f>
        <v>0.10499999999999998</v>
      </c>
      <c r="K31" s="4"/>
      <c r="L31" s="3"/>
      <c r="M31" s="3"/>
    </row>
    <row r="32">
      <c r="A32" s="3"/>
      <c r="B32" s="56" t="s">
        <v>78</v>
      </c>
      <c r="C32" s="7" t="s">
        <v>44</v>
      </c>
      <c r="D32" s="7">
        <f>IFERROR(IF(OR(D30&lt;0,C30&lt;0),"n.m.",D30/C30-1),"n/a")</f>
        <v>0.5340156532209512</v>
      </c>
      <c r="E32" s="7">
        <f>IFERROR(IF(OR(E30&lt;0,D30&lt;0),"n.m.",E30/D30-1),"n/a")</f>
        <v>0.042386185243328045</v>
      </c>
      <c r="F32" s="7">
        <f>IFERROR(IF(OR(F30&lt;0,E30&lt;0),"n.m.",F30/E30-1),"n/a")</f>
        <v>0.38704819277108427</v>
      </c>
      <c r="G32" s="7" t="s">
        <v>44</v>
      </c>
      <c r="H32" s="7">
        <f>IFERROR(IF(OR(H30&lt;0,F30&lt;0),"n.m.",H30/F30-1),"n/a")</f>
        <v>-0.4750271444082519</v>
      </c>
      <c r="I32" s="7">
        <f>IFERROR(IF(OR(I30&lt;0,H30&lt;0),"n.m.",I30/H30-1),"n/a")</f>
        <v>0.5201654601861427</v>
      </c>
      <c r="J32" s="25">
        <f>IFERROR(IF(OR(J30&lt;0,I30&lt;0),"n.m.",J30/I30-1),"n/a")</f>
        <v>-0.0017414965986394249</v>
      </c>
      <c r="K32" s="4"/>
      <c r="L32" s="3"/>
      <c r="M32" s="3"/>
    </row>
    <row r="33">
      <c r="A33" s="3"/>
      <c r="B33" s="56" t="s">
        <v>79</v>
      </c>
      <c r="C33" s="7">
        <f>IFERROR(C30/C40,"n/a")</f>
        <v>0.09269490484960098</v>
      </c>
      <c r="D33" s="7">
        <f>IFERROR(D30/D40,"n/a")</f>
        <v>0.11211827862360292</v>
      </c>
      <c r="E33" s="7">
        <f>IFERROR(E30/E40,"n/a")</f>
        <v>0.11095793123616159</v>
      </c>
      <c r="F33" s="7">
        <f>IFERROR(F30/F40,"n/a")</f>
        <v>0.12554953481239137</v>
      </c>
      <c r="G33" s="7">
        <f>IFERROR(G30/G40,"n/a")</f>
        <v>0.11231301570401916</v>
      </c>
      <c r="H33" s="7">
        <f>IFERROR(H30/H40,"n/a")</f>
        <v>0.09947024636115825</v>
      </c>
      <c r="I33" s="7">
        <f>IFERROR(I30/I40,"n/a")</f>
        <v>0.12158306108101402</v>
      </c>
      <c r="J33" s="25">
        <f>IFERROR(J30/J40,"n/a")</f>
        <v>0.11748668217994622</v>
      </c>
      <c r="K33" s="4"/>
      <c r="L33" s="3"/>
      <c r="M33" s="3"/>
    </row>
    <row r="34">
      <c r="A34" s="3"/>
      <c r="B34" s="49" t="s">
        <v>80</v>
      </c>
      <c r="C34" s="77" t="s">
        <v>44</v>
      </c>
      <c r="D34" s="77" t="s">
        <v>44</v>
      </c>
      <c r="E34" s="77" t="s">
        <v>44</v>
      </c>
      <c r="F34" s="77" t="s">
        <v>44</v>
      </c>
      <c r="G34" s="77" t="s">
        <v>44</v>
      </c>
      <c r="H34" s="77">
        <f>IFERROR((H33-C33)*10000,"n/a")</f>
        <v>67.75341511557274</v>
      </c>
      <c r="I34" s="77">
        <f>IFERROR((I33-D33)*10000,"n/a")</f>
        <v>94.647824574111</v>
      </c>
      <c r="J34" s="78">
        <f>IFERROR((J33-E33)*10000,"n/a")</f>
        <v>65.28750943784634</v>
      </c>
      <c r="K34" s="4"/>
      <c r="L34" s="3"/>
      <c r="M34" s="3"/>
    </row>
    <row r="35">
      <c r="A35" s="3"/>
      <c r="B35" s="3" t="s">
        <v>89</v>
      </c>
      <c r="C35" s="17">
        <f>'Segment - APAC Foods'!C33</f>
        <v>1022</v>
      </c>
      <c r="D35" s="17">
        <f>'Segment - APAC Foods'!D33</f>
        <v>1002</v>
      </c>
      <c r="E35" s="17">
        <f>'Segment - APAC Foods'!E33</f>
        <v>1115</v>
      </c>
      <c r="F35" s="17">
        <f>'Segment - APAC Foods'!F33</f>
        <v>1490</v>
      </c>
      <c r="G35" s="17">
        <f>'Segment - APAC Foods'!G33</f>
        <v>4629</v>
      </c>
      <c r="H35" s="17">
        <f>'Segment - APAC Foods'!H33</f>
        <v>1139</v>
      </c>
      <c r="I35" s="17">
        <f>'Segment - APAC Foods'!I33</f>
        <v>1124</v>
      </c>
      <c r="J35" s="64">
        <f>'Segment - APAC Foods'!J33</f>
        <v>1204.2</v>
      </c>
      <c r="K35" s="4" t="s">
        <v>90</v>
      </c>
      <c r="L35" s="3"/>
      <c r="M35" s="3"/>
    </row>
    <row r="36">
      <c r="A36" s="3"/>
      <c r="B36" s="56" t="s">
        <v>77</v>
      </c>
      <c r="C36" s="36">
        <f>IFERROR('Segment - APAC Foods'!C33/'Segment - APAC Foods'!C10-1,"n/a")</f>
        <v>-0.02200956937799048</v>
      </c>
      <c r="D36" s="36">
        <f>IFERROR('Segment - APAC Foods'!D33/'Segment - APAC Foods'!D10-1,"n/a")</f>
        <v>0.005015045135406293</v>
      </c>
      <c r="E36" s="36">
        <f>IFERROR('Segment - APAC Foods'!E33/'Segment - APAC Foods'!E10-1,"n/a")</f>
        <v>0.021998166819431786</v>
      </c>
      <c r="F36" s="36">
        <f>IFERROR('Segment - APAC Foods'!F33/'Segment - APAC Foods'!F10-1,"n/a")</f>
        <v>0.05225988700564965</v>
      </c>
      <c r="G36" s="36">
        <f>IFERROR('Segment - APAC Foods'!G33/'Segment - APAC Foods'!G10-1,"n/a")</f>
        <v>0.01758628269949436</v>
      </c>
      <c r="H36" s="36">
        <f>IFERROR('Segment - APAC Foods'!H33/'Segment - APAC Foods'!H10-1,"n/a")</f>
        <v>0.11448140900195702</v>
      </c>
      <c r="I36" s="36">
        <f>IFERROR('Segment - APAC Foods'!I33/'Segment - APAC Foods'!I10-1,"n/a")</f>
        <v>0.12175648702594821</v>
      </c>
      <c r="J36" s="84">
        <f>IFERROR('Segment - APAC Foods'!J33/'Segment - APAC Foods'!J10-1,"n/a")</f>
        <v>0.08000000000000007</v>
      </c>
      <c r="K36" s="4"/>
      <c r="L36" s="3"/>
      <c r="M36" s="3"/>
    </row>
    <row r="37">
      <c r="A37" s="3"/>
      <c r="B37" s="56" t="s">
        <v>78</v>
      </c>
      <c r="C37" s="7" t="s">
        <v>44</v>
      </c>
      <c r="D37" s="7">
        <f>IFERROR(IF(OR(D35&lt;0,C35&lt;0),"n.m.",D35/C35-1),"n/a")</f>
        <v>-0.019569471624266144</v>
      </c>
      <c r="E37" s="7">
        <f>IFERROR(IF(OR(E35&lt;0,D35&lt;0),"n.m.",E35/D35-1),"n/a")</f>
        <v>0.11277445109780437</v>
      </c>
      <c r="F37" s="7">
        <f>IFERROR(IF(OR(F35&lt;0,E35&lt;0),"n.m.",F35/E35-1),"n/a")</f>
        <v>0.33632286995515703</v>
      </c>
      <c r="G37" s="7" t="s">
        <v>44</v>
      </c>
      <c r="H37" s="7">
        <f>IFERROR(IF(OR(H35&lt;0,F35&lt;0),"n.m.",H35/F35-1),"n/a")</f>
        <v>-0.2355704697986577</v>
      </c>
      <c r="I37" s="7">
        <f>IFERROR(IF(OR(I35&lt;0,H35&lt;0),"n.m.",I35/H35-1),"n/a")</f>
        <v>-0.013169446883230851</v>
      </c>
      <c r="J37" s="25">
        <f>IFERROR(IF(OR(J35&lt;0,I35&lt;0),"n.m.",J35/I35-1),"n/a")</f>
        <v>0.07135231316725976</v>
      </c>
      <c r="K37" s="4"/>
      <c r="L37" s="3"/>
      <c r="M37" s="3"/>
    </row>
    <row r="38">
      <c r="A38" s="3"/>
      <c r="B38" s="56" t="s">
        <v>79</v>
      </c>
      <c r="C38" s="7">
        <f>IFERROR(C35/C40,"n/a")</f>
        <v>0.05703443272504046</v>
      </c>
      <c r="D38" s="7">
        <f>IFERROR(D35/D40,"n/a")</f>
        <v>0.044090469066267714</v>
      </c>
      <c r="E38" s="7">
        <f>IFERROR(E35/E40,"n/a")</f>
        <v>0.04658060742783139</v>
      </c>
      <c r="F38" s="7">
        <f>IFERROR(F35/F40,"n/a")</f>
        <v>0.050778720648877076</v>
      </c>
      <c r="G38" s="7">
        <f>IFERROR(G35/G40,"n/a")</f>
        <v>0.0492840031940378</v>
      </c>
      <c r="H38" s="7">
        <f>IFERROR(H35/H40,"n/a")</f>
        <v>0.05858149462531503</v>
      </c>
      <c r="I38" s="7">
        <f>IFERROR(I35/I40,"n/a")</f>
        <v>0.04648277573301352</v>
      </c>
      <c r="J38" s="25">
        <f>IFERROR(J35/J40,"n/a")</f>
        <v>0.04820553572244563</v>
      </c>
      <c r="K38" s="4"/>
      <c r="L38" s="3"/>
      <c r="M38" s="3"/>
    </row>
    <row r="39">
      <c r="A39" s="3"/>
      <c r="B39" s="49" t="s">
        <v>80</v>
      </c>
      <c r="C39" s="77" t="s">
        <v>44</v>
      </c>
      <c r="D39" s="77" t="s">
        <v>44</v>
      </c>
      <c r="E39" s="77" t="s">
        <v>44</v>
      </c>
      <c r="F39" s="77" t="s">
        <v>44</v>
      </c>
      <c r="G39" s="77" t="s">
        <v>44</v>
      </c>
      <c r="H39" s="77">
        <f>IFERROR((H38-C38)*10000,"n/a")</f>
        <v>15.470619002745655</v>
      </c>
      <c r="I39" s="77">
        <f>IFERROR((I38-D38)*10000,"n/a")</f>
        <v>23.92306666745808</v>
      </c>
      <c r="J39" s="78">
        <f>IFERROR((J38-E38)*10000,"n/a")</f>
        <v>16.249282946142404</v>
      </c>
      <c r="K39" s="4"/>
      <c r="L39" s="3"/>
      <c r="M39" s="3"/>
    </row>
    <row r="40">
      <c r="A40" s="3"/>
      <c r="B40" s="15" t="s">
        <v>91</v>
      </c>
      <c r="C40" s="21">
        <f>C10+C15+C20+C25+C30+C35</f>
        <v>17919</v>
      </c>
      <c r="D40" s="21">
        <f>D10+D15+D20+D25+D30+D35</f>
        <v>22726</v>
      </c>
      <c r="E40" s="21">
        <f>E10+E15+E20+E25+E30+E35</f>
        <v>23937</v>
      </c>
      <c r="F40" s="21">
        <f>F10+F15+F20+F25+F30+F35</f>
        <v>29343</v>
      </c>
      <c r="G40" s="21">
        <f>G10+G15+G20+G25+G30+G35</f>
        <v>93925</v>
      </c>
      <c r="H40" s="21">
        <f>H10+H15+H20+H25+H30+H35</f>
        <v>19443</v>
      </c>
      <c r="I40" s="21">
        <f>I10+I15+I20+I25+I30+I35</f>
        <v>24181</v>
      </c>
      <c r="J40" s="43">
        <f>J10+J15+J20+J25+J30+J35</f>
        <v>24980.533500000005</v>
      </c>
      <c r="K40" s="4"/>
      <c r="L40" s="3"/>
      <c r="M40" s="3"/>
    </row>
    <row r="41">
      <c r="A41" s="3"/>
      <c r="B41" s="29" t="s">
        <v>92</v>
      </c>
      <c r="C41" s="17">
        <f>'Segment - PFNA'!C10+'Segment - PBNA'!C10+'Segment - IB Franchise'!C10+'Segment - EMEA'!C10+'Segment - LatAm Foods'!C10+'Segment - APAC Foods'!C10</f>
        <v>18250</v>
      </c>
      <c r="D41" s="17">
        <f>'Segment - PFNA'!D10+'Segment - PBNA'!D10+'Segment - IB Franchise'!D10+'Segment - EMEA'!D10+'Segment - LatAm Foods'!D10+'Segment - APAC Foods'!D10</f>
        <v>22501</v>
      </c>
      <c r="E41" s="17">
        <f>'Segment - PFNA'!E10+'Segment - PBNA'!E10+'Segment - IB Franchise'!E10+'Segment - EMEA'!E10+'Segment - LatAm Foods'!E10+'Segment - APAC Foods'!E10</f>
        <v>23319</v>
      </c>
      <c r="F41" s="17">
        <f>'Segment - PFNA'!F10+'Segment - PBNA'!F10+'Segment - IB Franchise'!F10+'Segment - EMEA'!F10+'Segment - LatAm Foods'!F10+'Segment - APAC Foods'!F10</f>
        <v>27784</v>
      </c>
      <c r="G41" s="17">
        <f>'Segment - PFNA'!G10+'Segment - PBNA'!G10+'Segment - IB Franchise'!G10+'Segment - EMEA'!G10+'Segment - LatAm Foods'!G10+'Segment - APAC Foods'!G10</f>
        <v>91854</v>
      </c>
      <c r="H41" s="17">
        <f>'Segment - PFNA'!H10+'Segment - PBNA'!H10+'Segment - IB Franchise'!H10+'Segment - EMEA'!H10+'Segment - LatAm Foods'!H10+'Segment - APAC Foods'!H10</f>
        <v>17919</v>
      </c>
      <c r="I41" s="17">
        <f>'Segment - PFNA'!I10+'Segment - PBNA'!I10+'Segment - IB Franchise'!I10+'Segment - EMEA'!I10+'Segment - LatAm Foods'!I10+'Segment - APAC Foods'!I10</f>
        <v>22726</v>
      </c>
      <c r="J41" s="64">
        <f>'Segment - PFNA'!J10+'Segment - PBNA'!J10+'Segment - IB Franchise'!J10+'Segment - EMEA'!J10+'Segment - LatAm Foods'!J10+'Segment - APAC Foods'!J10</f>
        <v>23937</v>
      </c>
      <c r="K41" s="4"/>
      <c r="L41" s="3"/>
      <c r="M41" s="3"/>
    </row>
    <row r="42">
      <c r="A42" s="3"/>
      <c r="B42" s="56" t="s">
        <v>77</v>
      </c>
      <c r="C42" s="7">
        <f>IFERROR(IF(OR(C40&lt;0,C41&lt;0),"n.m.",C40/C41-1),"n/a")</f>
        <v>-0.01813698630136984</v>
      </c>
      <c r="D42" s="7">
        <f>IFERROR(IF(OR(D40&lt;0,D41&lt;0),"n.m.",D40/D41-1),"n/a")</f>
        <v>0.00999955557530785</v>
      </c>
      <c r="E42" s="7">
        <f>IFERROR(IF(OR(E40&lt;0,E41&lt;0),"n.m.",E40/E41-1),"n/a")</f>
        <v>0.026501994082078983</v>
      </c>
      <c r="F42" s="7">
        <f>IFERROR(IF(OR(F40&lt;0,F41&lt;0),"n.m.",F40/F41-1),"n/a")</f>
        <v>0.05611143103944727</v>
      </c>
      <c r="G42" s="7">
        <f>IFERROR(IF(OR(G40&lt;0,G41&lt;0),"n.m.",G40/G41-1),"n/a")</f>
        <v>0.022546650118666633</v>
      </c>
      <c r="H42" s="7">
        <f>IFERROR(IF(OR(H40&lt;0,C40&lt;0),"n.m.",H40/C40-1),"n/a")</f>
        <v>0.08504938891679226</v>
      </c>
      <c r="I42" s="7">
        <f>IFERROR(IF(OR(I40&lt;0,D40&lt;0),"n.m.",I40/D40-1),"n/a")</f>
        <v>0.06402358532077801</v>
      </c>
      <c r="J42" s="25">
        <f>IFERROR(IF(OR(J40&lt;0,E40&lt;0),"n.m.",J40/E40-1),"n/a")</f>
        <v>0.043594999373355314</v>
      </c>
      <c r="K42" s="4"/>
      <c r="L42" s="3"/>
      <c r="M42" s="3"/>
    </row>
    <row r="43">
      <c r="A43" s="3"/>
      <c r="B43" s="56" t="s">
        <v>78</v>
      </c>
      <c r="C43" s="7" t="s">
        <v>44</v>
      </c>
      <c r="D43" s="7">
        <f>IFERROR(IF(OR(D40&lt;0,C40&lt;0),"n.m.",D40/C40-1),"n/a")</f>
        <v>0.26826273787599764</v>
      </c>
      <c r="E43" s="7">
        <f>IFERROR(IF(OR(E40&lt;0,D40&lt;0),"n.m.",E40/D40-1),"n/a")</f>
        <v>0.05328698407110788</v>
      </c>
      <c r="F43" s="7">
        <f>IFERROR(IF(OR(F40&lt;0,E40&lt;0),"n.m.",F40/E40-1),"n/a")</f>
        <v>0.2258428374483017</v>
      </c>
      <c r="G43" s="7" t="s">
        <v>44</v>
      </c>
      <c r="H43" s="7">
        <f>IFERROR(IF(OR(H40&lt;0,F40&lt;0),"n.m.",H40/F40-1),"n/a")</f>
        <v>-0.33738881504958596</v>
      </c>
      <c r="I43" s="7">
        <f>IFERROR(IF(OR(I40&lt;0,H40&lt;0),"n.m.",I40/H40-1),"n/a")</f>
        <v>0.24368667386720166</v>
      </c>
      <c r="J43" s="25">
        <f>IFERROR(IF(OR(J40&lt;0,I40&lt;0),"n.m.",J40/I40-1),"n/a")</f>
        <v>0.03306453413837329</v>
      </c>
      <c r="K43" s="4" t="s">
        <v>93</v>
      </c>
      <c r="L43" s="3"/>
      <c r="M43" s="3"/>
    </row>
    <row r="44">
      <c r="A44" s="3"/>
      <c r="B44" s="29" t="s">
        <v>94</v>
      </c>
      <c r="C44" s="1" t="s">
        <v>44</v>
      </c>
      <c r="D44" s="1">
        <f>IFERROR(D40-C40,"n/a")</f>
        <v>4807</v>
      </c>
      <c r="E44" s="1">
        <f>IFERROR(E40-D40,"n/a")</f>
        <v>1211</v>
      </c>
      <c r="F44" s="1">
        <f>IFERROR(F40-E40,"n/a")</f>
        <v>5406</v>
      </c>
      <c r="G44" s="1" t="s">
        <v>44</v>
      </c>
      <c r="H44" s="1">
        <f>IFERROR(H40-F40,"n/a")</f>
        <v>-9900</v>
      </c>
      <c r="I44" s="1">
        <f>IFERROR(I40-H40,"n/a")</f>
        <v>4738</v>
      </c>
      <c r="J44" s="16">
        <f>IFERROR(J40-I40,"n/a")</f>
        <v>799.533500000005</v>
      </c>
      <c r="K44" s="4"/>
      <c r="L44" s="3"/>
      <c r="M44" s="3"/>
    </row>
    <row r="45">
      <c r="A45" s="3"/>
      <c r="B45" s="12" t="s">
        <v>95</v>
      </c>
      <c r="C45" s="72">
        <f>C40-'Income Statement'!C10</f>
        <v>0</v>
      </c>
      <c r="D45" s="72">
        <f>D40-'Income Statement'!D10</f>
        <v>0</v>
      </c>
      <c r="E45" s="72">
        <f>E40-'Income Statement'!E10</f>
        <v>0</v>
      </c>
      <c r="F45" s="72">
        <f>F40-'Income Statement'!F10</f>
        <v>0</v>
      </c>
      <c r="G45" s="72">
        <f>G40-'Income Statement'!G10</f>
        <v>0</v>
      </c>
      <c r="H45" s="72">
        <f>H40-'Income Statement'!H10</f>
        <v>0</v>
      </c>
      <c r="I45" s="72">
        <f>I40-'Income Statement'!I10</f>
        <v>0</v>
      </c>
      <c r="J45" s="87">
        <f>J40-'Income Statement'!J10</f>
        <v>0</v>
      </c>
      <c r="K45" s="4" t="s">
        <v>96</v>
      </c>
      <c r="L45" s="3"/>
      <c r="M45" s="3"/>
    </row>
    <row r="46">
      <c r="A46" s="3"/>
      <c r="B46" s="3"/>
      <c r="C46" s="1"/>
      <c r="D46" s="1"/>
      <c r="E46" s="1"/>
      <c r="F46" s="1"/>
      <c r="G46" s="1"/>
      <c r="H46" s="1"/>
      <c r="I46" s="1"/>
      <c r="J46" s="16"/>
      <c r="K46" s="4"/>
      <c r="L46" s="3"/>
      <c r="M46" s="3"/>
    </row>
    <row r="47">
      <c r="A47" s="3"/>
      <c r="B47" s="15" t="s">
        <v>97</v>
      </c>
      <c r="C47" s="5"/>
      <c r="D47" s="5"/>
      <c r="E47" s="5"/>
      <c r="F47" s="5"/>
      <c r="G47" s="5"/>
      <c r="H47" s="5"/>
      <c r="I47" s="5"/>
      <c r="J47" s="22"/>
      <c r="K47" s="4"/>
      <c r="L47" s="3"/>
      <c r="M47" s="3"/>
    </row>
    <row r="48">
      <c r="A48" s="3"/>
      <c r="B48" s="3" t="s">
        <v>98</v>
      </c>
      <c r="C48" s="17">
        <f>'Segment - PFNA'!C22+'Segment - PBNA'!C22+'Segment - IB Franchise'!C22+'Segment - EMEA'!C22+'Segment - LatAm Foods'!C22+'Segment - APAC Foods'!C22</f>
        <v>18465</v>
      </c>
      <c r="D48" s="17">
        <f>'Segment - PFNA'!D22+'Segment - PBNA'!D22+'Segment - IB Franchise'!D22+'Segment - EMEA'!D22+'Segment - LatAm Foods'!D22+'Segment - APAC Foods'!D22</f>
        <v>22970</v>
      </c>
      <c r="E48" s="17">
        <f>'Segment - PFNA'!E22+'Segment - PBNA'!E22+'Segment - IB Franchise'!E22+'Segment - EMEA'!E22+'Segment - LatAm Foods'!E22+'Segment - APAC Foods'!E22</f>
        <v>23627</v>
      </c>
      <c r="F48" s="17">
        <f>'Segment - PFNA'!F22+'Segment - PBNA'!F22+'Segment - IB Franchise'!F22+'Segment - EMEA'!F22+'Segment - LatAm Foods'!F22+'Segment - APAC Foods'!F22</f>
        <v>28365</v>
      </c>
      <c r="G48" s="17">
        <f>'Segment - PFNA'!G22+'Segment - PBNA'!G22+'Segment - IB Franchise'!G22+'Segment - EMEA'!G22+'Segment - LatAm Foods'!G22+'Segment - APAC Foods'!G22</f>
        <v>93427</v>
      </c>
      <c r="H48" s="17">
        <f>'Segment - PFNA'!H22+'Segment - PBNA'!H22+'Segment - IB Franchise'!H22+'Segment - EMEA'!H22+'Segment - LatAm Foods'!H22+'Segment - APAC Foods'!H22</f>
        <v>18376</v>
      </c>
      <c r="I48" s="17">
        <f>'Segment - PFNA'!I22+'Segment - PBNA'!I22+'Segment - IB Franchise'!I22+'Segment - EMEA'!I22+'Segment - LatAm Foods'!I22+'Segment - APAC Foods'!I22</f>
        <v>23266</v>
      </c>
      <c r="J48" s="64">
        <f>'Segment - PFNA'!J22+'Segment - PBNA'!J22+'Segment - IB Franchise'!J22+'Segment - EMEA'!J22+'Segment - LatAm Foods'!J22+'Segment - APAC Foods'!J22</f>
        <v>24538.2</v>
      </c>
      <c r="K48" s="4"/>
      <c r="L48" s="3"/>
      <c r="M48" s="3"/>
    </row>
    <row r="49">
      <c r="A49" s="3"/>
      <c r="B49" s="3" t="s">
        <v>99</v>
      </c>
      <c r="C49" s="17">
        <f>'Segment - PFNA'!C25+'Segment - PBNA'!C25+'Segment - IB Franchise'!C25+'Segment - EMEA'!C25+'Segment - LatAm Foods'!C25+'Segment - APAC Foods'!C25</f>
        <v>-610</v>
      </c>
      <c r="D49" s="17">
        <f>'Segment - PFNA'!D25+'Segment - PBNA'!D25+'Segment - IB Franchise'!D25+'Segment - EMEA'!D25+'Segment - LatAm Foods'!D25+'Segment - APAC Foods'!D25</f>
        <v>-337</v>
      </c>
      <c r="E49" s="17">
        <f>'Segment - PFNA'!E25+'Segment - PBNA'!E25+'Segment - IB Franchise'!E25+'Segment - EMEA'!E25+'Segment - LatAm Foods'!E25+'Segment - APAC Foods'!E25</f>
        <v>125</v>
      </c>
      <c r="F49" s="17">
        <f>'Segment - PFNA'!F25+'Segment - PBNA'!F25+'Segment - IB Franchise'!F25+'Segment - EMEA'!F25+'Segment - LatAm Foods'!F25+'Segment - APAC Foods'!F25</f>
        <v>616</v>
      </c>
      <c r="G49" s="17">
        <f>'Segment - PFNA'!G25+'Segment - PBNA'!G25+'Segment - IB Franchise'!G25+'Segment - EMEA'!G25+'Segment - LatAm Foods'!G25+'Segment - APAC Foods'!G25</f>
        <v>-206</v>
      </c>
      <c r="H49" s="17">
        <f>'Segment - PFNA'!H25+'Segment - PBNA'!H25+'Segment - IB Franchise'!H25+'Segment - EMEA'!H25+'Segment - LatAm Foods'!H25+'Segment - APAC Foods'!H25</f>
        <v>608</v>
      </c>
      <c r="I49" s="17">
        <f>'Segment - PFNA'!I25+'Segment - PBNA'!I25+'Segment - IB Franchise'!I25+'Segment - EMEA'!I25+'Segment - LatAm Foods'!I25+'Segment - APAC Foods'!I25</f>
        <v>503</v>
      </c>
      <c r="J49" s="64">
        <f>'Segment - PFNA'!J25+'Segment - PBNA'!J25+'Segment - IB Franchise'!J25+'Segment - EMEA'!J25+'Segment - LatAm Foods'!J25+'Segment - APAC Foods'!J25</f>
        <v>149.25350000000003</v>
      </c>
      <c r="K49" s="4"/>
      <c r="L49" s="3"/>
      <c r="M49" s="3"/>
    </row>
    <row r="50">
      <c r="A50" s="3"/>
      <c r="B50" s="3" t="s">
        <v>100</v>
      </c>
      <c r="C50" s="17">
        <f>'Segment - PFNA'!C29+'Segment - PBNA'!C29+'Segment - IB Franchise'!C29+'Segment - EMEA'!C29+'Segment - LatAm Foods'!C29+'Segment - APAC Foods'!C29</f>
        <v>64</v>
      </c>
      <c r="D50" s="17">
        <f>'Segment - PFNA'!D29+'Segment - PBNA'!D29+'Segment - IB Franchise'!D29+'Segment - EMEA'!D29+'Segment - LatAm Foods'!D29+'Segment - APAC Foods'!D29</f>
        <v>93</v>
      </c>
      <c r="E50" s="17">
        <f>'Segment - PFNA'!E29+'Segment - PBNA'!E29+'Segment - IB Franchise'!E29+'Segment - EMEA'!E29+'Segment - LatAm Foods'!E29+'Segment - APAC Foods'!E29</f>
        <v>185</v>
      </c>
      <c r="F50" s="17">
        <f>'Segment - PFNA'!F29+'Segment - PBNA'!F29+'Segment - IB Franchise'!F29+'Segment - EMEA'!F29+'Segment - LatAm Foods'!F29+'Segment - APAC Foods'!F29</f>
        <v>362</v>
      </c>
      <c r="G50" s="17">
        <f>'Segment - PFNA'!G29+'Segment - PBNA'!G29+'Segment - IB Franchise'!G29+'Segment - EMEA'!G29+'Segment - LatAm Foods'!G29+'Segment - APAC Foods'!G29</f>
        <v>704</v>
      </c>
      <c r="H50" s="17">
        <f>'Segment - PFNA'!H29+'Segment - PBNA'!H29+'Segment - IB Franchise'!H29+'Segment - EMEA'!H29+'Segment - LatAm Foods'!H29+'Segment - APAC Foods'!H29</f>
        <v>459</v>
      </c>
      <c r="I50" s="17">
        <f>'Segment - PFNA'!I29+'Segment - PBNA'!I29+'Segment - IB Franchise'!I29+'Segment - EMEA'!I29+'Segment - LatAm Foods'!I29+'Segment - APAC Foods'!I29</f>
        <v>412</v>
      </c>
      <c r="J50" s="64">
        <f>'Segment - PFNA'!J29+'Segment - PBNA'!J29+'Segment - IB Franchise'!J29+'Segment - EMEA'!J29+'Segment - LatAm Foods'!J29+'Segment - APAC Foods'!J29</f>
        <v>293.08</v>
      </c>
      <c r="K50" s="4"/>
      <c r="L50" s="3"/>
      <c r="M50" s="3"/>
    </row>
    <row r="51">
      <c r="A51" s="3"/>
      <c r="B51" s="3" t="s">
        <v>101</v>
      </c>
      <c r="C51" s="17">
        <f>'Segment - PFNA'!C11+'Segment - PBNA'!C11+'Segment - IB Franchise'!C11+'Segment - EMEA'!C11+'Segment - LatAm Foods'!C11+'Segment - APAC Foods'!C11</f>
        <v>0</v>
      </c>
      <c r="D51" s="17">
        <f>'Segment - PFNA'!D11+'Segment - PBNA'!D11+'Segment - IB Franchise'!D11+'Segment - EMEA'!D11+'Segment - LatAm Foods'!D11+'Segment - APAC Foods'!D11</f>
        <v>0</v>
      </c>
      <c r="E51" s="17">
        <f>'Segment - PFNA'!E11+'Segment - PBNA'!E11+'Segment - IB Franchise'!E11+'Segment - EMEA'!E11+'Segment - LatAm Foods'!E11+'Segment - APAC Foods'!E11</f>
        <v>0</v>
      </c>
      <c r="F51" s="17">
        <f>'Segment - PFNA'!F11+'Segment - PBNA'!F11+'Segment - IB Franchise'!F11+'Segment - EMEA'!F11+'Segment - LatAm Foods'!F11+'Segment - APAC Foods'!F11</f>
        <v>-6</v>
      </c>
      <c r="G51" s="17">
        <f>'Segment - PFNA'!G11+'Segment - PBNA'!G11+'Segment - IB Franchise'!G11+'Segment - EMEA'!G11+'Segment - LatAm Foods'!G11+'Segment - APAC Foods'!G11</f>
        <v>-6</v>
      </c>
      <c r="H51" s="17">
        <f>'Segment - PFNA'!H11+'Segment - PBNA'!H11+'Segment - IB Franchise'!H11+'Segment - EMEA'!H11+'Segment - LatAm Foods'!H11+'Segment - APAC Foods'!H11</f>
        <v>-11</v>
      </c>
      <c r="I51" s="17">
        <f>'Segment - PFNA'!I11+'Segment - PBNA'!I11+'Segment - IB Franchise'!I11+'Segment - EMEA'!I11+'Segment - LatAm Foods'!I11+'Segment - APAC Foods'!I11</f>
        <v>-11</v>
      </c>
      <c r="J51" s="64">
        <f>'Segment - PFNA'!J11+'Segment - PBNA'!J11+'Segment - IB Franchise'!J11+'Segment - EMEA'!J11+'Segment - LatAm Foods'!J11+'Segment - APAC Foods'!J11</f>
        <v>-11</v>
      </c>
      <c r="K51" s="4"/>
      <c r="L51" s="3"/>
      <c r="M51" s="3"/>
    </row>
    <row r="52">
      <c r="A52" s="3"/>
      <c r="B52" s="15" t="s">
        <v>102</v>
      </c>
      <c r="C52" s="21">
        <f>C48+C49+C50</f>
        <v>17919</v>
      </c>
      <c r="D52" s="21">
        <f>D48+D49+D50</f>
        <v>22726</v>
      </c>
      <c r="E52" s="21">
        <f>E48+E49+E50</f>
        <v>23937</v>
      </c>
      <c r="F52" s="21">
        <f>F48+F49+F50</f>
        <v>29343</v>
      </c>
      <c r="G52" s="21">
        <f>G48+G49+G50</f>
        <v>93925</v>
      </c>
      <c r="H52" s="21">
        <f>H48+H49+H50</f>
        <v>19443</v>
      </c>
      <c r="I52" s="21">
        <f>I48+I49+I50</f>
        <v>24181</v>
      </c>
      <c r="J52" s="43">
        <f>J48+J49+J50</f>
        <v>24980.5335</v>
      </c>
      <c r="K52" s="4"/>
      <c r="L52" s="3"/>
      <c r="M52" s="3"/>
    </row>
    <row r="53">
      <c r="A53" s="3"/>
      <c r="B53" s="12" t="s">
        <v>103</v>
      </c>
      <c r="C53" s="7">
        <f>IFERROR(IF(OR(C40&lt;0,C41&lt;0),"n.m.",C40/C41-1),"n/a")</f>
        <v>-0.01813698630136984</v>
      </c>
      <c r="D53" s="7">
        <f>IFERROR(IF(OR(D40&lt;0,D41&lt;0),"n.m.",D40/D41-1),"n/a")</f>
        <v>0.00999955557530785</v>
      </c>
      <c r="E53" s="7">
        <f>IFERROR(IF(OR(E40&lt;0,E41&lt;0),"n.m.",E40/E41-1),"n/a")</f>
        <v>0.026501994082078983</v>
      </c>
      <c r="F53" s="7">
        <f>IFERROR(IF(OR(F40&lt;0,F41&lt;0),"n.m.",F40/F41-1),"n/a")</f>
        <v>0.05611143103944727</v>
      </c>
      <c r="G53" s="7">
        <f>IFERROR(IF(OR(G40&lt;0,G41&lt;0),"n.m.",G40/G41-1),"n/a")</f>
        <v>0.022546650118666633</v>
      </c>
      <c r="H53" s="7">
        <f>IFERROR(IF(OR(H40&lt;0,H41&lt;0),"n.m.",H40/H41-1),"n/a")</f>
        <v>0.08504938891679226</v>
      </c>
      <c r="I53" s="7">
        <f>IFERROR(IF(OR(I40&lt;0,I41&lt;0),"n.m.",I40/I41-1),"n/a")</f>
        <v>0.06402358532077801</v>
      </c>
      <c r="J53" s="25">
        <f>IFERROR(IF(OR(J40&lt;0,J41&lt;0),"n.m.",J40/J41-1),"n/a")</f>
        <v>0.043594999373355314</v>
      </c>
      <c r="K53" s="4"/>
      <c r="L53" s="3"/>
      <c r="M53" s="3"/>
    </row>
    <row r="54">
      <c r="A54" s="3"/>
      <c r="B54" s="12" t="s">
        <v>104</v>
      </c>
      <c r="C54" s="7">
        <f>IFERROR((C50+C51)/C41,"n/a")</f>
        <v>0.0035068493150684932</v>
      </c>
      <c r="D54" s="7">
        <f>IFERROR((D50+D51)/D41,"n/a")</f>
        <v>0.004133149637793876</v>
      </c>
      <c r="E54" s="7">
        <f>IFERROR((E50+E51)/E41,"n/a")</f>
        <v>0.007933444830395814</v>
      </c>
      <c r="F54" s="7">
        <f>IFERROR((F50+F51)/F41,"n/a")</f>
        <v>0.012813129858911605</v>
      </c>
      <c r="G54" s="7">
        <f>IFERROR((G50+G51)/G41,"n/a")</f>
        <v>0.007599015829468504</v>
      </c>
      <c r="H54" s="7">
        <f>IFERROR((H50+H51)/H41,"n/a")</f>
        <v>0.025001395167141022</v>
      </c>
      <c r="I54" s="7">
        <f>IFERROR((I50+I51)/I41,"n/a")</f>
        <v>0.01764498811933468</v>
      </c>
      <c r="J54" s="25">
        <f>IFERROR((J50+J51)/J41,"n/a")</f>
        <v>0.011784267034298366</v>
      </c>
      <c r="K54" s="4"/>
      <c r="L54" s="3"/>
      <c r="M54" s="3"/>
    </row>
    <row r="55">
      <c r="A55" s="3"/>
      <c r="B55" s="12" t="s">
        <v>105</v>
      </c>
      <c r="C55" s="7">
        <f>IFERROR(C49/C41,"n/a")</f>
        <v>-0.033424657534246574</v>
      </c>
      <c r="D55" s="7">
        <f>IFERROR(D49/D41,"n/a")</f>
        <v>-0.01497711212834985</v>
      </c>
      <c r="E55" s="7">
        <f>IFERROR(E49/E41,"n/a")</f>
        <v>0.005360435696213388</v>
      </c>
      <c r="F55" s="7">
        <f>IFERROR(F49/F41,"n/a")</f>
        <v>0.022171033688453787</v>
      </c>
      <c r="G55" s="7">
        <f>IFERROR(G49/G41,"n/a")</f>
        <v>-0.0022426894854878396</v>
      </c>
      <c r="H55" s="7">
        <f>IFERROR(H49/H41,"n/a")</f>
        <v>0.03393046486969139</v>
      </c>
      <c r="I55" s="7">
        <f>IFERROR(I49/I41,"n/a")</f>
        <v>0.02213323946140984</v>
      </c>
      <c r="J55" s="25">
        <f>IFERROR(J49/J41,"n/a")</f>
        <v>0.006235263399757699</v>
      </c>
      <c r="K55" s="4"/>
      <c r="L55" s="3"/>
      <c r="M55" s="3"/>
    </row>
    <row r="56">
      <c r="A56" s="3"/>
      <c r="B56" s="12" t="s">
        <v>106</v>
      </c>
      <c r="C56" s="7">
        <f>IFERROR((1+C53)/((1+C54)*(1+C55))-1,"n/a")</f>
        <v>0.012266460586637162</v>
      </c>
      <c r="D56" s="7">
        <f>IFERROR((1+D53)/((1+D54)*(1+D55))-1,"n/a")</f>
        <v>0.021135926272891625</v>
      </c>
      <c r="E56" s="7">
        <f>IFERROR((1+E53)/((1+E54)*(1+E55))-1,"n/a")</f>
        <v>0.012992316017114813</v>
      </c>
      <c r="F56" s="7">
        <f>IFERROR((1+F53)/((1+F54)*(1+F55))-1,"n/a")</f>
        <v>0.020133127120934624</v>
      </c>
      <c r="G56" s="7">
        <f>IFERROR((1+G53)/((1+G54)*(1+G55))-1,"n/a")</f>
        <v>0.01711597893322314</v>
      </c>
      <c r="H56" s="7">
        <f>IFERROR((1+H53)/((1+H54)*(1+H55))-1,"n/a")</f>
        <v>0.023843831634873247</v>
      </c>
      <c r="I56" s="7">
        <f>IFERROR((1+I53)/((1+I54)*(1+I55))-1,"n/a")</f>
        <v>0.022933602429765054</v>
      </c>
      <c r="J56" s="25">
        <f>IFERROR((1+J53)/((1+J54)*(1+J55))-1,"n/a")</f>
        <v>0.025048783086496496</v>
      </c>
      <c r="K56" s="4"/>
      <c r="L56" s="3"/>
      <c r="M56" s="3"/>
    </row>
    <row r="57">
      <c r="A57" s="3"/>
      <c r="B57" s="12" t="s">
        <v>107</v>
      </c>
      <c r="C57" s="9">
        <v>0.01</v>
      </c>
      <c r="D57" s="9">
        <v>0.02</v>
      </c>
      <c r="E57" s="9">
        <v>0.01</v>
      </c>
      <c r="F57" s="9">
        <v>0.02</v>
      </c>
      <c r="G57" s="9">
        <v>0.02</v>
      </c>
      <c r="H57" s="9">
        <v>0.03</v>
      </c>
      <c r="I57" s="9">
        <v>0.02</v>
      </c>
      <c r="J57" s="25">
        <f>IFERROR(J48/(J41+J51)-1,"n/a")</f>
        <v>0.02558722728412599</v>
      </c>
      <c r="K57" s="4" t="s">
        <v>108</v>
      </c>
      <c r="L57" s="3"/>
      <c r="M57" s="3"/>
    </row>
    <row r="58">
      <c r="A58" s="3"/>
      <c r="B58" s="49" t="s">
        <v>109</v>
      </c>
      <c r="C58" s="77" t="s">
        <v>44</v>
      </c>
      <c r="D58" s="77" t="s">
        <v>44</v>
      </c>
      <c r="E58" s="77" t="s">
        <v>44</v>
      </c>
      <c r="F58" s="77" t="s">
        <v>44</v>
      </c>
      <c r="G58" s="77" t="s">
        <v>44</v>
      </c>
      <c r="H58" s="77">
        <f>IFERROR((H57-C57)*10000,"n/a")</f>
        <v>199.99999999999997</v>
      </c>
      <c r="I58" s="77">
        <f>IFERROR((I57-D57)*10000,"n/a")</f>
        <v>0</v>
      </c>
      <c r="J58" s="78">
        <f>IFERROR((J57-E57)*10000,"n/a")</f>
        <v>155.8722728412599</v>
      </c>
      <c r="K58" s="4"/>
      <c r="L58" s="3"/>
      <c r="M58" s="3"/>
    </row>
    <row r="59">
      <c r="A59" s="3"/>
      <c r="B59" s="49" t="s">
        <v>110</v>
      </c>
      <c r="C59" s="77" t="s">
        <v>44</v>
      </c>
      <c r="D59" s="77">
        <f>IFERROR((D57-C57)*10000,"n/a")</f>
        <v>100</v>
      </c>
      <c r="E59" s="77">
        <f>IFERROR((E57-D57)*10000,"n/a")</f>
        <v>-100</v>
      </c>
      <c r="F59" s="77">
        <f>IFERROR((F57-E57)*10000,"n/a")</f>
        <v>100</v>
      </c>
      <c r="G59" s="77" t="s">
        <v>44</v>
      </c>
      <c r="H59" s="77">
        <f>IFERROR((H57-F57)*10000,"n/a")</f>
        <v>99.99999999999999</v>
      </c>
      <c r="I59" s="77">
        <f>IFERROR((I57-H57)*10000,"n/a")</f>
        <v>-99.99999999999999</v>
      </c>
      <c r="J59" s="78">
        <f>IFERROR((J57-I57)*10000,"n/a")</f>
        <v>55.8722728412599</v>
      </c>
      <c r="K59" s="4"/>
      <c r="L59" s="3"/>
      <c r="M59" s="3"/>
    </row>
    <row r="60">
      <c r="A60" s="3"/>
      <c r="B60" s="3"/>
      <c r="C60" s="1"/>
      <c r="D60" s="1"/>
      <c r="E60" s="1"/>
      <c r="F60" s="1"/>
      <c r="G60" s="1"/>
      <c r="H60" s="1"/>
      <c r="I60" s="1"/>
      <c r="J60" s="16"/>
      <c r="K60" s="4"/>
      <c r="L60" s="3"/>
      <c r="M60" s="3"/>
    </row>
    <row r="61">
      <c r="A61" s="3"/>
      <c r="B61" s="15" t="s">
        <v>111</v>
      </c>
      <c r="C61" s="5"/>
      <c r="D61" s="5"/>
      <c r="E61" s="5"/>
      <c r="F61" s="5"/>
      <c r="G61" s="5"/>
      <c r="H61" s="5"/>
      <c r="I61" s="5"/>
      <c r="J61" s="22"/>
      <c r="K61" s="4"/>
      <c r="L61" s="3"/>
      <c r="M61" s="3"/>
    </row>
    <row r="62">
      <c r="A62" s="3"/>
      <c r="B62" s="15" t="s">
        <v>112</v>
      </c>
      <c r="C62" s="21">
        <f>C10+C15</f>
        <v>12089</v>
      </c>
      <c r="D62" s="21">
        <f>D10+D15</f>
        <v>13272</v>
      </c>
      <c r="E62" s="21">
        <f>E10+E15</f>
        <v>13853</v>
      </c>
      <c r="F62" s="21">
        <f>F10+F15</f>
        <v>16511</v>
      </c>
      <c r="G62" s="21">
        <f>G10+G15</f>
        <v>55725</v>
      </c>
      <c r="H62" s="21">
        <f>H10+H15</f>
        <v>12723</v>
      </c>
      <c r="I62" s="21">
        <f>I10+I15</f>
        <v>13611</v>
      </c>
      <c r="J62" s="43">
        <f>J10+J15</f>
        <v>14136.0535</v>
      </c>
      <c r="K62" s="4"/>
      <c r="L62" s="3"/>
      <c r="M62" s="3"/>
    </row>
    <row r="63">
      <c r="A63" s="3"/>
      <c r="B63" s="29" t="s">
        <v>113</v>
      </c>
      <c r="C63" s="17">
        <f>'Segment - PFNA'!C10+'Segment - PBNA'!C10</f>
        <v>12143</v>
      </c>
      <c r="D63" s="17">
        <f>'Segment - PFNA'!D10+'Segment - PBNA'!D10</f>
        <v>13246</v>
      </c>
      <c r="E63" s="17">
        <f>'Segment - PFNA'!E10+'Segment - PBNA'!E10</f>
        <v>13711</v>
      </c>
      <c r="F63" s="17">
        <f>'Segment - PFNA'!F10+'Segment - PBNA'!F10</f>
        <v>16100</v>
      </c>
      <c r="G63" s="17">
        <f>'Segment - PFNA'!G10+'Segment - PBNA'!G10</f>
        <v>55200</v>
      </c>
      <c r="H63" s="17">
        <f>'Segment - PFNA'!H10+'Segment - PBNA'!H10</f>
        <v>12089</v>
      </c>
      <c r="I63" s="17">
        <f>'Segment - PFNA'!I10+'Segment - PBNA'!I10</f>
        <v>13272</v>
      </c>
      <c r="J63" s="64">
        <f>'Segment - PFNA'!J10+'Segment - PBNA'!J10</f>
        <v>13853</v>
      </c>
      <c r="K63" s="4"/>
      <c r="L63" s="3"/>
      <c r="M63" s="3"/>
    </row>
    <row r="64">
      <c r="A64" s="3"/>
      <c r="B64" s="56" t="s">
        <v>77</v>
      </c>
      <c r="C64" s="7">
        <f>IFERROR(IF(OR(C62&lt;0,C63&lt;0),"n.m.",C62/C63-1),"n/a")</f>
        <v>-0.004447006505805762</v>
      </c>
      <c r="D64" s="7">
        <f>IFERROR(IF(OR(D62&lt;0,D63&lt;0),"n.m.",D62/D63-1),"n/a")</f>
        <v>0.001962856711460015</v>
      </c>
      <c r="E64" s="7">
        <f>IFERROR(IF(OR(E62&lt;0,E63&lt;0),"n.m.",E62/E63-1),"n/a")</f>
        <v>0.01035664794690394</v>
      </c>
      <c r="F64" s="7">
        <f>IFERROR(IF(OR(F62&lt;0,F63&lt;0),"n.m.",F62/F63-1),"n/a")</f>
        <v>0.02552795031055899</v>
      </c>
      <c r="G64" s="7">
        <f>IFERROR(IF(OR(G62&lt;0,G63&lt;0),"n.m.",G62/G63-1),"n/a")</f>
        <v>0.009510869565217295</v>
      </c>
      <c r="H64" s="7">
        <f>IFERROR(IF(OR(H62&lt;0,C62&lt;0),"n.m.",H62/C62-1),"n/a")</f>
        <v>0.05244437091570853</v>
      </c>
      <c r="I64" s="7">
        <f>IFERROR(IF(OR(I62&lt;0,D62&lt;0),"n.m.",I62/D62-1),"n/a")</f>
        <v>0.025542495479204286</v>
      </c>
      <c r="J64" s="25">
        <f>IFERROR(IF(OR(J62&lt;0,E62&lt;0),"n.m.",J62/E62-1),"n/a")</f>
        <v>0.020432649967516037</v>
      </c>
      <c r="K64" s="4"/>
      <c r="L64" s="3"/>
      <c r="M64" s="3"/>
    </row>
    <row r="65">
      <c r="A65" s="3"/>
      <c r="B65" s="56" t="s">
        <v>114</v>
      </c>
      <c r="C65" s="36">
        <f>IFERROR(('Segment - PFNA'!C22+'Segment - PBNA'!C22)/('Segment - PFNA'!C12+'Segment - PBNA'!C12)-1,"n/a")</f>
        <v>-0.005435230173762684</v>
      </c>
      <c r="D65" s="36">
        <f>IFERROR(('Segment - PFNA'!D22+'Segment - PBNA'!D22)/('Segment - PFNA'!D12+'Segment - PBNA'!D12)-1,"n/a")</f>
        <v>-0.003925713422920141</v>
      </c>
      <c r="E65" s="36">
        <f>IFERROR(('Segment - PFNA'!E22+'Segment - PBNA'!E22)/('Segment - PFNA'!E12+'Segment - PBNA'!E12)-1,"n/a")</f>
        <v>-0.002917365618846146</v>
      </c>
      <c r="F65" s="36">
        <f>IFERROR(('Segment - PFNA'!F22+'Segment - PBNA'!F22)/('Segment - PFNA'!F12+'Segment - PBNA'!F12)-1,"n/a")</f>
        <v>0.004660121784515914</v>
      </c>
      <c r="G65" s="36">
        <f>IFERROR(('Segment - PFNA'!G22+'Segment - PBNA'!G22)/('Segment - PFNA'!G12+'Segment - PBNA'!G12)-1,"n/a")</f>
        <v>-0.001503786643475724</v>
      </c>
      <c r="H65" s="36">
        <f>IFERROR(('Segment - PFNA'!H22+'Segment - PBNA'!H22)/('Segment - PFNA'!H12+'Segment - PBNA'!H12)-1,"n/a")</f>
        <v>0.012336479549594381</v>
      </c>
      <c r="I65" s="36">
        <f>IFERROR(('Segment - PFNA'!I22+'Segment - PBNA'!I22)/('Segment - PFNA'!I12+'Segment - PBNA'!I12)-1,"n/a")</f>
        <v>-0.005278636603574416</v>
      </c>
      <c r="J65" s="84">
        <f>IFERROR(('Segment - PFNA'!J22+'Segment - PBNA'!J22)/('Segment - PFNA'!J12+'Segment - PBNA'!J12)-1,"n/a")</f>
        <v>0.0005707267735877153</v>
      </c>
      <c r="K65" s="4"/>
      <c r="L65" s="3"/>
      <c r="M65" s="3"/>
    </row>
    <row r="66">
      <c r="A66" s="3"/>
      <c r="B66" s="56" t="s">
        <v>79</v>
      </c>
      <c r="C66" s="7">
        <f>IFERROR(C62/C40,"n/a")</f>
        <v>0.6746470227133211</v>
      </c>
      <c r="D66" s="7">
        <f>IFERROR(D62/D40,"n/a")</f>
        <v>0.5840007040394262</v>
      </c>
      <c r="E66" s="7">
        <f>IFERROR(E62/E40,"n/a")</f>
        <v>0.5787274930024648</v>
      </c>
      <c r="F66" s="7">
        <f>IFERROR(F62/F40,"n/a")</f>
        <v>0.5626895682104761</v>
      </c>
      <c r="G66" s="7">
        <f>IFERROR(G62/G40,"n/a")</f>
        <v>0.5932925206281607</v>
      </c>
      <c r="H66" s="7">
        <f>IFERROR(H62/H40,"n/a")</f>
        <v>0.6543743249498534</v>
      </c>
      <c r="I66" s="7">
        <f>IFERROR(I62/I40,"n/a")</f>
        <v>0.5628799470658782</v>
      </c>
      <c r="J66" s="25">
        <f>IFERROR(J62/J40,"n/a")</f>
        <v>0.5658827702779045</v>
      </c>
      <c r="K66" s="4"/>
      <c r="L66" s="3"/>
      <c r="M66" s="3"/>
    </row>
    <row r="67">
      <c r="A67" s="3"/>
      <c r="B67" s="56" t="s">
        <v>104</v>
      </c>
      <c r="C67" s="36">
        <f>IFERROR(('Segment - PFNA'!C29+'Segment - PBNA'!C29+'Segment - PFNA'!C11+'Segment - PBNA'!C11)/C63,"n/a")</f>
        <v>0.005023470312113975</v>
      </c>
      <c r="D67" s="36">
        <f>IFERROR(('Segment - PFNA'!D29+'Segment - PBNA'!D29+'Segment - PFNA'!D11+'Segment - PBNA'!D11)/D63,"n/a")</f>
        <v>0.007096481956817152</v>
      </c>
      <c r="E67" s="36">
        <f>IFERROR(('Segment - PFNA'!E29+'Segment - PBNA'!E29+'Segment - PFNA'!E11+'Segment - PBNA'!E11)/E63,"n/a")</f>
        <v>0.013565750127634746</v>
      </c>
      <c r="F67" s="36">
        <f>IFERROR(('Segment - PFNA'!F29+'Segment - PBNA'!F29+'Segment - PFNA'!F11+'Segment - PBNA'!F11)/F63,"n/a")</f>
        <v>0.02111801242236025</v>
      </c>
      <c r="G67" s="36">
        <f>IFERROR(('Segment - PFNA'!G29+'Segment - PBNA'!G29+'Segment - PFNA'!G11+'Segment - PBNA'!G11)/G63,"n/a")</f>
        <v>0.01233695652173913</v>
      </c>
      <c r="H67" s="36">
        <f>IFERROR(('Segment - PFNA'!H29+'Segment - PBNA'!H29+'Segment - PFNA'!H11+'Segment - PBNA'!H11)/H63,"n/a")</f>
        <v>0.03705848291835553</v>
      </c>
      <c r="I67" s="36">
        <f>IFERROR(('Segment - PFNA'!I29+'Segment - PBNA'!I29+'Segment - PFNA'!I11+'Segment - PBNA'!I11)/I63,"n/a")</f>
        <v>0.030213984327908377</v>
      </c>
      <c r="J67" s="84">
        <f>IFERROR(('Segment - PFNA'!J29+'Segment - PBNA'!J29+'Segment - PFNA'!J11+'Segment - PBNA'!J11)/J63,"n/a")</f>
        <v>0.020362376380567385</v>
      </c>
      <c r="K67" s="4"/>
      <c r="L67" s="3"/>
      <c r="M67" s="3"/>
    </row>
    <row r="68">
      <c r="A68" s="3"/>
      <c r="B68" s="56" t="s">
        <v>105</v>
      </c>
      <c r="C68" s="36">
        <f>IFERROR(('Segment - PFNA'!C25+'Segment - PBNA'!C25)/C63,"n/a")</f>
        <v>-0.004035246644157128</v>
      </c>
      <c r="D68" s="36">
        <f>IFERROR(('Segment - PFNA'!D25+'Segment - PBNA'!D25)/D63,"n/a")</f>
        <v>-0.0012079118224369622</v>
      </c>
      <c r="E68" s="36">
        <f>IFERROR(('Segment - PFNA'!E25+'Segment - PBNA'!E25)/E63,"n/a")</f>
        <v>-0.00029173656188461817</v>
      </c>
      <c r="F68" s="36">
        <f>IFERROR(('Segment - PFNA'!F25+'Segment - PBNA'!F25)/F63,"n/a")</f>
        <v>-0.0002484472049689441</v>
      </c>
      <c r="G68" s="36">
        <f>IFERROR(('Segment - PFNA'!G25+'Segment - PBNA'!G25)/G63,"n/a")</f>
        <v>-0.001322463768115942</v>
      </c>
      <c r="H68" s="36">
        <f>IFERROR(('Segment - PFNA'!H25+'Segment - PBNA'!H25)/H63,"n/a")</f>
        <v>0.0030606336338820416</v>
      </c>
      <c r="I68" s="36">
        <f>IFERROR(('Segment - PFNA'!I25+'Segment - PBNA'!I25)/I63,"n/a")</f>
        <v>0.0006027727546714888</v>
      </c>
      <c r="J68" s="84">
        <f>IFERROR(('Segment - PFNA'!J25+'Segment - PBNA'!J25)/J63,"n/a")</f>
        <v>-0.0005</v>
      </c>
      <c r="K68" s="4"/>
      <c r="L68" s="3"/>
      <c r="M68" s="3"/>
    </row>
    <row r="69">
      <c r="A69" s="3"/>
      <c r="B69" s="56" t="s">
        <v>106</v>
      </c>
      <c r="C69" s="7">
        <f>IFERROR((1+C64)/((1+C67)*(1+C68))-1,"n/a")</f>
        <v>-0.0054097228760375815</v>
      </c>
      <c r="D69" s="7">
        <f>IFERROR((1+D64)/((1+D67)*(1+D68))-1,"n/a")</f>
        <v>-0.0038942433545133825</v>
      </c>
      <c r="E69" s="7">
        <f>IFERROR((1+E64)/((1+E67)*(1+E68))-1,"n/a")</f>
        <v>-0.0028752532224397553</v>
      </c>
      <c r="F69" s="7">
        <f>IFERROR((1+F64)/((1+F67)*(1+F68))-1,"n/a")</f>
        <v>0.004568316983742271</v>
      </c>
      <c r="G69" s="7">
        <f>IFERROR((1+G64)/((1+G67)*(1+G68))-1,"n/a")</f>
        <v>-0.0014711282803333559</v>
      </c>
      <c r="H69" s="7">
        <f>IFERROR((1+H64)/((1+H67)*(1+H68))-1,"n/a")</f>
        <v>0.01173952118059085</v>
      </c>
      <c r="I69" s="7">
        <f>IFERROR((1+I64)/((1+I67)*(1+I68))-1,"n/a")</f>
        <v>-0.005134162041275592</v>
      </c>
      <c r="J69" s="25">
        <f>IFERROR((1+J64)/((1+J67)*(1+J68))-1,"n/a")</f>
        <v>0.0005691557834313077</v>
      </c>
      <c r="K69" s="4" t="s">
        <v>115</v>
      </c>
      <c r="L69" s="3"/>
      <c r="M69" s="3"/>
    </row>
    <row r="70">
      <c r="A70" s="3"/>
      <c r="B70" s="15" t="s">
        <v>116</v>
      </c>
      <c r="C70" s="21">
        <f>C20+C25+C30+C35</f>
        <v>5830</v>
      </c>
      <c r="D70" s="21">
        <f>D20+D25+D30+D35</f>
        <v>9454</v>
      </c>
      <c r="E70" s="21">
        <f>E20+E25+E30+E35</f>
        <v>10084</v>
      </c>
      <c r="F70" s="21">
        <f>F20+F25+F30+F35</f>
        <v>12832</v>
      </c>
      <c r="G70" s="21">
        <f>G20+G25+G30+G35</f>
        <v>38200</v>
      </c>
      <c r="H70" s="21">
        <f>H20+H25+H30+H35</f>
        <v>6720</v>
      </c>
      <c r="I70" s="21">
        <f>I20+I25+I30+I35</f>
        <v>10570</v>
      </c>
      <c r="J70" s="43">
        <f>J20+J25+J30+J35</f>
        <v>10844.480000000003</v>
      </c>
      <c r="K70" s="4"/>
      <c r="L70" s="3"/>
      <c r="M70" s="3"/>
    </row>
    <row r="71">
      <c r="A71" s="3"/>
      <c r="B71" s="29" t="s">
        <v>117</v>
      </c>
      <c r="C71" s="17">
        <f>'Segment - IB Franchise'!C10+'Segment - EMEA'!C10+'Segment - LatAm Foods'!C10+'Segment - APAC Foods'!C10</f>
        <v>6107</v>
      </c>
      <c r="D71" s="17">
        <f>'Segment - IB Franchise'!D10+'Segment - EMEA'!D10+'Segment - LatAm Foods'!D10+'Segment - APAC Foods'!D10</f>
        <v>9255</v>
      </c>
      <c r="E71" s="17">
        <f>'Segment - IB Franchise'!E10+'Segment - EMEA'!E10+'Segment - LatAm Foods'!E10+'Segment - APAC Foods'!E10</f>
        <v>9608</v>
      </c>
      <c r="F71" s="17">
        <f>'Segment - IB Franchise'!F10+'Segment - EMEA'!F10+'Segment - LatAm Foods'!F10+'Segment - APAC Foods'!F10</f>
        <v>11684</v>
      </c>
      <c r="G71" s="17">
        <f>'Segment - IB Franchise'!G10+'Segment - EMEA'!G10+'Segment - LatAm Foods'!G10+'Segment - APAC Foods'!G10</f>
        <v>36654</v>
      </c>
      <c r="H71" s="17">
        <f>'Segment - IB Franchise'!H10+'Segment - EMEA'!H10+'Segment - LatAm Foods'!H10+'Segment - APAC Foods'!H10</f>
        <v>5830</v>
      </c>
      <c r="I71" s="17">
        <f>'Segment - IB Franchise'!I10+'Segment - EMEA'!I10+'Segment - LatAm Foods'!I10+'Segment - APAC Foods'!I10</f>
        <v>9454</v>
      </c>
      <c r="J71" s="64">
        <f>'Segment - IB Franchise'!J10+'Segment - EMEA'!J10+'Segment - LatAm Foods'!J10+'Segment - APAC Foods'!J10</f>
        <v>10084</v>
      </c>
      <c r="K71" s="4"/>
      <c r="L71" s="3"/>
      <c r="M71" s="3"/>
    </row>
    <row r="72">
      <c r="A72" s="3"/>
      <c r="B72" s="56" t="s">
        <v>77</v>
      </c>
      <c r="C72" s="7">
        <f>IFERROR(IF(OR(C70&lt;0,C71&lt;0),"n.m.",C70/C71-1),"n/a")</f>
        <v>-0.04535778614704433</v>
      </c>
      <c r="D72" s="7">
        <f>IFERROR(IF(OR(D70&lt;0,D71&lt;0),"n.m.",D70/D71-1),"n/a")</f>
        <v>0.021501890869800144</v>
      </c>
      <c r="E72" s="7">
        <f>IFERROR(IF(OR(E70&lt;0,E71&lt;0),"n.m.",E70/E71-1),"n/a")</f>
        <v>0.04954204829308906</v>
      </c>
      <c r="F72" s="7">
        <f>IFERROR(IF(OR(F70&lt;0,F71&lt;0),"n.m.",F70/F71-1),"n/a")</f>
        <v>0.09825402259500171</v>
      </c>
      <c r="G72" s="7">
        <f>IFERROR(IF(OR(G70&lt;0,G71&lt;0),"n.m.",G70/G71-1),"n/a")</f>
        <v>0.04217820701696939</v>
      </c>
      <c r="H72" s="7">
        <f>IFERROR(IF(OR(H70&lt;0,C70&lt;0),"n.m.",H70/C70-1),"n/a")</f>
        <v>0.15265866209262446</v>
      </c>
      <c r="I72" s="7">
        <f>IFERROR(IF(OR(I70&lt;0,D70&lt;0),"n.m.",I70/D70-1),"n/a")</f>
        <v>0.11804527184260638</v>
      </c>
      <c r="J72" s="25">
        <f>IFERROR(IF(OR(J70&lt;0,E70&lt;0),"n.m.",J70/E70-1),"n/a")</f>
        <v>0.07541451804839383</v>
      </c>
      <c r="K72" s="4"/>
      <c r="L72" s="3"/>
      <c r="M72" s="3"/>
    </row>
    <row r="73">
      <c r="A73" s="3"/>
      <c r="B73" s="56" t="s">
        <v>118</v>
      </c>
      <c r="C73" s="36">
        <f>IFERROR(('Segment - IB Franchise'!C22+'Segment - EMEA'!C22+'Segment - LatAm Foods'!C22+'Segment - APAC Foods'!C22)/('Segment - IB Franchise'!C12+'Segment - EMEA'!C12+'Segment - LatAm Foods'!C12+'Segment - APAC Foods'!C12)-1,"n/a")</f>
        <v>0.046012772228590126</v>
      </c>
      <c r="D73" s="36">
        <f>IFERROR(('Segment - IB Franchise'!D22+'Segment - EMEA'!D22+'Segment - LatAm Foods'!D22+'Segment - APAC Foods'!D22)/('Segment - IB Franchise'!D12+'Segment - EMEA'!D12+'Segment - LatAm Foods'!D12+'Segment - APAC Foods'!D12)-1,"n/a")</f>
        <v>0.05629389519178818</v>
      </c>
      <c r="E73" s="36">
        <f>IFERROR(('Segment - IB Franchise'!E22+'Segment - EMEA'!E22+'Segment - LatAm Foods'!E22+'Segment - APAC Foods'!E22)/('Segment - IB Franchise'!E12+'Segment - EMEA'!E12+'Segment - LatAm Foods'!E12+'Segment - APAC Foods'!E12)-1,"n/a")</f>
        <v>0.036219816819317296</v>
      </c>
      <c r="F73" s="36">
        <f>IFERROR(('Segment - IB Franchise'!F22+'Segment - EMEA'!F22+'Segment - LatAm Foods'!F22+'Segment - APAC Foods'!F22)/('Segment - IB Franchise'!F12+'Segment - EMEA'!F12+'Segment - LatAm Foods'!F12+'Segment - APAC Foods'!F12)-1,"n/a")</f>
        <v>0.04382060938034926</v>
      </c>
      <c r="G73" s="36">
        <f>IFERROR(('Segment - IB Franchise'!G22+'Segment - EMEA'!G22+'Segment - LatAm Foods'!G22+'Segment - APAC Foods'!G22)/('Segment - IB Franchise'!G12+'Segment - EMEA'!G12+'Segment - LatAm Foods'!G12+'Segment - APAC Foods'!G12)-1,"n/a")</f>
        <v>0.0453429366508431</v>
      </c>
      <c r="H73" s="36">
        <f>IFERROR(('Segment - IB Franchise'!H22+'Segment - EMEA'!H22+'Segment - LatAm Foods'!H22+'Segment - APAC Foods'!H22)/('Segment - IB Franchise'!H12+'Segment - EMEA'!H12+'Segment - LatAm Foods'!H12+'Segment - APAC Foods'!H12)-1,"n/a")</f>
        <v>0.05471698113207557</v>
      </c>
      <c r="I73" s="36">
        <f>IFERROR(('Segment - IB Franchise'!I22+'Segment - EMEA'!I22+'Segment - LatAm Foods'!I22+'Segment - APAC Foods'!I22)/('Segment - IB Franchise'!I12+'Segment - EMEA'!I12+'Segment - LatAm Foods'!I12+'Segment - APAC Foods'!I12)-1,"n/a")</f>
        <v>0.0656864819124181</v>
      </c>
      <c r="J73" s="84">
        <f>IFERROR(('Segment - IB Franchise'!J22+'Segment - EMEA'!J22+'Segment - LatAm Foods'!J22+'Segment - APAC Foods'!J22)/('Segment - IB Franchise'!J12+'Segment - EMEA'!J12+'Segment - LatAm Foods'!J12+'Segment - APAC Foods'!J12)-1,"n/a")</f>
        <v>0.05992661642205488</v>
      </c>
      <c r="K73" s="4"/>
      <c r="L73" s="3"/>
      <c r="M73" s="3"/>
    </row>
    <row r="74">
      <c r="A74" s="3"/>
      <c r="B74" s="56" t="s">
        <v>79</v>
      </c>
      <c r="C74" s="7">
        <f>IFERROR(C70/C40,"n/a")</f>
        <v>0.32535297728667895</v>
      </c>
      <c r="D74" s="7">
        <f>IFERROR(D70/D40,"n/a")</f>
        <v>0.4159992959605738</v>
      </c>
      <c r="E74" s="7">
        <f>IFERROR(E70/E40,"n/a")</f>
        <v>0.4212725069975352</v>
      </c>
      <c r="F74" s="7">
        <f>IFERROR(F70/F40,"n/a")</f>
        <v>0.4373104317895239</v>
      </c>
      <c r="G74" s="7">
        <f>IFERROR(G70/G40,"n/a")</f>
        <v>0.4067074793718392</v>
      </c>
      <c r="H74" s="7">
        <f>IFERROR(H70/H40,"n/a")</f>
        <v>0.3456256750501466</v>
      </c>
      <c r="I74" s="7">
        <f>IFERROR(I70/I40,"n/a")</f>
        <v>0.4371200529341218</v>
      </c>
      <c r="J74" s="25">
        <f>IFERROR(J70/J40,"n/a")</f>
        <v>0.43411722972209543</v>
      </c>
      <c r="K74" s="4"/>
      <c r="L74" s="3"/>
      <c r="M74" s="3"/>
    </row>
    <row r="75">
      <c r="A75" s="3"/>
      <c r="B75" s="56" t="s">
        <v>104</v>
      </c>
      <c r="C75" s="36">
        <f>IFERROR(('Segment - IB Franchise'!C29+'Segment - EMEA'!C29+'Segment - LatAm Foods'!C29+'Segment - APAC Foods'!C29+'Segment - IB Franchise'!C11+'Segment - EMEA'!C11+'Segment - LatAm Foods'!C11+'Segment - APAC Foods'!C11)/C71,"n/a")</f>
        <v>0.0004912395611593254</v>
      </c>
      <c r="D75" s="36">
        <f>IFERROR(('Segment - IB Franchise'!D29+'Segment - EMEA'!D29+'Segment - LatAm Foods'!D29+'Segment - APAC Foods'!D29+'Segment - IB Franchise'!D11+'Segment - EMEA'!D11+'Segment - LatAm Foods'!D11+'Segment - APAC Foods'!D11)/D71,"n/a")</f>
        <v>-0.00010804970286331713</v>
      </c>
      <c r="E75" s="36">
        <f>IFERROR(('Segment - IB Franchise'!E29+'Segment - EMEA'!E29+'Segment - LatAm Foods'!E29+'Segment - APAC Foods'!E29+'Segment - IB Franchise'!E11+'Segment - EMEA'!E11+'Segment - LatAm Foods'!E11+'Segment - APAC Foods'!E11)/E71,"n/a")</f>
        <v>-0.00010407993338884263</v>
      </c>
      <c r="F75" s="36">
        <f>IFERROR(('Segment - IB Franchise'!F29+'Segment - EMEA'!F29+'Segment - LatAm Foods'!F29+'Segment - APAC Foods'!F29+'Segment - IB Franchise'!F11+'Segment - EMEA'!F11+'Segment - LatAm Foods'!F11+'Segment - APAC Foods'!F11)/F71,"n/a")</f>
        <v>0.0013693940431359123</v>
      </c>
      <c r="G75" s="36">
        <f>IFERROR(('Segment - IB Franchise'!G29+'Segment - EMEA'!G29+'Segment - LatAm Foods'!G29+'Segment - APAC Foods'!G29+'Segment - IB Franchise'!G11+'Segment - EMEA'!G11+'Segment - LatAm Foods'!G11+'Segment - APAC Foods'!G11)/G71,"n/a")</f>
        <v>0.0004637965842745676</v>
      </c>
      <c r="H75" s="36">
        <f>IFERROR(('Segment - IB Franchise'!H29+'Segment - EMEA'!H29+'Segment - LatAm Foods'!H29+'Segment - APAC Foods'!H29+'Segment - IB Franchise'!H11+'Segment - EMEA'!H11+'Segment - LatAm Foods'!H11+'Segment - APAC Foods'!H11)/H71,"n/a")</f>
        <v>0</v>
      </c>
      <c r="I75" s="36">
        <f>IFERROR(('Segment - IB Franchise'!I29+'Segment - EMEA'!I29+'Segment - LatAm Foods'!I29+'Segment - APAC Foods'!I29+'Segment - IB Franchise'!I11+'Segment - EMEA'!I11+'Segment - LatAm Foods'!I11+'Segment - APAC Foods'!I11)/I71,"n/a")</f>
        <v>0</v>
      </c>
      <c r="J75" s="84">
        <f>IFERROR(('Segment - IB Franchise'!J29+'Segment - EMEA'!J29+'Segment - LatAm Foods'!J29+'Segment - APAC Foods'!J29+'Segment - IB Franchise'!J11+'Segment - EMEA'!J11+'Segment - LatAm Foods'!J11+'Segment - APAC Foods'!J11)/J71,"n/a")</f>
        <v>0</v>
      </c>
      <c r="K75" s="4"/>
      <c r="L75" s="3"/>
      <c r="M75" s="3"/>
    </row>
    <row r="76">
      <c r="A76" s="3"/>
      <c r="B76" s="56" t="s">
        <v>105</v>
      </c>
      <c r="C76" s="36">
        <f>IFERROR(('Segment - IB Franchise'!C25+'Segment - EMEA'!C25+'Segment - LatAm Foods'!C25+'Segment - APAC Foods'!C25)/C71,"n/a")</f>
        <v>-0.09186179793679385</v>
      </c>
      <c r="D76" s="36">
        <f>IFERROR(('Segment - IB Franchise'!D25+'Segment - EMEA'!D25+'Segment - LatAm Foods'!D25+'Segment - APAC Foods'!D25)/D71,"n/a")</f>
        <v>-0.034683954619124796</v>
      </c>
      <c r="E76" s="36">
        <f>IFERROR(('Segment - IB Franchise'!E25+'Segment - EMEA'!E25+'Segment - LatAm Foods'!E25+'Segment - APAC Foods'!E25)/E71,"n/a")</f>
        <v>0.013426311407160699</v>
      </c>
      <c r="F76" s="36">
        <f>IFERROR(('Segment - IB Franchise'!F25+'Segment - EMEA'!F25+'Segment - LatAm Foods'!F25+'Segment - APAC Foods'!F25)/F71,"n/a")</f>
        <v>0.0530640191715166</v>
      </c>
      <c r="G76" s="36">
        <f>IFERROR(('Segment - IB Franchise'!G25+'Segment - EMEA'!G25+'Segment - LatAm Foods'!G25+'Segment - APAC Foods'!G25)/G71,"n/a")</f>
        <v>-0.0036285262181480877</v>
      </c>
      <c r="H76" s="36">
        <f>IFERROR(('Segment - IB Franchise'!H25+'Segment - EMEA'!H25+'Segment - LatAm Foods'!H25+'Segment - APAC Foods'!H25)/H71,"n/a")</f>
        <v>0.09794168096054888</v>
      </c>
      <c r="I76" s="36">
        <f>IFERROR(('Segment - IB Franchise'!I25+'Segment - EMEA'!I25+'Segment - LatAm Foods'!I25+'Segment - APAC Foods'!I25)/I71,"n/a")</f>
        <v>0.05235878993018828</v>
      </c>
      <c r="J76" s="84">
        <f>IFERROR(('Segment - IB Franchise'!J25+'Segment - EMEA'!J25+'Segment - LatAm Foods'!J25+'Segment - APAC Foods'!J25)/J71,"n/a")</f>
        <v>0.015487901626338759</v>
      </c>
      <c r="K76" s="4"/>
      <c r="L76" s="3"/>
      <c r="M76" s="3"/>
    </row>
    <row r="77">
      <c r="A77" s="3"/>
      <c r="B77" s="56" t="s">
        <v>106</v>
      </c>
      <c r="C77" s="7">
        <f>IFERROR((1+C72)/((1+C75)*(1+C76))-1,"n/a")</f>
        <v>0.05069193644820302</v>
      </c>
      <c r="D77" s="7">
        <f>IFERROR((1+D72)/((1+D75)*(1+D76))-1,"n/a")</f>
        <v>0.058318962645597994</v>
      </c>
      <c r="E77" s="7">
        <f>IFERROR((1+E72)/((1+E75)*(1+E76))-1,"n/a")</f>
        <v>0.03574506021320012</v>
      </c>
      <c r="F77" s="7">
        <f>IFERROR((1+F72)/((1+F75)*(1+F76))-1,"n/a")</f>
        <v>0.041486668222689094</v>
      </c>
      <c r="G77" s="7">
        <f>IFERROR((1+G72)/((1+G75)*(1+G76))-1,"n/a")</f>
        <v>0.04548865539742031</v>
      </c>
      <c r="H77" s="7">
        <f>IFERROR((1+H72)/((1+H75)*(1+H76))-1,"n/a")</f>
        <v>0.049835963130760996</v>
      </c>
      <c r="I77" s="7">
        <f>IFERROR((1+I72)/((1+I75)*(1+I76))-1,"n/a")</f>
        <v>0.06241833350085435</v>
      </c>
      <c r="J77" s="25">
        <f>IFERROR((1+J72)/((1+J75)*(1+J76))-1,"n/a")</f>
        <v>0.05901263454353378</v>
      </c>
      <c r="K77" s="4" t="s">
        <v>115</v>
      </c>
      <c r="L77" s="3"/>
      <c r="M77" s="3"/>
    </row>
    <row r="78">
      <c r="A78" s="3"/>
      <c r="B78" s="12" t="s">
        <v>119</v>
      </c>
      <c r="C78" s="52">
        <f>C62+C70-C40</f>
        <v>0</v>
      </c>
      <c r="D78" s="52">
        <f>D62+D70-D40</f>
        <v>0</v>
      </c>
      <c r="E78" s="52">
        <f>E62+E70-E40</f>
        <v>0</v>
      </c>
      <c r="F78" s="52">
        <f>F62+F70-F40</f>
        <v>0</v>
      </c>
      <c r="G78" s="52">
        <f>G62+G70-G40</f>
        <v>0</v>
      </c>
      <c r="H78" s="52">
        <f>H62+H70-H40</f>
        <v>0</v>
      </c>
      <c r="I78" s="52">
        <f>I62+I70-I40</f>
        <v>0</v>
      </c>
      <c r="J78" s="62">
        <f>J62+J70-J40</f>
        <v>0</v>
      </c>
      <c r="K78" s="4" t="s">
        <v>120</v>
      </c>
      <c r="L78" s="3"/>
      <c r="M78" s="3"/>
    </row>
    <row r="79">
      <c r="A79" s="3"/>
      <c r="B79" s="3"/>
      <c r="C79" s="1"/>
      <c r="D79" s="1"/>
      <c r="E79" s="1"/>
      <c r="F79" s="1"/>
      <c r="G79" s="1"/>
      <c r="H79" s="1"/>
      <c r="I79" s="1"/>
      <c r="J79" s="16"/>
      <c r="K79" s="4"/>
      <c r="L79" s="3"/>
      <c r="M79" s="3"/>
    </row>
    <row r="80">
      <c r="A80" s="3"/>
      <c r="B80" s="15" t="s">
        <v>121</v>
      </c>
      <c r="C80" s="5"/>
      <c r="D80" s="5"/>
      <c r="E80" s="5"/>
      <c r="F80" s="5"/>
      <c r="G80" s="5"/>
      <c r="H80" s="5"/>
      <c r="I80" s="5"/>
      <c r="J80" s="22"/>
      <c r="K80" s="4"/>
      <c r="L80" s="3"/>
      <c r="M80" s="3"/>
    </row>
    <row r="81">
      <c r="A81" s="3"/>
      <c r="B81" s="12" t="s">
        <v>122</v>
      </c>
      <c r="C81" s="9">
        <v>0.49</v>
      </c>
      <c r="D81" s="9">
        <v>0.51</v>
      </c>
      <c r="E81" s="9">
        <v>0.53</v>
      </c>
      <c r="F81" s="7">
        <f>IFERROR(F84/F62,"n/a")</f>
        <v>0.5078632426866936</v>
      </c>
      <c r="G81" s="9">
        <v>0.51</v>
      </c>
      <c r="H81" s="9">
        <v>0.5</v>
      </c>
      <c r="I81" s="9">
        <v>0.53</v>
      </c>
      <c r="J81" s="25">
        <f>E81</f>
        <v>0.53</v>
      </c>
      <c r="K81" s="4" t="s">
        <v>123</v>
      </c>
      <c r="L81" s="3"/>
      <c r="M81" s="3"/>
    </row>
    <row r="82">
      <c r="A82" s="3"/>
      <c r="B82" s="49" t="s">
        <v>109</v>
      </c>
      <c r="C82" s="77" t="s">
        <v>44</v>
      </c>
      <c r="D82" s="77" t="s">
        <v>44</v>
      </c>
      <c r="E82" s="77" t="s">
        <v>44</v>
      </c>
      <c r="F82" s="77" t="s">
        <v>44</v>
      </c>
      <c r="G82" s="77" t="s">
        <v>44</v>
      </c>
      <c r="H82" s="77">
        <f>IFERROR((H81-C81)*10000,"n/a")</f>
        <v>100.00000000000009</v>
      </c>
      <c r="I82" s="77">
        <f>IFERROR((I81-D81)*10000,"n/a")</f>
        <v>200.00000000000017</v>
      </c>
      <c r="J82" s="78">
        <f>IFERROR((J81-E81)*10000,"n/a")</f>
        <v>0</v>
      </c>
      <c r="K82" s="4"/>
      <c r="L82" s="3"/>
      <c r="M82" s="3"/>
    </row>
    <row r="83">
      <c r="A83" s="3"/>
      <c r="B83" s="49" t="s">
        <v>110</v>
      </c>
      <c r="C83" s="77" t="s">
        <v>44</v>
      </c>
      <c r="D83" s="77">
        <f>IFERROR((D81-C81)*10000,"n/a")</f>
        <v>200.00000000000017</v>
      </c>
      <c r="E83" s="77">
        <f>IFERROR((E81-D81)*10000,"n/a")</f>
        <v>200.00000000000017</v>
      </c>
      <c r="F83" s="77">
        <f>IFERROR((F81-E81)*10000,"n/a")</f>
        <v>-221.36757313306444</v>
      </c>
      <c r="G83" s="77" t="s">
        <v>44</v>
      </c>
      <c r="H83" s="77">
        <f>IFERROR((H81-F81)*10000,"n/a")</f>
        <v>-78.63242686693583</v>
      </c>
      <c r="I83" s="77">
        <f>IFERROR((I81-H81)*10000,"n/a")</f>
        <v>300.0000000000003</v>
      </c>
      <c r="J83" s="78">
        <f>IFERROR((J81-I81)*10000,"n/a")</f>
        <v>0</v>
      </c>
      <c r="K83" s="4"/>
      <c r="L83" s="3"/>
      <c r="M83" s="3"/>
    </row>
    <row r="84">
      <c r="A84" s="3"/>
      <c r="B84" s="29" t="s">
        <v>124</v>
      </c>
      <c r="C84" s="1">
        <f>C62*C81</f>
        <v>5923.61</v>
      </c>
      <c r="D84" s="1">
        <f>D62*D81</f>
        <v>6768.72</v>
      </c>
      <c r="E84" s="1">
        <f>E62*E81</f>
        <v>7342.09</v>
      </c>
      <c r="F84" s="1">
        <f>G84-C84-D84-E84</f>
        <v>8385.329999999998</v>
      </c>
      <c r="G84" s="1">
        <f>G62*G81</f>
        <v>28419.75</v>
      </c>
      <c r="H84" s="1">
        <f>H62*H81</f>
        <v>6361.5</v>
      </c>
      <c r="I84" s="1">
        <f>I62*I81</f>
        <v>7213.83</v>
      </c>
      <c r="J84" s="16">
        <f>J62*J81</f>
        <v>7492.108355</v>
      </c>
      <c r="K84" s="4" t="s">
        <v>125</v>
      </c>
      <c r="L84" s="3"/>
      <c r="M84" s="3"/>
    </row>
    <row r="85">
      <c r="A85" s="3"/>
      <c r="B85" s="49" t="s">
        <v>77</v>
      </c>
      <c r="C85" s="7" t="s">
        <v>44</v>
      </c>
      <c r="D85" s="7" t="s">
        <v>44</v>
      </c>
      <c r="E85" s="7" t="s">
        <v>44</v>
      </c>
      <c r="F85" s="7" t="s">
        <v>44</v>
      </c>
      <c r="G85" s="7" t="s">
        <v>44</v>
      </c>
      <c r="H85" s="7">
        <f>IFERROR(IF(OR(H84&lt;0,C84&lt;0),"n.m.",H84/C84-1),"n/a")</f>
        <v>0.07392282746500878</v>
      </c>
      <c r="I85" s="7">
        <f>IFERROR(IF(OR(I84&lt;0,D84&lt;0),"n.m.",I84/D84-1),"n/a")</f>
        <v>0.06575984824309455</v>
      </c>
      <c r="J85" s="25">
        <f>IFERROR(IF(OR(J84&lt;0,E84&lt;0),"n.m.",J84/E84-1),"n/a")</f>
        <v>0.020432649967516037</v>
      </c>
      <c r="K85" s="4"/>
      <c r="L85" s="3"/>
      <c r="M85" s="3"/>
    </row>
    <row r="86">
      <c r="A86" s="3"/>
      <c r="B86" s="29" t="s">
        <v>126</v>
      </c>
      <c r="C86" s="1">
        <f>C62-C84</f>
        <v>6165.39</v>
      </c>
      <c r="D86" s="1">
        <f>D62-D84</f>
        <v>6503.28</v>
      </c>
      <c r="E86" s="1">
        <f>E62-E84</f>
        <v>6510.91</v>
      </c>
      <c r="F86" s="1">
        <f>F62-F84</f>
        <v>8125.670000000002</v>
      </c>
      <c r="G86" s="1">
        <f>G62-G84</f>
        <v>27305.25</v>
      </c>
      <c r="H86" s="1">
        <f>H62-H84</f>
        <v>6361.5</v>
      </c>
      <c r="I86" s="1">
        <f>I62-I84</f>
        <v>6397.17</v>
      </c>
      <c r="J86" s="16">
        <f>J62-J84</f>
        <v>6643.945145</v>
      </c>
      <c r="K86" s="4" t="s">
        <v>125</v>
      </c>
      <c r="L86" s="3"/>
      <c r="M86" s="3"/>
    </row>
    <row r="87">
      <c r="A87" s="3"/>
      <c r="B87" s="49" t="s">
        <v>77</v>
      </c>
      <c r="C87" s="7" t="s">
        <v>44</v>
      </c>
      <c r="D87" s="7" t="s">
        <v>44</v>
      </c>
      <c r="E87" s="7" t="s">
        <v>44</v>
      </c>
      <c r="F87" s="7" t="s">
        <v>44</v>
      </c>
      <c r="G87" s="7" t="s">
        <v>44</v>
      </c>
      <c r="H87" s="7">
        <f>IFERROR(IF(OR(H86&lt;0,C86&lt;0),"n.m.",H86/C86-1),"n/a")</f>
        <v>0.03180820678010621</v>
      </c>
      <c r="I87" s="7">
        <f>IFERROR(IF(OR(I86&lt;0,D86&lt;0),"n.m.",I86/D86-1),"n/a")</f>
        <v>-0.016316381887293785</v>
      </c>
      <c r="J87" s="25">
        <f>IFERROR(IF(OR(J86&lt;0,E86&lt;0),"n.m.",J86/E86-1),"n/a")</f>
        <v>0.020432649967516037</v>
      </c>
      <c r="K87" s="4"/>
      <c r="L87" s="3"/>
      <c r="M87" s="3"/>
    </row>
    <row r="88">
      <c r="A88" s="3"/>
      <c r="B88" s="12" t="s">
        <v>127</v>
      </c>
      <c r="C88" s="9">
        <v>0.27</v>
      </c>
      <c r="D88" s="9">
        <v>0.33</v>
      </c>
      <c r="E88" s="9">
        <v>0.33</v>
      </c>
      <c r="F88" s="7">
        <f>IFERROR(F91/F70,"n/a")</f>
        <v>0.2977213216957606</v>
      </c>
      <c r="G88" s="9">
        <v>0.31</v>
      </c>
      <c r="H88" s="9">
        <v>0.27</v>
      </c>
      <c r="I88" s="9">
        <v>0.32</v>
      </c>
      <c r="J88" s="25">
        <f>E88</f>
        <v>0.33</v>
      </c>
      <c r="K88" s="4" t="s">
        <v>128</v>
      </c>
      <c r="L88" s="3"/>
      <c r="M88" s="3"/>
    </row>
    <row r="89">
      <c r="A89" s="3"/>
      <c r="B89" s="49" t="s">
        <v>109</v>
      </c>
      <c r="C89" s="77" t="s">
        <v>44</v>
      </c>
      <c r="D89" s="77" t="s">
        <v>44</v>
      </c>
      <c r="E89" s="77" t="s">
        <v>44</v>
      </c>
      <c r="F89" s="77" t="s">
        <v>44</v>
      </c>
      <c r="G89" s="77" t="s">
        <v>44</v>
      </c>
      <c r="H89" s="77">
        <f>IFERROR((H88-C88)*10000,"n/a")</f>
        <v>0</v>
      </c>
      <c r="I89" s="77">
        <f>IFERROR((I88-D88)*10000,"n/a")</f>
        <v>-100.00000000000009</v>
      </c>
      <c r="J89" s="78">
        <f>IFERROR((J88-E88)*10000,"n/a")</f>
        <v>0</v>
      </c>
      <c r="K89" s="4"/>
      <c r="L89" s="3"/>
      <c r="M89" s="3"/>
    </row>
    <row r="90">
      <c r="A90" s="3"/>
      <c r="B90" s="49" t="s">
        <v>110</v>
      </c>
      <c r="C90" s="77" t="s">
        <v>44</v>
      </c>
      <c r="D90" s="77">
        <f>IFERROR((D88-C88)*10000,"n/a")</f>
        <v>600</v>
      </c>
      <c r="E90" s="77">
        <f>IFERROR((E88-D88)*10000,"n/a")</f>
        <v>0</v>
      </c>
      <c r="F90" s="77">
        <f>IFERROR((F88-E88)*10000,"n/a")</f>
        <v>-322.7867830423942</v>
      </c>
      <c r="G90" s="77" t="s">
        <v>44</v>
      </c>
      <c r="H90" s="77">
        <f>IFERROR((H88-F88)*10000,"n/a")</f>
        <v>-277.2132169576058</v>
      </c>
      <c r="I90" s="77">
        <f>IFERROR((I88-H88)*10000,"n/a")</f>
        <v>499.9999999999999</v>
      </c>
      <c r="J90" s="78">
        <f>IFERROR((J88-I88)*10000,"n/a")</f>
        <v>100.00000000000009</v>
      </c>
      <c r="K90" s="4"/>
      <c r="L90" s="3"/>
      <c r="M90" s="3"/>
    </row>
    <row r="91">
      <c r="A91" s="3"/>
      <c r="B91" s="29" t="s">
        <v>129</v>
      </c>
      <c r="C91" s="1">
        <f>C70*C88</f>
        <v>1574.1000000000001</v>
      </c>
      <c r="D91" s="1">
        <f>D70*D88</f>
        <v>3119.82</v>
      </c>
      <c r="E91" s="1">
        <f>E70*E88</f>
        <v>3327.7200000000003</v>
      </c>
      <c r="F91" s="1">
        <f>G91-C91-D91-E91</f>
        <v>3820.3599999999997</v>
      </c>
      <c r="G91" s="1">
        <f>G70*G88</f>
        <v>11842</v>
      </c>
      <c r="H91" s="1">
        <f>H70*H88</f>
        <v>1814.4</v>
      </c>
      <c r="I91" s="1">
        <f>I70*I88</f>
        <v>3382.4</v>
      </c>
      <c r="J91" s="16">
        <f>J70*J88</f>
        <v>3578.678400000001</v>
      </c>
      <c r="K91" s="4" t="s">
        <v>125</v>
      </c>
      <c r="L91" s="3"/>
      <c r="M91" s="3"/>
    </row>
    <row r="92">
      <c r="A92" s="3"/>
      <c r="B92" s="49" t="s">
        <v>77</v>
      </c>
      <c r="C92" s="7" t="s">
        <v>44</v>
      </c>
      <c r="D92" s="7" t="s">
        <v>44</v>
      </c>
      <c r="E92" s="7" t="s">
        <v>44</v>
      </c>
      <c r="F92" s="7" t="s">
        <v>44</v>
      </c>
      <c r="G92" s="7" t="s">
        <v>44</v>
      </c>
      <c r="H92" s="7">
        <f>IFERROR(IF(OR(H91&lt;0,C91&lt;0),"n.m.",H91/C91-1),"n/a")</f>
        <v>0.15265866209262424</v>
      </c>
      <c r="I92" s="7">
        <f>IFERROR(IF(OR(I91&lt;0,D91&lt;0),"n.m.",I91/D91-1),"n/a")</f>
        <v>0.08416511208979993</v>
      </c>
      <c r="J92" s="25">
        <f>IFERROR(IF(OR(J91&lt;0,E91&lt;0),"n.m.",J91/E91-1),"n/a")</f>
        <v>0.07541451804839383</v>
      </c>
      <c r="K92" s="4"/>
      <c r="L92" s="3"/>
      <c r="M92" s="3"/>
    </row>
    <row r="93">
      <c r="A93" s="3"/>
      <c r="B93" s="29" t="s">
        <v>130</v>
      </c>
      <c r="C93" s="1">
        <f>C70-C91</f>
        <v>4255.9</v>
      </c>
      <c r="D93" s="1">
        <f>D70-D91</f>
        <v>6334.18</v>
      </c>
      <c r="E93" s="1">
        <f>E70-E91</f>
        <v>6756.28</v>
      </c>
      <c r="F93" s="1">
        <f>F70-F91</f>
        <v>9011.64</v>
      </c>
      <c r="G93" s="1">
        <f>G70-G91</f>
        <v>26358</v>
      </c>
      <c r="H93" s="1">
        <f>H70-H91</f>
        <v>4905.6</v>
      </c>
      <c r="I93" s="1">
        <f>I70-I91</f>
        <v>7187.6</v>
      </c>
      <c r="J93" s="16">
        <f>J70-J91</f>
        <v>7265.8016000000025</v>
      </c>
      <c r="K93" s="4" t="s">
        <v>125</v>
      </c>
      <c r="L93" s="3"/>
      <c r="M93" s="3"/>
    </row>
    <row r="94">
      <c r="A94" s="3"/>
      <c r="B94" s="49" t="s">
        <v>77</v>
      </c>
      <c r="C94" s="7" t="s">
        <v>44</v>
      </c>
      <c r="D94" s="7" t="s">
        <v>44</v>
      </c>
      <c r="E94" s="7" t="s">
        <v>44</v>
      </c>
      <c r="F94" s="7" t="s">
        <v>44</v>
      </c>
      <c r="G94" s="7" t="s">
        <v>44</v>
      </c>
      <c r="H94" s="7">
        <f>IFERROR(IF(OR(H93&lt;0,C93&lt;0),"n.m.",H93/C93-1),"n/a")</f>
        <v>0.15265866209262446</v>
      </c>
      <c r="I94" s="7">
        <f>IFERROR(IF(OR(I93&lt;0,D93&lt;0),"n.m.",I93/D93-1),"n/a")</f>
        <v>0.13473251470592884</v>
      </c>
      <c r="J94" s="25">
        <f>IFERROR(IF(OR(J93&lt;0,E93&lt;0),"n.m.",J93/E93-1),"n/a")</f>
        <v>0.07541451804839383</v>
      </c>
      <c r="K94" s="4"/>
      <c r="L94" s="3"/>
      <c r="M94" s="3"/>
    </row>
    <row r="95">
      <c r="A95" s="3"/>
      <c r="B95" s="15" t="s">
        <v>131</v>
      </c>
      <c r="C95" s="21">
        <f>C84+C91</f>
        <v>7497.71</v>
      </c>
      <c r="D95" s="21">
        <f>D84+D91</f>
        <v>9888.54</v>
      </c>
      <c r="E95" s="21">
        <f>E84+E91</f>
        <v>10669.810000000001</v>
      </c>
      <c r="F95" s="21">
        <f>F84+F91</f>
        <v>12205.689999999999</v>
      </c>
      <c r="G95" s="21">
        <f>G84+G91</f>
        <v>40261.75</v>
      </c>
      <c r="H95" s="21">
        <f>H84+H91</f>
        <v>8175.9</v>
      </c>
      <c r="I95" s="21">
        <f>I84+I91</f>
        <v>10596.23</v>
      </c>
      <c r="J95" s="43">
        <f>J84+J91</f>
        <v>11070.786755000001</v>
      </c>
      <c r="K95" s="4" t="s">
        <v>132</v>
      </c>
      <c r="L95" s="3"/>
      <c r="M95" s="3"/>
    </row>
    <row r="96">
      <c r="A96" s="3"/>
      <c r="B96" s="49" t="s">
        <v>77</v>
      </c>
      <c r="C96" s="7" t="s">
        <v>44</v>
      </c>
      <c r="D96" s="7" t="s">
        <v>44</v>
      </c>
      <c r="E96" s="7" t="s">
        <v>44</v>
      </c>
      <c r="F96" s="7" t="s">
        <v>44</v>
      </c>
      <c r="G96" s="7" t="s">
        <v>44</v>
      </c>
      <c r="H96" s="7">
        <f>IFERROR(IF(OR(H95&lt;0,C95&lt;0),"n.m.",H95/C95-1),"n/a")</f>
        <v>0.09045295163456579</v>
      </c>
      <c r="I96" s="7">
        <f>IFERROR(IF(OR(I95&lt;0,D95&lt;0),"n.m.",I95/D95-1),"n/a")</f>
        <v>0.07156668224024965</v>
      </c>
      <c r="J96" s="25">
        <f>IFERROR(IF(OR(J95&lt;0,E95&lt;0),"n.m.",J95/E95-1),"n/a")</f>
        <v>0.03758049627875293</v>
      </c>
      <c r="K96" s="4"/>
      <c r="L96" s="3"/>
      <c r="M96" s="3"/>
    </row>
    <row r="97">
      <c r="A97" s="3"/>
      <c r="B97" s="15" t="s">
        <v>133</v>
      </c>
      <c r="C97" s="21">
        <f>C86+C93</f>
        <v>10421.29</v>
      </c>
      <c r="D97" s="21">
        <f>D86+D93</f>
        <v>12837.46</v>
      </c>
      <c r="E97" s="21">
        <f>E86+E93</f>
        <v>13267.189999999999</v>
      </c>
      <c r="F97" s="21">
        <f>F86+F93</f>
        <v>17137.31</v>
      </c>
      <c r="G97" s="21">
        <f>G86+G93</f>
        <v>53663.25</v>
      </c>
      <c r="H97" s="21">
        <f>H86+H93</f>
        <v>11267.1</v>
      </c>
      <c r="I97" s="21">
        <f>I86+I93</f>
        <v>13584.77</v>
      </c>
      <c r="J97" s="43">
        <f>J86+J93</f>
        <v>13909.746745000002</v>
      </c>
      <c r="K97" s="4"/>
      <c r="L97" s="3"/>
      <c r="M97" s="3"/>
    </row>
    <row r="98">
      <c r="A98" s="3"/>
      <c r="B98" s="49" t="s">
        <v>77</v>
      </c>
      <c r="C98" s="7" t="s">
        <v>44</v>
      </c>
      <c r="D98" s="7" t="s">
        <v>44</v>
      </c>
      <c r="E98" s="7" t="s">
        <v>44</v>
      </c>
      <c r="F98" s="7" t="s">
        <v>44</v>
      </c>
      <c r="G98" s="7" t="s">
        <v>44</v>
      </c>
      <c r="H98" s="7">
        <f>IFERROR(IF(OR(H97&lt;0,C97&lt;0),"n.m.",H97/C97-1),"n/a")</f>
        <v>0.08116173717457231</v>
      </c>
      <c r="I98" s="7">
        <f>IFERROR(IF(OR(I97&lt;0,D97&lt;0),"n.m.",I97/D97-1),"n/a")</f>
        <v>0.058213229096721664</v>
      </c>
      <c r="J98" s="25">
        <f>IFERROR(IF(OR(J97&lt;0,E97&lt;0),"n.m.",J97/E97-1),"n/a")</f>
        <v>0.04843201499337857</v>
      </c>
      <c r="K98" s="4"/>
      <c r="L98" s="3"/>
      <c r="M98" s="3"/>
    </row>
    <row r="99">
      <c r="A99" s="3"/>
      <c r="B99" s="12" t="s">
        <v>134</v>
      </c>
      <c r="C99" s="7">
        <f>IFERROR(C95/C40,"n/a")</f>
        <v>0.41842234499693065</v>
      </c>
      <c r="D99" s="7">
        <f>IFERROR(D95/D40,"n/a")</f>
        <v>0.43512012672709677</v>
      </c>
      <c r="E99" s="7">
        <f>IFERROR(E95/E40,"n/a")</f>
        <v>0.445745498600493</v>
      </c>
      <c r="F99" s="7">
        <f>IFERROR(F95/F40,"n/a")</f>
        <v>0.4159659884810687</v>
      </c>
      <c r="G99" s="7">
        <f>IFERROR(G95/G40,"n/a")</f>
        <v>0.42865850412563217</v>
      </c>
      <c r="H99" s="7">
        <f>IFERROR(H95/H40,"n/a")</f>
        <v>0.4205060947384663</v>
      </c>
      <c r="I99" s="7">
        <f>IFERROR(I95/I40,"n/a")</f>
        <v>0.4382047888838344</v>
      </c>
      <c r="J99" s="25">
        <f>IFERROR(J95/J40,"n/a")</f>
        <v>0.4431765540555809</v>
      </c>
      <c r="K99" s="4" t="s">
        <v>135</v>
      </c>
      <c r="L99" s="3"/>
      <c r="M99" s="3"/>
    </row>
    <row r="100">
      <c r="A100" s="3"/>
      <c r="B100" s="49" t="s">
        <v>109</v>
      </c>
      <c r="C100" s="77" t="s">
        <v>44</v>
      </c>
      <c r="D100" s="77" t="s">
        <v>44</v>
      </c>
      <c r="E100" s="77" t="s">
        <v>44</v>
      </c>
      <c r="F100" s="77" t="s">
        <v>44</v>
      </c>
      <c r="G100" s="77" t="s">
        <v>44</v>
      </c>
      <c r="H100" s="77">
        <f>IFERROR((H99-C99)*10000,"n/a")</f>
        <v>20.837497415356342</v>
      </c>
      <c r="I100" s="77">
        <f>IFERROR((I99-D99)*10000,"n/a")</f>
        <v>30.84662156737639</v>
      </c>
      <c r="J100" s="78">
        <f>IFERROR((J99-E99)*10000,"n/a")</f>
        <v>-25.68944544912133</v>
      </c>
      <c r="K100" s="4"/>
      <c r="L100" s="3"/>
      <c r="M100" s="3"/>
    </row>
    <row r="101">
      <c r="A101" s="3"/>
      <c r="B101" s="49" t="s">
        <v>110</v>
      </c>
      <c r="C101" s="77" t="s">
        <v>44</v>
      </c>
      <c r="D101" s="77">
        <f>IFERROR((D99-C99)*10000,"n/a")</f>
        <v>166.97781730166116</v>
      </c>
      <c r="E101" s="77">
        <f>IFERROR((E99-D99)*10000,"n/a")</f>
        <v>106.25371873396239</v>
      </c>
      <c r="F101" s="77">
        <f>IFERROR((F99-E99)*10000,"n/a")</f>
        <v>-297.7951011942431</v>
      </c>
      <c r="G101" s="77" t="s">
        <v>44</v>
      </c>
      <c r="H101" s="77">
        <f>IFERROR((H99-F99)*10000,"n/a")</f>
        <v>45.40106257397591</v>
      </c>
      <c r="I101" s="77">
        <f>IFERROR((I99-H99)*10000,"n/a")</f>
        <v>176.98694145368123</v>
      </c>
      <c r="J101" s="78">
        <f>IFERROR((J99-I99)*10000,"n/a")</f>
        <v>49.717651717464676</v>
      </c>
      <c r="K101" s="4"/>
      <c r="L101" s="3"/>
      <c r="M101" s="3"/>
    </row>
    <row r="102">
      <c r="A102" s="3"/>
      <c r="B102" s="56" t="s">
        <v>136</v>
      </c>
      <c r="C102" s="9">
        <v>0.42</v>
      </c>
      <c r="D102" s="9">
        <v>0.43</v>
      </c>
      <c r="E102" s="9">
        <v>0.45</v>
      </c>
      <c r="F102" s="7" t="s">
        <v>44</v>
      </c>
      <c r="G102" s="9">
        <v>0.42</v>
      </c>
      <c r="H102" s="9">
        <v>0.42</v>
      </c>
      <c r="I102" s="9">
        <v>0.44</v>
      </c>
      <c r="J102" s="25" t="s">
        <v>44</v>
      </c>
      <c r="K102" s="4" t="s">
        <v>137</v>
      </c>
      <c r="L102" s="3"/>
      <c r="M102" s="3"/>
    </row>
    <row r="103">
      <c r="A103" s="3"/>
      <c r="B103" s="12" t="s">
        <v>138</v>
      </c>
      <c r="C103" s="52">
        <f>C95+C97-C40</f>
        <v>0</v>
      </c>
      <c r="D103" s="52">
        <f>D95+D97-D40</f>
        <v>0</v>
      </c>
      <c r="E103" s="52">
        <f>E95+E97-E40</f>
        <v>0</v>
      </c>
      <c r="F103" s="52">
        <f>F95+F97-F40</f>
        <v>0</v>
      </c>
      <c r="G103" s="52">
        <f>G95+G97-G40</f>
        <v>0</v>
      </c>
      <c r="H103" s="52">
        <f>H95+H97-H40</f>
        <v>0</v>
      </c>
      <c r="I103" s="52">
        <f>I95+I97-I40</f>
        <v>0</v>
      </c>
      <c r="J103" s="62">
        <f>J95+J97-J40</f>
        <v>0</v>
      </c>
      <c r="K103" s="4" t="s">
        <v>139</v>
      </c>
      <c r="L103" s="3"/>
      <c r="M103" s="3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M9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140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141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3" t="s">
        <v>142</v>
      </c>
      <c r="C10" s="19">
        <v>6269</v>
      </c>
      <c r="D10" s="19">
        <v>6435</v>
      </c>
      <c r="E10" s="19">
        <v>6536</v>
      </c>
      <c r="F10" s="19">
        <v>8191</v>
      </c>
      <c r="G10" s="1">
        <f>SUM(C10:F10)</f>
        <v>27431</v>
      </c>
      <c r="H10" s="1">
        <f>C33</f>
        <v>6213</v>
      </c>
      <c r="I10" s="1">
        <f>D33</f>
        <v>6476</v>
      </c>
      <c r="J10" s="16">
        <f>E33</f>
        <v>6526</v>
      </c>
      <c r="K10" s="4" t="s">
        <v>143</v>
      </c>
      <c r="L10" s="3"/>
      <c r="M10" s="3"/>
    </row>
    <row r="11">
      <c r="A11" s="3"/>
      <c r="B11" s="29" t="s">
        <v>144</v>
      </c>
      <c r="C11" s="19">
        <v>0</v>
      </c>
      <c r="D11" s="19">
        <v>0</v>
      </c>
      <c r="E11" s="19">
        <v>0</v>
      </c>
      <c r="F11" s="19">
        <v>0</v>
      </c>
      <c r="G11" s="1">
        <f>SUM(C11:F11)</f>
        <v>0</v>
      </c>
      <c r="H11" s="19">
        <v>0</v>
      </c>
      <c r="I11" s="19">
        <v>0</v>
      </c>
      <c r="J11" s="16">
        <f>AVERAGE(H11:I11)</f>
        <v>0</v>
      </c>
      <c r="K11" s="4" t="s">
        <v>145</v>
      </c>
      <c r="L11" s="3"/>
      <c r="M11" s="3"/>
    </row>
    <row r="12">
      <c r="A12" s="3"/>
      <c r="B12" s="15" t="s">
        <v>146</v>
      </c>
      <c r="C12" s="21">
        <f>C10+C11</f>
        <v>6269</v>
      </c>
      <c r="D12" s="21">
        <f>D10+D11</f>
        <v>6435</v>
      </c>
      <c r="E12" s="21">
        <f>E10+E11</f>
        <v>6536</v>
      </c>
      <c r="F12" s="21">
        <f>F10+F11</f>
        <v>8191</v>
      </c>
      <c r="G12" s="21">
        <f>G10+G11</f>
        <v>27431</v>
      </c>
      <c r="H12" s="21">
        <f>H10+H11</f>
        <v>6213</v>
      </c>
      <c r="I12" s="21">
        <f>I10+I11</f>
        <v>6476</v>
      </c>
      <c r="J12" s="43">
        <f>J10+J11</f>
        <v>6526</v>
      </c>
      <c r="K12" s="4"/>
      <c r="L12" s="3"/>
      <c r="M12" s="3"/>
    </row>
    <row r="13">
      <c r="A13" s="3"/>
      <c r="B13" s="12" t="s">
        <v>147</v>
      </c>
      <c r="C13" s="9">
        <v>-0.03</v>
      </c>
      <c r="D13" s="9">
        <v>-0.015</v>
      </c>
      <c r="E13" s="9">
        <v>-0.04</v>
      </c>
      <c r="F13" s="9">
        <v>-0.02</v>
      </c>
      <c r="G13" s="9">
        <v>-0.02</v>
      </c>
      <c r="H13" s="9">
        <v>0.02</v>
      </c>
      <c r="I13" s="9">
        <v>0</v>
      </c>
      <c r="J13" s="79">
        <v>0.01</v>
      </c>
      <c r="K13" s="4" t="s">
        <v>148</v>
      </c>
      <c r="L13" s="3"/>
      <c r="M13" s="3"/>
    </row>
    <row r="14">
      <c r="A14" s="3"/>
      <c r="B14" s="56" t="s">
        <v>109</v>
      </c>
      <c r="C14" s="77" t="s">
        <v>44</v>
      </c>
      <c r="D14" s="77" t="s">
        <v>44</v>
      </c>
      <c r="E14" s="77" t="s">
        <v>44</v>
      </c>
      <c r="F14" s="77" t="s">
        <v>44</v>
      </c>
      <c r="G14" s="77" t="s">
        <v>44</v>
      </c>
      <c r="H14" s="77">
        <f>IFERROR((H13-C13)*10000,"n/a")</f>
        <v>500</v>
      </c>
      <c r="I14" s="77">
        <f>IFERROR((I13-D13)*10000,"n/a")</f>
        <v>150</v>
      </c>
      <c r="J14" s="78">
        <f>IFERROR((J13-E13)*10000,"n/a")</f>
        <v>500</v>
      </c>
      <c r="K14" s="4"/>
      <c r="L14" s="3"/>
      <c r="M14" s="3"/>
    </row>
    <row r="15">
      <c r="A15" s="3"/>
      <c r="B15" s="56" t="s">
        <v>110</v>
      </c>
      <c r="C15" s="77" t="s">
        <v>44</v>
      </c>
      <c r="D15" s="77">
        <f>IFERROR((D13-C13)*10000,"n/a")</f>
        <v>150</v>
      </c>
      <c r="E15" s="77">
        <f>IFERROR((E13-D13)*10000,"n/a")</f>
        <v>-250</v>
      </c>
      <c r="F15" s="77">
        <f>IFERROR((F13-E13)*10000,"n/a")</f>
        <v>200</v>
      </c>
      <c r="G15" s="77" t="s">
        <v>44</v>
      </c>
      <c r="H15" s="77">
        <f>IFERROR((H13-F13)*10000,"n/a")</f>
        <v>400</v>
      </c>
      <c r="I15" s="77">
        <f>IFERROR((I13-H13)*10000,"n/a")</f>
        <v>-200</v>
      </c>
      <c r="J15" s="78">
        <f>IFERROR((J13-I13)*10000,"n/a")</f>
        <v>100</v>
      </c>
      <c r="K15" s="4"/>
      <c r="L15" s="3"/>
      <c r="M15" s="3"/>
    </row>
    <row r="16">
      <c r="A16" s="3"/>
      <c r="B16" s="12" t="s">
        <v>149</v>
      </c>
      <c r="C16" s="9">
        <v>0.01</v>
      </c>
      <c r="D16" s="9">
        <v>0</v>
      </c>
      <c r="E16" s="9">
        <v>0.02</v>
      </c>
      <c r="F16" s="9">
        <v>0.01</v>
      </c>
      <c r="G16" s="9">
        <v>0.01</v>
      </c>
      <c r="H16" s="9">
        <v>-0.01</v>
      </c>
      <c r="I16" s="9">
        <v>-0.02</v>
      </c>
      <c r="J16" s="79">
        <v>-0.02</v>
      </c>
      <c r="K16" s="4" t="s">
        <v>150</v>
      </c>
      <c r="L16" s="3"/>
      <c r="M16" s="3"/>
    </row>
    <row r="17">
      <c r="A17" s="3"/>
      <c r="B17" s="56" t="s">
        <v>109</v>
      </c>
      <c r="C17" s="77" t="s">
        <v>44</v>
      </c>
      <c r="D17" s="77" t="s">
        <v>44</v>
      </c>
      <c r="E17" s="77" t="s">
        <v>44</v>
      </c>
      <c r="F17" s="77" t="s">
        <v>44</v>
      </c>
      <c r="G17" s="77" t="s">
        <v>44</v>
      </c>
      <c r="H17" s="77">
        <f>IFERROR((H16-C16)*10000,"n/a")</f>
        <v>-200</v>
      </c>
      <c r="I17" s="77">
        <f>IFERROR((I16-D16)*10000,"n/a")</f>
        <v>-200</v>
      </c>
      <c r="J17" s="78">
        <f>IFERROR((J16-E16)*10000,"n/a")</f>
        <v>-400</v>
      </c>
      <c r="K17" s="4"/>
      <c r="L17" s="3"/>
      <c r="M17" s="3"/>
    </row>
    <row r="18">
      <c r="A18" s="3"/>
      <c r="B18" s="56" t="s">
        <v>110</v>
      </c>
      <c r="C18" s="77" t="s">
        <v>44</v>
      </c>
      <c r="D18" s="77">
        <f>IFERROR((D16-C16)*10000,"n/a")</f>
        <v>-100</v>
      </c>
      <c r="E18" s="77">
        <f>IFERROR((E16-D16)*10000,"n/a")</f>
        <v>200</v>
      </c>
      <c r="F18" s="77">
        <f>IFERROR((F16-E16)*10000,"n/a")</f>
        <v>-100</v>
      </c>
      <c r="G18" s="77" t="s">
        <v>44</v>
      </c>
      <c r="H18" s="77">
        <f>IFERROR((H16-F16)*10000,"n/a")</f>
        <v>-200</v>
      </c>
      <c r="I18" s="77">
        <f>IFERROR((I16-H16)*10000,"n/a")</f>
        <v>-100</v>
      </c>
      <c r="J18" s="78">
        <f>IFERROR((J16-I16)*10000,"n/a")</f>
        <v>0</v>
      </c>
      <c r="K18" s="4"/>
      <c r="L18" s="3"/>
      <c r="M18" s="3"/>
    </row>
    <row r="19">
      <c r="A19" s="3"/>
      <c r="B19" s="12" t="s">
        <v>151</v>
      </c>
      <c r="C19" s="9">
        <v>-0.02</v>
      </c>
      <c r="D19" s="9">
        <v>-0.02</v>
      </c>
      <c r="E19" s="9">
        <v>-0.03</v>
      </c>
      <c r="F19" s="9">
        <v>-0.01</v>
      </c>
      <c r="G19" s="9">
        <v>-0.02</v>
      </c>
      <c r="H19" s="9">
        <v>0.01</v>
      </c>
      <c r="I19" s="9">
        <v>-0.02</v>
      </c>
      <c r="J19" s="25">
        <f>J13+J16</f>
        <v>-0.01</v>
      </c>
      <c r="K19" s="4" t="s">
        <v>152</v>
      </c>
      <c r="L19" s="3"/>
      <c r="M19" s="3"/>
    </row>
    <row r="20">
      <c r="A20" s="3"/>
      <c r="B20" s="56" t="s">
        <v>109</v>
      </c>
      <c r="C20" s="77" t="s">
        <v>44</v>
      </c>
      <c r="D20" s="77" t="s">
        <v>44</v>
      </c>
      <c r="E20" s="77" t="s">
        <v>44</v>
      </c>
      <c r="F20" s="77" t="s">
        <v>44</v>
      </c>
      <c r="G20" s="77" t="s">
        <v>44</v>
      </c>
      <c r="H20" s="77">
        <f>IFERROR((H19-C19)*10000,"n/a")</f>
        <v>300</v>
      </c>
      <c r="I20" s="77">
        <f>IFERROR((I19-D19)*10000,"n/a")</f>
        <v>0</v>
      </c>
      <c r="J20" s="78">
        <f>IFERROR((J19-E19)*10000,"n/a")</f>
        <v>199.99999999999997</v>
      </c>
      <c r="K20" s="4"/>
      <c r="L20" s="3"/>
      <c r="M20" s="3"/>
    </row>
    <row r="21">
      <c r="A21" s="3"/>
      <c r="B21" s="56" t="s">
        <v>110</v>
      </c>
      <c r="C21" s="77" t="s">
        <v>44</v>
      </c>
      <c r="D21" s="77">
        <f>IFERROR((D19-C19)*10000,"n/a")</f>
        <v>0</v>
      </c>
      <c r="E21" s="77">
        <f>IFERROR((E19-D19)*10000,"n/a")</f>
        <v>-99.99999999999999</v>
      </c>
      <c r="F21" s="77">
        <f>IFERROR((F19-E19)*10000,"n/a")</f>
        <v>199.99999999999997</v>
      </c>
      <c r="G21" s="77" t="s">
        <v>44</v>
      </c>
      <c r="H21" s="77">
        <f>IFERROR((H19-F19)*10000,"n/a")</f>
        <v>200</v>
      </c>
      <c r="I21" s="77">
        <f>IFERROR((I19-H19)*10000,"n/a")</f>
        <v>-300</v>
      </c>
      <c r="J21" s="78">
        <f>IFERROR((J19-I19)*10000,"n/a")</f>
        <v>100</v>
      </c>
      <c r="K21" s="4"/>
      <c r="L21" s="3"/>
      <c r="M21" s="3"/>
    </row>
    <row r="22">
      <c r="A22" s="3"/>
      <c r="B22" s="3" t="s">
        <v>98</v>
      </c>
      <c r="C22" s="1">
        <f>C33-C25-C29</f>
        <v>6170</v>
      </c>
      <c r="D22" s="1">
        <f>D33-D25-D29</f>
        <v>6326</v>
      </c>
      <c r="E22" s="1">
        <f>E33-E25-E29</f>
        <v>6366</v>
      </c>
      <c r="F22" s="1">
        <f>F33-F25-F29</f>
        <v>8132</v>
      </c>
      <c r="G22" s="1">
        <f>SUM(C22:F22)</f>
        <v>26994</v>
      </c>
      <c r="H22" s="1">
        <f>H33-H25-H29</f>
        <v>6259</v>
      </c>
      <c r="I22" s="1">
        <f>I33-I25-I29</f>
        <v>6364</v>
      </c>
      <c r="J22" s="16">
        <f>J12*(1+J19)</f>
        <v>6460.74</v>
      </c>
      <c r="K22" s="4" t="s">
        <v>153</v>
      </c>
      <c r="L22" s="3"/>
      <c r="M22" s="3"/>
    </row>
    <row r="23">
      <c r="A23" s="3"/>
      <c r="B23" s="56" t="s">
        <v>154</v>
      </c>
      <c r="C23" s="7">
        <f>IFERROR(IF(OR(C22&lt;0,C12&lt;0),"n.m.",C22/C12-1),"n/a")</f>
        <v>-0.01579199234327644</v>
      </c>
      <c r="D23" s="7">
        <f>IFERROR(IF(OR(D22&lt;0,D12&lt;0),"n.m.",D22/D12-1),"n/a")</f>
        <v>-0.01693861693861698</v>
      </c>
      <c r="E23" s="7">
        <f>IFERROR(IF(OR(E22&lt;0,E12&lt;0),"n.m.",E22/E12-1),"n/a")</f>
        <v>-0.026009791921664638</v>
      </c>
      <c r="F23" s="7">
        <f>IFERROR(IF(OR(F22&lt;0,F12&lt;0),"n.m.",F22/F12-1),"n/a")</f>
        <v>-0.0072030277133439125</v>
      </c>
      <c r="G23" s="7">
        <f>IFERROR(IF(OR(G22&lt;0,G12&lt;0),"n.m.",G22/G12-1),"n/a")</f>
        <v>-0.01593088111990082</v>
      </c>
      <c r="H23" s="7">
        <f>IFERROR(IF(OR(H22&lt;0,H12&lt;0),"n.m.",H22/H12-1),"n/a")</f>
        <v>0.0074038306776114116</v>
      </c>
      <c r="I23" s="7">
        <f>IFERROR(IF(OR(I22&lt;0,I12&lt;0),"n.m.",I22/I12-1),"n/a")</f>
        <v>-0.01729462631253864</v>
      </c>
      <c r="J23" s="25">
        <f>IFERROR(IF(OR(J22&lt;0,J12&lt;0),"n.m.",J22/J12-1),"n/a")</f>
        <v>-0.010000000000000009</v>
      </c>
      <c r="K23" s="4"/>
      <c r="L23" s="3"/>
      <c r="M23" s="3"/>
    </row>
    <row r="24">
      <c r="A24" s="3"/>
      <c r="B24" s="29" t="s">
        <v>94</v>
      </c>
      <c r="C24" s="1" t="s">
        <v>44</v>
      </c>
      <c r="D24" s="1">
        <f>IFERROR(D22-C22,"n/a")</f>
        <v>156</v>
      </c>
      <c r="E24" s="1">
        <f>IFERROR(E22-D22,"n/a")</f>
        <v>40</v>
      </c>
      <c r="F24" s="1">
        <f>IFERROR(F22-E22,"n/a")</f>
        <v>1766</v>
      </c>
      <c r="G24" s="1" t="s">
        <v>44</v>
      </c>
      <c r="H24" s="1">
        <f>IFERROR(H22-F22,"n/a")</f>
        <v>-1873</v>
      </c>
      <c r="I24" s="1">
        <f>IFERROR(I22-H22,"n/a")</f>
        <v>105</v>
      </c>
      <c r="J24" s="16">
        <f>IFERROR(J22-I22,"n/a")</f>
        <v>96.73999999999978</v>
      </c>
      <c r="K24" s="4"/>
      <c r="L24" s="3"/>
      <c r="M24" s="3"/>
    </row>
    <row r="25">
      <c r="A25" s="3"/>
      <c r="B25" s="3" t="s">
        <v>99</v>
      </c>
      <c r="C25" s="19">
        <v>-25</v>
      </c>
      <c r="D25" s="19">
        <v>-8</v>
      </c>
      <c r="E25" s="19">
        <v>-2</v>
      </c>
      <c r="F25" s="19">
        <v>-2</v>
      </c>
      <c r="G25" s="1">
        <f>SUM(C25:F25)</f>
        <v>-37</v>
      </c>
      <c r="H25" s="19">
        <v>19</v>
      </c>
      <c r="I25" s="19">
        <v>4</v>
      </c>
      <c r="J25" s="16">
        <f>J10*J26</f>
        <v>-3.263</v>
      </c>
      <c r="K25" s="4" t="s">
        <v>155</v>
      </c>
      <c r="L25" s="3"/>
      <c r="M25" s="3"/>
    </row>
    <row r="26">
      <c r="A26" s="3"/>
      <c r="B26" s="56" t="s">
        <v>156</v>
      </c>
      <c r="C26" s="7">
        <f>IFERROR(C25/C10,"n/a")</f>
        <v>-0.003987876854362737</v>
      </c>
      <c r="D26" s="7">
        <f>IFERROR(D25/D10,"n/a")</f>
        <v>-0.0012432012432012432</v>
      </c>
      <c r="E26" s="7">
        <f>IFERROR(E25/E10,"n/a")</f>
        <v>-0.0003059975520195838</v>
      </c>
      <c r="F26" s="7">
        <f>IFERROR(F25/F10,"n/a")</f>
        <v>-0.00024417043096081065</v>
      </c>
      <c r="G26" s="7">
        <f>IFERROR(G25/G10,"n/a")</f>
        <v>-0.0013488389048886297</v>
      </c>
      <c r="H26" s="7">
        <f>IFERROR(H25/H10,"n/a")</f>
        <v>0.0030581039755351682</v>
      </c>
      <c r="I26" s="7">
        <f>IFERROR(I25/I10,"n/a")</f>
        <v>0.0006176652254478073</v>
      </c>
      <c r="J26" s="79">
        <v>-0.0005</v>
      </c>
      <c r="K26" s="4" t="s">
        <v>157</v>
      </c>
      <c r="L26" s="3"/>
      <c r="M26" s="3"/>
    </row>
    <row r="27">
      <c r="A27" s="3"/>
      <c r="B27" s="49" t="s">
        <v>109</v>
      </c>
      <c r="C27" s="77" t="s">
        <v>44</v>
      </c>
      <c r="D27" s="77" t="s">
        <v>44</v>
      </c>
      <c r="E27" s="77" t="s">
        <v>44</v>
      </c>
      <c r="F27" s="77" t="s">
        <v>44</v>
      </c>
      <c r="G27" s="77" t="s">
        <v>44</v>
      </c>
      <c r="H27" s="77">
        <f>IFERROR((H26-C26)*10000,"n/a")</f>
        <v>70.45980829897906</v>
      </c>
      <c r="I27" s="77">
        <f>IFERROR((I26-D26)*10000,"n/a")</f>
        <v>18.608664686490506</v>
      </c>
      <c r="J27" s="78">
        <f>IFERROR((J26-E26)*10000,"n/a")</f>
        <v>-1.940024479804162</v>
      </c>
      <c r="K27" s="4"/>
      <c r="L27" s="3"/>
      <c r="M27" s="3"/>
    </row>
    <row r="28">
      <c r="A28" s="3"/>
      <c r="B28" s="49" t="s">
        <v>110</v>
      </c>
      <c r="C28" s="77" t="s">
        <v>44</v>
      </c>
      <c r="D28" s="77">
        <f>IFERROR((D26-C26)*10000,"n/a")</f>
        <v>27.446756111614942</v>
      </c>
      <c r="E28" s="77">
        <f>IFERROR((E26-D26)*10000,"n/a")</f>
        <v>9.372036911816593</v>
      </c>
      <c r="F28" s="77">
        <f>IFERROR((F26-E26)*10000,"n/a")</f>
        <v>0.6182712105877317</v>
      </c>
      <c r="G28" s="77" t="s">
        <v>44</v>
      </c>
      <c r="H28" s="77">
        <f>IFERROR((H26-F26)*10000,"n/a")</f>
        <v>33.02274406495979</v>
      </c>
      <c r="I28" s="77">
        <f>IFERROR((I26-H26)*10000,"n/a")</f>
        <v>-24.404387500873607</v>
      </c>
      <c r="J28" s="78">
        <f>IFERROR((J26-I26)*10000,"n/a")</f>
        <v>-11.176652254478075</v>
      </c>
      <c r="K28" s="4"/>
      <c r="L28" s="3"/>
      <c r="M28" s="3"/>
    </row>
    <row r="29">
      <c r="A29" s="3"/>
      <c r="B29" s="3" t="s">
        <v>100</v>
      </c>
      <c r="C29" s="19">
        <v>68</v>
      </c>
      <c r="D29" s="19">
        <v>158</v>
      </c>
      <c r="E29" s="19">
        <v>162</v>
      </c>
      <c r="F29" s="19">
        <v>183</v>
      </c>
      <c r="G29" s="1">
        <f>SUM(C29:F29)</f>
        <v>571</v>
      </c>
      <c r="H29" s="19">
        <v>54</v>
      </c>
      <c r="I29" s="19">
        <v>0</v>
      </c>
      <c r="J29" s="16">
        <f>J10*J30</f>
        <v>0</v>
      </c>
      <c r="K29" s="4" t="s">
        <v>158</v>
      </c>
      <c r="L29" s="3"/>
      <c r="M29" s="3"/>
    </row>
    <row r="30">
      <c r="A30" s="3"/>
      <c r="B30" s="56" t="s">
        <v>159</v>
      </c>
      <c r="C30" s="7">
        <f>IFERROR(C29/C10,"n/a")</f>
        <v>0.010847025043866646</v>
      </c>
      <c r="D30" s="7">
        <f>IFERROR(D29/D10,"n/a")</f>
        <v>0.024553224553224555</v>
      </c>
      <c r="E30" s="7">
        <f>IFERROR(E29/E10,"n/a")</f>
        <v>0.02478580171358629</v>
      </c>
      <c r="F30" s="7">
        <f>IFERROR(F29/F10,"n/a")</f>
        <v>0.022341594432914173</v>
      </c>
      <c r="G30" s="7">
        <f>IFERROR(G29/G10,"n/a")</f>
        <v>0.020815865261929932</v>
      </c>
      <c r="H30" s="7">
        <f>IFERROR(H29/H10,"n/a")</f>
        <v>0.008691453404152583</v>
      </c>
      <c r="I30" s="7">
        <f>IFERROR(I29/I10,"n/a")</f>
        <v>0</v>
      </c>
      <c r="J30" s="79">
        <v>0</v>
      </c>
      <c r="K30" s="4" t="s">
        <v>160</v>
      </c>
      <c r="L30" s="3"/>
      <c r="M30" s="3"/>
    </row>
    <row r="31">
      <c r="A31" s="3"/>
      <c r="B31" s="49" t="s">
        <v>109</v>
      </c>
      <c r="C31" s="77" t="s">
        <v>44</v>
      </c>
      <c r="D31" s="77" t="s">
        <v>44</v>
      </c>
      <c r="E31" s="77" t="s">
        <v>44</v>
      </c>
      <c r="F31" s="77" t="s">
        <v>44</v>
      </c>
      <c r="G31" s="77" t="s">
        <v>44</v>
      </c>
      <c r="H31" s="77">
        <f>IFERROR((H30-C30)*10000,"n/a")</f>
        <v>-21.555716397140632</v>
      </c>
      <c r="I31" s="77">
        <f>IFERROR((I30-D30)*10000,"n/a")</f>
        <v>-245.53224553224555</v>
      </c>
      <c r="J31" s="78">
        <f>IFERROR((J30-E30)*10000,"n/a")</f>
        <v>-247.8580171358629</v>
      </c>
      <c r="K31" s="4"/>
      <c r="L31" s="3"/>
      <c r="M31" s="3"/>
    </row>
    <row r="32">
      <c r="A32" s="3"/>
      <c r="B32" s="49" t="s">
        <v>110</v>
      </c>
      <c r="C32" s="77" t="s">
        <v>44</v>
      </c>
      <c r="D32" s="77">
        <f>IFERROR((D30-C30)*10000,"n/a")</f>
        <v>137.0619950935791</v>
      </c>
      <c r="E32" s="77">
        <f>IFERROR((E30-D30)*10000,"n/a")</f>
        <v>2.325771603617355</v>
      </c>
      <c r="F32" s="77">
        <f>IFERROR((F30-E30)*10000,"n/a")</f>
        <v>-24.44207280672118</v>
      </c>
      <c r="G32" s="77" t="s">
        <v>44</v>
      </c>
      <c r="H32" s="77">
        <f>IFERROR((H30-F30)*10000,"n/a")</f>
        <v>-136.5014102876159</v>
      </c>
      <c r="I32" s="77">
        <f>IFERROR((I30-H30)*10000,"n/a")</f>
        <v>-86.91453404152583</v>
      </c>
      <c r="J32" s="78">
        <f>IFERROR((J30-I30)*10000,"n/a")</f>
        <v>0</v>
      </c>
      <c r="K32" s="4"/>
      <c r="L32" s="3"/>
      <c r="M32" s="3"/>
    </row>
    <row r="33">
      <c r="A33" s="3"/>
      <c r="B33" s="15" t="s">
        <v>161</v>
      </c>
      <c r="C33" s="32">
        <v>6213</v>
      </c>
      <c r="D33" s="32">
        <v>6476</v>
      </c>
      <c r="E33" s="32">
        <v>6526</v>
      </c>
      <c r="F33" s="32">
        <v>8313</v>
      </c>
      <c r="G33" s="21">
        <f>SUM(C33:F33)</f>
        <v>27528</v>
      </c>
      <c r="H33" s="32">
        <v>6332</v>
      </c>
      <c r="I33" s="32">
        <v>6368</v>
      </c>
      <c r="J33" s="43">
        <f>J22+J25+J29</f>
        <v>6457.477</v>
      </c>
      <c r="K33" s="4" t="s">
        <v>162</v>
      </c>
      <c r="L33" s="3"/>
      <c r="M33" s="3"/>
    </row>
    <row r="34">
      <c r="A34" s="3"/>
      <c r="B34" s="56" t="s">
        <v>77</v>
      </c>
      <c r="C34" s="7">
        <f>IFERROR(IF(OR(C33&lt;0,C10&lt;0),"n.m.",C33/C10-1),"n/a")</f>
        <v>-0.00893284415377249</v>
      </c>
      <c r="D34" s="7">
        <f>IFERROR(IF(OR(D33&lt;0,D10&lt;0),"n.m.",D33/D10-1),"n/a")</f>
        <v>0.0063714063714064295</v>
      </c>
      <c r="E34" s="7">
        <f>IFERROR(IF(OR(E33&lt;0,E10&lt;0),"n.m.",E33/E10-1),"n/a")</f>
        <v>-0.0015299877600979395</v>
      </c>
      <c r="F34" s="7">
        <f>IFERROR(IF(OR(F33&lt;0,F10&lt;0),"n.m.",F33/F10-1),"n/a")</f>
        <v>0.014894396288609446</v>
      </c>
      <c r="G34" s="7">
        <f>IFERROR(IF(OR(G33&lt;0,G10&lt;0),"n.m.",G33/G10-1),"n/a")</f>
        <v>0.00353614523714052</v>
      </c>
      <c r="H34" s="7">
        <f>IFERROR(IF(OR(H33&lt;0,C33&lt;0),"n.m.",H33/C33-1),"n/a")</f>
        <v>0.01915338805729916</v>
      </c>
      <c r="I34" s="7">
        <f>IFERROR(IF(OR(I33&lt;0,D33&lt;0),"n.m.",I33/D33-1),"n/a")</f>
        <v>-0.016676961087090825</v>
      </c>
      <c r="J34" s="25">
        <f>IFERROR(IF(OR(J33&lt;0,E33&lt;0),"n.m.",J33/E33-1),"n/a")</f>
        <v>-0.010500000000000065</v>
      </c>
      <c r="K34" s="4"/>
      <c r="L34" s="3"/>
      <c r="M34" s="3"/>
    </row>
    <row r="35">
      <c r="A35" s="3"/>
      <c r="B35" s="56" t="s">
        <v>78</v>
      </c>
      <c r="C35" s="7" t="s">
        <v>44</v>
      </c>
      <c r="D35" s="7">
        <f>IFERROR(IF(OR(D33&lt;0,C33&lt;0),"n.m.",D33/C33-1),"n/a")</f>
        <v>0.042330597135039394</v>
      </c>
      <c r="E35" s="7">
        <f>IFERROR(IF(OR(E33&lt;0,D33&lt;0),"n.m.",E33/D33-1),"n/a")</f>
        <v>0.007720815318097651</v>
      </c>
      <c r="F35" s="7">
        <f>IFERROR(IF(OR(F33&lt;0,E33&lt;0),"n.m.",F33/E33-1),"n/a")</f>
        <v>0.2738277658596384</v>
      </c>
      <c r="G35" s="7" t="s">
        <v>44</v>
      </c>
      <c r="H35" s="7">
        <f>IFERROR(IF(OR(H33&lt;0,F33&lt;0),"n.m.",H33/F33-1),"n/a")</f>
        <v>-0.2383014555515458</v>
      </c>
      <c r="I35" s="7">
        <f>IFERROR(IF(OR(I33&lt;0,H33&lt;0),"n.m.",I33/H33-1),"n/a")</f>
        <v>0.005685407454200986</v>
      </c>
      <c r="J35" s="25">
        <f>IFERROR(IF(OR(J33&lt;0,I33&lt;0),"n.m.",J33/I33-1),"n/a")</f>
        <v>0.01405103643216088</v>
      </c>
      <c r="K35" s="4"/>
      <c r="L35" s="3"/>
      <c r="M35" s="3"/>
    </row>
    <row r="36">
      <c r="A36" s="3"/>
      <c r="B36" s="29" t="s">
        <v>94</v>
      </c>
      <c r="C36" s="1" t="s">
        <v>44</v>
      </c>
      <c r="D36" s="1">
        <f>IFERROR(D33-C33,"n/a")</f>
        <v>263</v>
      </c>
      <c r="E36" s="1">
        <f>IFERROR(E33-D33,"n/a")</f>
        <v>50</v>
      </c>
      <c r="F36" s="1">
        <f>IFERROR(F33-E33,"n/a")</f>
        <v>1787</v>
      </c>
      <c r="G36" s="1" t="s">
        <v>44</v>
      </c>
      <c r="H36" s="1">
        <f>IFERROR(H33-F33,"n/a")</f>
        <v>-1981</v>
      </c>
      <c r="I36" s="1">
        <f>IFERROR(I33-H33,"n/a")</f>
        <v>36</v>
      </c>
      <c r="J36" s="16">
        <f>IFERROR(J33-I33,"n/a")</f>
        <v>89.47699999999986</v>
      </c>
      <c r="K36" s="4"/>
      <c r="L36" s="3"/>
      <c r="M36" s="3"/>
    </row>
    <row r="37">
      <c r="A37" s="3"/>
      <c r="B37" s="3"/>
      <c r="C37" s="1"/>
      <c r="D37" s="1"/>
      <c r="E37" s="1"/>
      <c r="F37" s="1"/>
      <c r="G37" s="1"/>
      <c r="H37" s="1"/>
      <c r="I37" s="1"/>
      <c r="J37" s="16"/>
      <c r="K37" s="4"/>
      <c r="L37" s="3"/>
      <c r="M37" s="3"/>
    </row>
    <row r="38">
      <c r="A38" s="3"/>
      <c r="B38" s="15" t="s">
        <v>163</v>
      </c>
      <c r="C38" s="5"/>
      <c r="D38" s="5"/>
      <c r="E38" s="5"/>
      <c r="F38" s="5"/>
      <c r="G38" s="5"/>
      <c r="H38" s="5"/>
      <c r="I38" s="5"/>
      <c r="J38" s="22"/>
      <c r="K38" s="4"/>
      <c r="L38" s="3"/>
      <c r="M38" s="3"/>
    </row>
    <row r="39">
      <c r="A39" s="3"/>
      <c r="B39" s="12" t="s">
        <v>103</v>
      </c>
      <c r="C39" s="7">
        <f>IFERROR(IF(OR(C33&lt;0,C10&lt;0),"n.m.",C33/C10-1),"n/a")</f>
        <v>-0.00893284415377249</v>
      </c>
      <c r="D39" s="7">
        <f>IFERROR(IF(OR(D33&lt;0,D10&lt;0),"n.m.",D33/D10-1),"n/a")</f>
        <v>0.0063714063714064295</v>
      </c>
      <c r="E39" s="7">
        <f>IFERROR(IF(OR(E33&lt;0,E10&lt;0),"n.m.",E33/E10-1),"n/a")</f>
        <v>-0.0015299877600979395</v>
      </c>
      <c r="F39" s="7">
        <f>IFERROR(IF(OR(F33&lt;0,F10&lt;0),"n.m.",F33/F10-1),"n/a")</f>
        <v>0.014894396288609446</v>
      </c>
      <c r="G39" s="7">
        <f>IFERROR(IF(OR(G33&lt;0,G10&lt;0),"n.m.",G33/G10-1),"n/a")</f>
        <v>0.00353614523714052</v>
      </c>
      <c r="H39" s="7">
        <f>IFERROR(IF(OR(H33&lt;0,H10&lt;0),"n.m.",H33/H10-1),"n/a")</f>
        <v>0.01915338805729916</v>
      </c>
      <c r="I39" s="7">
        <f>IFERROR(IF(OR(I33&lt;0,I10&lt;0),"n.m.",I33/I10-1),"n/a")</f>
        <v>-0.016676961087090825</v>
      </c>
      <c r="J39" s="25">
        <f>IFERROR(IF(OR(J33&lt;0,J10&lt;0),"n.m.",J33/J10-1),"n/a")</f>
        <v>-0.010500000000000065</v>
      </c>
      <c r="K39" s="4"/>
      <c r="L39" s="3"/>
      <c r="M39" s="3"/>
    </row>
    <row r="40">
      <c r="A40" s="3"/>
      <c r="B40" s="12" t="s">
        <v>104</v>
      </c>
      <c r="C40" s="7">
        <f>IFERROR((C29+C11)/C10,"n/a")</f>
        <v>0.010847025043866646</v>
      </c>
      <c r="D40" s="7">
        <f>IFERROR((D29+D11)/D10,"n/a")</f>
        <v>0.024553224553224555</v>
      </c>
      <c r="E40" s="7">
        <f>IFERROR((E29+E11)/E10,"n/a")</f>
        <v>0.02478580171358629</v>
      </c>
      <c r="F40" s="7">
        <f>IFERROR((F29+F11)/F10,"n/a")</f>
        <v>0.022341594432914173</v>
      </c>
      <c r="G40" s="7">
        <f>IFERROR((G29+G11)/G10,"n/a")</f>
        <v>0.020815865261929932</v>
      </c>
      <c r="H40" s="7">
        <f>IFERROR((H29+H11)/H10,"n/a")</f>
        <v>0.008691453404152583</v>
      </c>
      <c r="I40" s="7">
        <f>IFERROR((I29+I11)/I10,"n/a")</f>
        <v>0</v>
      </c>
      <c r="J40" s="25">
        <f>IFERROR((J29+J11)/J10,"n/a")</f>
        <v>0</v>
      </c>
      <c r="K40" s="4"/>
      <c r="L40" s="3"/>
      <c r="M40" s="3"/>
    </row>
    <row r="41">
      <c r="A41" s="3"/>
      <c r="B41" s="12" t="s">
        <v>105</v>
      </c>
      <c r="C41" s="7">
        <f>IFERROR(C25/C10,"n/a")</f>
        <v>-0.003987876854362737</v>
      </c>
      <c r="D41" s="7">
        <f>IFERROR(D25/D10,"n/a")</f>
        <v>-0.0012432012432012432</v>
      </c>
      <c r="E41" s="7">
        <f>IFERROR(E25/E10,"n/a")</f>
        <v>-0.0003059975520195838</v>
      </c>
      <c r="F41" s="7">
        <f>IFERROR(F25/F10,"n/a")</f>
        <v>-0.00024417043096081065</v>
      </c>
      <c r="G41" s="7">
        <f>IFERROR(G25/G10,"n/a")</f>
        <v>-0.0013488389048886297</v>
      </c>
      <c r="H41" s="7">
        <f>IFERROR(H25/H10,"n/a")</f>
        <v>0.0030581039755351682</v>
      </c>
      <c r="I41" s="7">
        <f>IFERROR(I25/I10,"n/a")</f>
        <v>0.0006176652254478073</v>
      </c>
      <c r="J41" s="25">
        <f>IFERROR(J25/J10,"n/a")</f>
        <v>-0.0005</v>
      </c>
      <c r="K41" s="4"/>
      <c r="L41" s="3"/>
      <c r="M41" s="3"/>
    </row>
    <row r="42">
      <c r="A42" s="3"/>
      <c r="B42" s="12" t="s">
        <v>106</v>
      </c>
      <c r="C42" s="7">
        <f>IFERROR((1+C39)/((1+C40)*(1+C41))-1,"n/a")</f>
        <v>-0.01564212074394633</v>
      </c>
      <c r="D42" s="7">
        <f>IFERROR((1+D39)/((1+D40)*(1+D41))-1,"n/a")</f>
        <v>-0.016523435054284552</v>
      </c>
      <c r="E42" s="7">
        <f>IFERROR((1+E39)/((1+E40)*(1+E41))-1,"n/a")</f>
        <v>-0.025381076251078216</v>
      </c>
      <c r="F42" s="7">
        <f>IFERROR((1+F39)/((1+F40)*(1+F41))-1,"n/a")</f>
        <v>-0.007042000892282685</v>
      </c>
      <c r="G42" s="7">
        <f>IFERROR((1+G39)/((1+G40)*(1+G41))-1,"n/a")</f>
        <v>-0.015599564726175297</v>
      </c>
      <c r="H42" s="7">
        <f>IFERROR((1+H39)/((1+H40)*(1+H41))-1,"n/a")</f>
        <v>0.007291386939719091</v>
      </c>
      <c r="I42" s="7">
        <f>IFERROR((1+I39)/((1+I40)*(1+I41))-1,"n/a")</f>
        <v>-0.017283950617283828</v>
      </c>
      <c r="J42" s="25">
        <f>IFERROR((1+J39)/((1+J40)*(1+J41))-1,"n/a")</f>
        <v>-0.010005002501250693</v>
      </c>
      <c r="K42" s="4"/>
      <c r="L42" s="3"/>
      <c r="M42" s="3"/>
    </row>
    <row r="43">
      <c r="A43" s="3"/>
      <c r="B43" s="56" t="s">
        <v>164</v>
      </c>
      <c r="C43" s="77">
        <f>IFERROR((C42-C19)*10000,"n/a")</f>
        <v>43.5787925605367</v>
      </c>
      <c r="D43" s="77">
        <f>IFERROR((D42-D19)*10000,"n/a")</f>
        <v>34.76564945715448</v>
      </c>
      <c r="E43" s="77">
        <f>IFERROR((E42-E19)*10000,"n/a")</f>
        <v>46.189237489217824</v>
      </c>
      <c r="F43" s="77">
        <f>IFERROR((F42-F19)*10000,"n/a")</f>
        <v>29.579991077173155</v>
      </c>
      <c r="G43" s="77">
        <f>IFERROR((G42-G19)*10000,"n/a")</f>
        <v>44.004352738247036</v>
      </c>
      <c r="H43" s="77">
        <f>IFERROR((H42-H19)*10000,"n/a")</f>
        <v>-27.086130602809092</v>
      </c>
      <c r="I43" s="77">
        <f>IFERROR((I42-I19)*10000,"n/a")</f>
        <v>27.16049382716173</v>
      </c>
      <c r="J43" s="78">
        <f>IFERROR((J42-J19)*10000,"n/a")</f>
        <v>-0.05002501250692473</v>
      </c>
      <c r="K43" s="4" t="s">
        <v>165</v>
      </c>
      <c r="L43" s="3"/>
      <c r="M43" s="3"/>
    </row>
    <row r="44">
      <c r="A44" s="3"/>
      <c r="B44" s="3"/>
      <c r="C44" s="1"/>
      <c r="D44" s="1"/>
      <c r="E44" s="1"/>
      <c r="F44" s="1"/>
      <c r="G44" s="1"/>
      <c r="H44" s="1"/>
      <c r="I44" s="1"/>
      <c r="J44" s="16"/>
      <c r="K44" s="4"/>
      <c r="L44" s="3"/>
      <c r="M44" s="3"/>
    </row>
    <row r="45">
      <c r="A45" s="3"/>
      <c r="B45" s="15" t="s">
        <v>166</v>
      </c>
      <c r="C45" s="5"/>
      <c r="D45" s="5"/>
      <c r="E45" s="5"/>
      <c r="F45" s="5"/>
      <c r="G45" s="5"/>
      <c r="H45" s="5"/>
      <c r="I45" s="5"/>
      <c r="J45" s="22"/>
      <c r="K45" s="4"/>
      <c r="L45" s="3"/>
      <c r="M45" s="3"/>
    </row>
    <row r="46">
      <c r="A46" s="3"/>
      <c r="B46" s="12" t="s">
        <v>167</v>
      </c>
      <c r="C46" s="9">
        <v>-0.01</v>
      </c>
      <c r="D46" s="9">
        <v>-0.01</v>
      </c>
      <c r="E46" s="9">
        <v>-0.04</v>
      </c>
      <c r="F46" s="9">
        <v>-0.01</v>
      </c>
      <c r="G46" s="9">
        <v>-0.02</v>
      </c>
      <c r="H46" s="9">
        <v>0.02</v>
      </c>
      <c r="I46" s="9">
        <v>0</v>
      </c>
      <c r="J46" s="25">
        <f>J13</f>
        <v>0.01</v>
      </c>
      <c r="K46" s="4" t="s">
        <v>168</v>
      </c>
      <c r="L46" s="3"/>
      <c r="M46" s="3"/>
    </row>
    <row r="47">
      <c r="A47" s="3"/>
      <c r="B47" s="56" t="s">
        <v>109</v>
      </c>
      <c r="C47" s="77" t="s">
        <v>44</v>
      </c>
      <c r="D47" s="77" t="s">
        <v>44</v>
      </c>
      <c r="E47" s="77" t="s">
        <v>44</v>
      </c>
      <c r="F47" s="77" t="s">
        <v>44</v>
      </c>
      <c r="G47" s="77" t="s">
        <v>44</v>
      </c>
      <c r="H47" s="77">
        <f>IFERROR((H46-C46)*10000,"n/a")</f>
        <v>300</v>
      </c>
      <c r="I47" s="77">
        <f>IFERROR((I46-D46)*10000,"n/a")</f>
        <v>100</v>
      </c>
      <c r="J47" s="78">
        <f>IFERROR((J46-E46)*10000,"n/a")</f>
        <v>500</v>
      </c>
      <c r="K47" s="4"/>
      <c r="L47" s="3"/>
      <c r="M47" s="3"/>
    </row>
    <row r="48">
      <c r="A48" s="3"/>
      <c r="B48" s="56" t="s">
        <v>110</v>
      </c>
      <c r="C48" s="77" t="s">
        <v>44</v>
      </c>
      <c r="D48" s="77">
        <f>IFERROR((D46-C46)*10000,"n/a")</f>
        <v>0</v>
      </c>
      <c r="E48" s="77">
        <f>IFERROR((E46-D46)*10000,"n/a")</f>
        <v>-300</v>
      </c>
      <c r="F48" s="77">
        <f>IFERROR((F46-E46)*10000,"n/a")</f>
        <v>300</v>
      </c>
      <c r="G48" s="77" t="s">
        <v>44</v>
      </c>
      <c r="H48" s="77">
        <f>IFERROR((H46-F46)*10000,"n/a")</f>
        <v>300</v>
      </c>
      <c r="I48" s="77">
        <f>IFERROR((I46-H46)*10000,"n/a")</f>
        <v>-200</v>
      </c>
      <c r="J48" s="78">
        <f>IFERROR((J46-I46)*10000,"n/a")</f>
        <v>100</v>
      </c>
      <c r="K48" s="4"/>
      <c r="L48" s="3"/>
      <c r="M48" s="3"/>
    </row>
    <row r="49">
      <c r="A49" s="3"/>
      <c r="B49" s="3"/>
      <c r="C49" s="1"/>
      <c r="D49" s="1"/>
      <c r="E49" s="1"/>
      <c r="F49" s="1"/>
      <c r="G49" s="1"/>
      <c r="H49" s="1"/>
      <c r="I49" s="1"/>
      <c r="J49" s="16"/>
      <c r="K49" s="4"/>
      <c r="L49" s="3"/>
      <c r="M49" s="3"/>
    </row>
    <row r="50">
      <c r="A50" s="3"/>
      <c r="B50" s="15" t="s">
        <v>169</v>
      </c>
      <c r="C50" s="5"/>
      <c r="D50" s="5"/>
      <c r="E50" s="5"/>
      <c r="F50" s="5"/>
      <c r="G50" s="5"/>
      <c r="H50" s="5"/>
      <c r="I50" s="5"/>
      <c r="J50" s="22"/>
      <c r="K50" s="4"/>
      <c r="L50" s="3"/>
      <c r="M50" s="3"/>
    </row>
    <row r="51">
      <c r="A51" s="3"/>
      <c r="B51" s="3" t="s">
        <v>43</v>
      </c>
      <c r="C51" s="1">
        <f>C33</f>
        <v>6213</v>
      </c>
      <c r="D51" s="1">
        <f>D33</f>
        <v>6476</v>
      </c>
      <c r="E51" s="1">
        <f>E33</f>
        <v>6526</v>
      </c>
      <c r="F51" s="1">
        <f>F33</f>
        <v>8313</v>
      </c>
      <c r="G51" s="1">
        <f>G33</f>
        <v>27528</v>
      </c>
      <c r="H51" s="1">
        <f>H33</f>
        <v>6332</v>
      </c>
      <c r="I51" s="1">
        <f>I33</f>
        <v>6368</v>
      </c>
      <c r="J51" s="16">
        <f>J33</f>
        <v>6457.477</v>
      </c>
      <c r="K51" s="4"/>
      <c r="L51" s="3"/>
      <c r="M51" s="3"/>
    </row>
    <row r="52">
      <c r="A52" s="3"/>
      <c r="B52" s="3" t="s">
        <v>170</v>
      </c>
      <c r="C52" s="19">
        <v>2348</v>
      </c>
      <c r="D52" s="19">
        <v>2471</v>
      </c>
      <c r="E52" s="19">
        <v>2557</v>
      </c>
      <c r="F52" s="19">
        <v>3188</v>
      </c>
      <c r="G52" s="1">
        <f>SUM(C52:F52)</f>
        <v>10564</v>
      </c>
      <c r="H52" s="19">
        <v>2392</v>
      </c>
      <c r="I52" s="19">
        <v>2498</v>
      </c>
      <c r="J52" s="16">
        <f>J51*(1-J58)</f>
        <v>2595.905754</v>
      </c>
      <c r="K52" s="4" t="s">
        <v>171</v>
      </c>
      <c r="L52" s="3"/>
      <c r="M52" s="3"/>
    </row>
    <row r="53">
      <c r="A53" s="3"/>
      <c r="B53" s="56" t="s">
        <v>77</v>
      </c>
      <c r="C53" s="7" t="s">
        <v>44</v>
      </c>
      <c r="D53" s="7" t="s">
        <v>44</v>
      </c>
      <c r="E53" s="7" t="s">
        <v>44</v>
      </c>
      <c r="F53" s="7" t="s">
        <v>44</v>
      </c>
      <c r="G53" s="7" t="s">
        <v>44</v>
      </c>
      <c r="H53" s="7">
        <f>IFERROR(IF(OR(H52&lt;0,C52&lt;0),"n.m.",H52/C52-1),"n/a")</f>
        <v>0.01873935264054505</v>
      </c>
      <c r="I53" s="7">
        <f>IFERROR(IF(OR(I52&lt;0,D52&lt;0),"n.m.",I52/D52-1),"n/a")</f>
        <v>0.01092675030352086</v>
      </c>
      <c r="J53" s="25">
        <f>IFERROR(IF(OR(J52&lt;0,E52&lt;0),"n.m.",J52/E52-1),"n/a")</f>
        <v>0.015215390692217445</v>
      </c>
      <c r="K53" s="4"/>
      <c r="L53" s="3"/>
      <c r="M53" s="3"/>
    </row>
    <row r="54">
      <c r="A54" s="3"/>
      <c r="B54" s="29" t="s">
        <v>94</v>
      </c>
      <c r="C54" s="1" t="s">
        <v>44</v>
      </c>
      <c r="D54" s="1">
        <f>IFERROR(D52-C52,"n/a")</f>
        <v>123</v>
      </c>
      <c r="E54" s="1">
        <f>IFERROR(E52-D52,"n/a")</f>
        <v>86</v>
      </c>
      <c r="F54" s="1">
        <f>IFERROR(F52-E52,"n/a")</f>
        <v>631</v>
      </c>
      <c r="G54" s="1" t="s">
        <v>44</v>
      </c>
      <c r="H54" s="1">
        <f>IFERROR(H52-F52,"n/a")</f>
        <v>-796</v>
      </c>
      <c r="I54" s="1">
        <f>IFERROR(I52-H52,"n/a")</f>
        <v>106</v>
      </c>
      <c r="J54" s="16">
        <f>IFERROR(J52-I52,"n/a")</f>
        <v>97.90575399999989</v>
      </c>
      <c r="K54" s="4"/>
      <c r="L54" s="3"/>
      <c r="M54" s="3"/>
    </row>
    <row r="55">
      <c r="A55" s="3"/>
      <c r="B55" s="15" t="s">
        <v>172</v>
      </c>
      <c r="C55" s="21">
        <f>C51-C52</f>
        <v>3865</v>
      </c>
      <c r="D55" s="21">
        <f>D51-D52</f>
        <v>4005</v>
      </c>
      <c r="E55" s="21">
        <f>E51-E52</f>
        <v>3969</v>
      </c>
      <c r="F55" s="21">
        <f>F51-F52</f>
        <v>5125</v>
      </c>
      <c r="G55" s="21">
        <f>G51-G52</f>
        <v>16964</v>
      </c>
      <c r="H55" s="21">
        <f>H51-H52</f>
        <v>3940</v>
      </c>
      <c r="I55" s="21">
        <f>I51-I52</f>
        <v>3870</v>
      </c>
      <c r="J55" s="43">
        <f>J51-J52</f>
        <v>3861.571246</v>
      </c>
      <c r="K55" s="4"/>
      <c r="L55" s="3"/>
      <c r="M55" s="3"/>
    </row>
    <row r="56">
      <c r="A56" s="3"/>
      <c r="B56" s="56" t="s">
        <v>77</v>
      </c>
      <c r="C56" s="7" t="s">
        <v>44</v>
      </c>
      <c r="D56" s="7" t="s">
        <v>44</v>
      </c>
      <c r="E56" s="7" t="s">
        <v>44</v>
      </c>
      <c r="F56" s="7" t="s">
        <v>44</v>
      </c>
      <c r="G56" s="7" t="s">
        <v>44</v>
      </c>
      <c r="H56" s="7">
        <f>IFERROR(IF(OR(H55&lt;0,C55&lt;0),"n.m.",H55/C55-1),"n/a")</f>
        <v>0.019404915912031084</v>
      </c>
      <c r="I56" s="7">
        <f>IFERROR(IF(OR(I55&lt;0,D55&lt;0),"n.m.",I55/D55-1),"n/a")</f>
        <v>-0.0337078651685393</v>
      </c>
      <c r="J56" s="25">
        <f>IFERROR(IF(OR(J55&lt;0,E55&lt;0),"n.m.",J55/E55-1),"n/a")</f>
        <v>-0.02706695742000509</v>
      </c>
      <c r="K56" s="4"/>
      <c r="L56" s="3"/>
      <c r="M56" s="3"/>
    </row>
    <row r="57">
      <c r="A57" s="3"/>
      <c r="B57" s="29" t="s">
        <v>94</v>
      </c>
      <c r="C57" s="1" t="s">
        <v>44</v>
      </c>
      <c r="D57" s="1">
        <f>IFERROR(D55-C55,"n/a")</f>
        <v>140</v>
      </c>
      <c r="E57" s="1">
        <f>IFERROR(E55-D55,"n/a")</f>
        <v>-36</v>
      </c>
      <c r="F57" s="1">
        <f>IFERROR(F55-E55,"n/a")</f>
        <v>1156</v>
      </c>
      <c r="G57" s="1" t="s">
        <v>44</v>
      </c>
      <c r="H57" s="1">
        <f>IFERROR(H55-F55,"n/a")</f>
        <v>-1185</v>
      </c>
      <c r="I57" s="1">
        <f>IFERROR(I55-H55,"n/a")</f>
        <v>-70</v>
      </c>
      <c r="J57" s="16">
        <f>IFERROR(J55-I55,"n/a")</f>
        <v>-8.428754000000026</v>
      </c>
      <c r="K57" s="4"/>
      <c r="L57" s="3"/>
      <c r="M57" s="3"/>
    </row>
    <row r="58">
      <c r="A58" s="3"/>
      <c r="B58" s="12" t="s">
        <v>173</v>
      </c>
      <c r="C58" s="7">
        <f>IFERROR(C55/C51,"n/a")</f>
        <v>0.6220827297601803</v>
      </c>
      <c r="D58" s="7">
        <f>IFERROR(D55/D51,"n/a")</f>
        <v>0.6184373069796171</v>
      </c>
      <c r="E58" s="7">
        <f>IFERROR(E55/E51,"n/a")</f>
        <v>0.6081826539993871</v>
      </c>
      <c r="F58" s="7">
        <f>IFERROR(F55/F51,"n/a")</f>
        <v>0.6165042704198244</v>
      </c>
      <c r="G58" s="7">
        <f>IFERROR(G55/G51,"n/a")</f>
        <v>0.6162452775356001</v>
      </c>
      <c r="H58" s="7">
        <f>IFERROR(H55/H51,"n/a")</f>
        <v>0.622236260265319</v>
      </c>
      <c r="I58" s="7">
        <f>IFERROR(I55/I51,"n/a")</f>
        <v>0.6077261306532663</v>
      </c>
      <c r="J58" s="79">
        <v>0.598</v>
      </c>
      <c r="K58" s="4" t="s">
        <v>160</v>
      </c>
      <c r="L58" s="3"/>
      <c r="M58" s="3"/>
    </row>
    <row r="59">
      <c r="A59" s="3"/>
      <c r="B59" s="56" t="s">
        <v>109</v>
      </c>
      <c r="C59" s="77" t="s">
        <v>44</v>
      </c>
      <c r="D59" s="77" t="s">
        <v>44</v>
      </c>
      <c r="E59" s="77" t="s">
        <v>44</v>
      </c>
      <c r="F59" s="77" t="s">
        <v>44</v>
      </c>
      <c r="G59" s="77" t="s">
        <v>44</v>
      </c>
      <c r="H59" s="77">
        <f>IFERROR((H58-C58)*10000,"n/a")</f>
        <v>1.5353050513866595</v>
      </c>
      <c r="I59" s="77">
        <f>IFERROR((I58-D58)*10000,"n/a")</f>
        <v>-107.11176326350768</v>
      </c>
      <c r="J59" s="78">
        <f>IFERROR((J58-E58)*10000,"n/a")</f>
        <v>-101.82653999387115</v>
      </c>
      <c r="K59" s="4"/>
      <c r="L59" s="3"/>
      <c r="M59" s="3"/>
    </row>
    <row r="60">
      <c r="A60" s="3"/>
      <c r="B60" s="56" t="s">
        <v>110</v>
      </c>
      <c r="C60" s="77" t="s">
        <v>44</v>
      </c>
      <c r="D60" s="77">
        <f>IFERROR((D58-C58)*10000,"n/a")</f>
        <v>-36.45422780563234</v>
      </c>
      <c r="E60" s="77">
        <f>IFERROR((E58-D58)*10000,"n/a")</f>
        <v>-102.54652980229983</v>
      </c>
      <c r="F60" s="77">
        <f>IFERROR((F58-E58)*10000,"n/a")</f>
        <v>83.21616420437272</v>
      </c>
      <c r="G60" s="77" t="s">
        <v>44</v>
      </c>
      <c r="H60" s="77">
        <f>IFERROR((H58-F58)*10000,"n/a")</f>
        <v>57.31989845494611</v>
      </c>
      <c r="I60" s="77">
        <f>IFERROR((I58-H58)*10000,"n/a")</f>
        <v>-145.10129612052668</v>
      </c>
      <c r="J60" s="78">
        <f>IFERROR((J58-I58)*10000,"n/a")</f>
        <v>-97.2613065326633</v>
      </c>
      <c r="K60" s="4"/>
      <c r="L60" s="3"/>
      <c r="M60" s="3"/>
    </row>
    <row r="61">
      <c r="A61" s="3"/>
      <c r="B61" s="3" t="s">
        <v>174</v>
      </c>
      <c r="C61" s="19">
        <v>2290</v>
      </c>
      <c r="D61" s="19">
        <v>2517</v>
      </c>
      <c r="E61" s="19">
        <v>2399</v>
      </c>
      <c r="F61" s="19">
        <v>3213</v>
      </c>
      <c r="G61" s="1">
        <f>SUM(C61:F61)</f>
        <v>10419</v>
      </c>
      <c r="H61" s="19">
        <v>2435</v>
      </c>
      <c r="I61" s="19">
        <v>2501</v>
      </c>
      <c r="J61" s="16">
        <f>J51*J64</f>
        <v>2415.096398</v>
      </c>
      <c r="K61" s="4" t="s">
        <v>171</v>
      </c>
      <c r="L61" s="3"/>
      <c r="M61" s="3"/>
    </row>
    <row r="62">
      <c r="A62" s="3"/>
      <c r="B62" s="56" t="s">
        <v>77</v>
      </c>
      <c r="C62" s="7" t="s">
        <v>44</v>
      </c>
      <c r="D62" s="7" t="s">
        <v>44</v>
      </c>
      <c r="E62" s="7" t="s">
        <v>44</v>
      </c>
      <c r="F62" s="7" t="s">
        <v>44</v>
      </c>
      <c r="G62" s="7" t="s">
        <v>44</v>
      </c>
      <c r="H62" s="7">
        <f>IFERROR(IF(OR(H61&lt;0,C61&lt;0),"n.m.",H61/C61-1),"n/a")</f>
        <v>0.06331877729257651</v>
      </c>
      <c r="I62" s="7">
        <f>IFERROR(IF(OR(I61&lt;0,D61&lt;0),"n.m.",I61/D61-1),"n/a")</f>
        <v>-0.0063567739372268894</v>
      </c>
      <c r="J62" s="25">
        <f>IFERROR(IF(OR(J61&lt;0,E61&lt;0),"n.m.",J61/E61-1),"n/a")</f>
        <v>0.0067096281784078116</v>
      </c>
      <c r="K62" s="4"/>
      <c r="L62" s="3"/>
      <c r="M62" s="3"/>
    </row>
    <row r="63">
      <c r="A63" s="3"/>
      <c r="B63" s="29" t="s">
        <v>94</v>
      </c>
      <c r="C63" s="1" t="s">
        <v>44</v>
      </c>
      <c r="D63" s="1">
        <f>IFERROR(D61-C61,"n/a")</f>
        <v>227</v>
      </c>
      <c r="E63" s="1">
        <f>IFERROR(E61-D61,"n/a")</f>
        <v>-118</v>
      </c>
      <c r="F63" s="1">
        <f>IFERROR(F61-E61,"n/a")</f>
        <v>814</v>
      </c>
      <c r="G63" s="1" t="s">
        <v>44</v>
      </c>
      <c r="H63" s="1">
        <f>IFERROR(H61-F61,"n/a")</f>
        <v>-778</v>
      </c>
      <c r="I63" s="1">
        <f>IFERROR(I61-H61,"n/a")</f>
        <v>66</v>
      </c>
      <c r="J63" s="16">
        <f>IFERROR(J61-I61,"n/a")</f>
        <v>-85.90360199999986</v>
      </c>
      <c r="K63" s="4"/>
      <c r="L63" s="3"/>
      <c r="M63" s="3"/>
    </row>
    <row r="64">
      <c r="A64" s="3"/>
      <c r="B64" s="12" t="s">
        <v>175</v>
      </c>
      <c r="C64" s="7">
        <f>IFERROR(C61/C51,"n/a")</f>
        <v>0.3685820054723966</v>
      </c>
      <c r="D64" s="7">
        <f>IFERROR(D61/D51,"n/a")</f>
        <v>0.38866584311303276</v>
      </c>
      <c r="E64" s="7">
        <f>IFERROR(E61/E51,"n/a")</f>
        <v>0.3676064970885688</v>
      </c>
      <c r="F64" s="7">
        <f>IFERROR(F61/F51,"n/a")</f>
        <v>0.38650306748466257</v>
      </c>
      <c r="G64" s="7">
        <f>IFERROR(G61/G51,"n/a")</f>
        <v>0.378487358326068</v>
      </c>
      <c r="H64" s="7">
        <f>IFERROR(H61/H51,"n/a")</f>
        <v>0.3845546430827543</v>
      </c>
      <c r="I64" s="7">
        <f>IFERROR(I61/I51,"n/a")</f>
        <v>0.3927449748743719</v>
      </c>
      <c r="J64" s="79">
        <v>0.374</v>
      </c>
      <c r="K64" s="4" t="s">
        <v>160</v>
      </c>
      <c r="L64" s="3"/>
      <c r="M64" s="3"/>
    </row>
    <row r="65">
      <c r="A65" s="3"/>
      <c r="B65" s="56" t="s">
        <v>109</v>
      </c>
      <c r="C65" s="77" t="s">
        <v>44</v>
      </c>
      <c r="D65" s="77" t="s">
        <v>44</v>
      </c>
      <c r="E65" s="77" t="s">
        <v>44</v>
      </c>
      <c r="F65" s="77" t="s">
        <v>44</v>
      </c>
      <c r="G65" s="77" t="s">
        <v>44</v>
      </c>
      <c r="H65" s="77">
        <f>IFERROR((H64-C64)*10000,"n/a")</f>
        <v>159.72637610357665</v>
      </c>
      <c r="I65" s="77">
        <f>IFERROR((I64-D64)*10000,"n/a")</f>
        <v>40.791317613391165</v>
      </c>
      <c r="J65" s="78">
        <f>IFERROR((J64-E64)*10000,"n/a")</f>
        <v>63.93502911431204</v>
      </c>
      <c r="K65" s="4"/>
      <c r="L65" s="3"/>
      <c r="M65" s="3"/>
    </row>
    <row r="66">
      <c r="A66" s="3"/>
      <c r="B66" s="56" t="s">
        <v>110</v>
      </c>
      <c r="C66" s="77" t="s">
        <v>44</v>
      </c>
      <c r="D66" s="77">
        <f>IFERROR((D64-C64)*10000,"n/a")</f>
        <v>200.83837640636148</v>
      </c>
      <c r="E66" s="77">
        <f>IFERROR((E64-D64)*10000,"n/a")</f>
        <v>-210.59346024463966</v>
      </c>
      <c r="F66" s="77">
        <f>IFERROR((F64-E64)*10000,"n/a")</f>
        <v>188.9657039609377</v>
      </c>
      <c r="G66" s="77" t="s">
        <v>44</v>
      </c>
      <c r="H66" s="77">
        <f>IFERROR((H64-F64)*10000,"n/a")</f>
        <v>-19.484244019082887</v>
      </c>
      <c r="I66" s="77">
        <f>IFERROR((I64-H64)*10000,"n/a")</f>
        <v>81.903317916176</v>
      </c>
      <c r="J66" s="78">
        <f>IFERROR((J64-I64)*10000,"n/a")</f>
        <v>-187.44974874371877</v>
      </c>
      <c r="K66" s="4"/>
      <c r="L66" s="3"/>
      <c r="M66" s="3"/>
    </row>
    <row r="67">
      <c r="A67" s="3"/>
      <c r="B67" s="56" t="s">
        <v>176</v>
      </c>
      <c r="C67" s="7" t="s">
        <v>44</v>
      </c>
      <c r="D67" s="7" t="s">
        <v>44</v>
      </c>
      <c r="E67" s="7" t="s">
        <v>44</v>
      </c>
      <c r="F67" s="7" t="s">
        <v>44</v>
      </c>
      <c r="G67" s="7" t="s">
        <v>44</v>
      </c>
      <c r="H67" s="7" t="s">
        <v>44</v>
      </c>
      <c r="I67" s="7" t="s">
        <v>44</v>
      </c>
      <c r="J67" s="79">
        <v>0.3</v>
      </c>
      <c r="K67" s="4" t="s">
        <v>177</v>
      </c>
      <c r="L67" s="3"/>
      <c r="M67" s="3"/>
    </row>
    <row r="68">
      <c r="A68" s="3"/>
      <c r="B68" s="3" t="s">
        <v>178</v>
      </c>
      <c r="C68" s="1" t="s">
        <v>44</v>
      </c>
      <c r="D68" s="1" t="s">
        <v>44</v>
      </c>
      <c r="E68" s="1" t="s">
        <v>44</v>
      </c>
      <c r="F68" s="1" t="s">
        <v>44</v>
      </c>
      <c r="G68" s="1" t="s">
        <v>44</v>
      </c>
      <c r="H68" s="1" t="s">
        <v>44</v>
      </c>
      <c r="I68" s="1" t="s">
        <v>44</v>
      </c>
      <c r="J68" s="64">
        <f>Guidance!G40*'Income Statement'!J49/(1-'Income Statement'!J127)*J67</f>
        <v>43.1209329528536</v>
      </c>
      <c r="K68" s="4" t="s">
        <v>179</v>
      </c>
      <c r="L68" s="3"/>
      <c r="M68" s="3"/>
    </row>
    <row r="69">
      <c r="A69" s="3"/>
      <c r="B69" s="15" t="s">
        <v>180</v>
      </c>
      <c r="C69" s="21">
        <f>C55-C61</f>
        <v>1575</v>
      </c>
      <c r="D69" s="21">
        <f>D55-D61</f>
        <v>1488</v>
      </c>
      <c r="E69" s="21">
        <f>E55-E61</f>
        <v>1570</v>
      </c>
      <c r="F69" s="21">
        <f>F55-F61</f>
        <v>1912</v>
      </c>
      <c r="G69" s="21">
        <f>SUM(C69:F69)</f>
        <v>6545</v>
      </c>
      <c r="H69" s="21">
        <f>H55-H61</f>
        <v>1505</v>
      </c>
      <c r="I69" s="21">
        <f>I55-I61</f>
        <v>1369</v>
      </c>
      <c r="J69" s="43">
        <f>J55-J61+J68</f>
        <v>1489.5957809528534</v>
      </c>
      <c r="K69" s="4" t="s">
        <v>181</v>
      </c>
      <c r="L69" s="3"/>
      <c r="M69" s="3"/>
    </row>
    <row r="70">
      <c r="A70" s="3"/>
      <c r="B70" s="56" t="s">
        <v>77</v>
      </c>
      <c r="C70" s="7">
        <f>IFERROR(IF(OR(C69&lt;0,C75&lt;0),"n.m.",C69/C75-1),"n/a")</f>
        <v>-0.07243816254416957</v>
      </c>
      <c r="D70" s="7">
        <f>IFERROR(IF(OR(D69&lt;0,D75&lt;0),"n.m.",D69/D75-1),"n/a")</f>
        <v>-0.12727272727272732</v>
      </c>
      <c r="E70" s="7">
        <f>IFERROR(IF(OR(E69&lt;0,E75&lt;0),"n.m.",E69/E75-1),"n/a")</f>
        <v>-0.03503380454824834</v>
      </c>
      <c r="F70" s="7">
        <f>IFERROR(IF(OR(F69&lt;0,F75&lt;0),"n.m.",F69/F75-1),"n/a")</f>
        <v>-0.020491803278688492</v>
      </c>
      <c r="G70" s="7">
        <f>IFERROR(IF(OR(G69&lt;0,G75&lt;0),"n.m.",G69/G75-1),"n/a")</f>
        <v>-0.06258951589802353</v>
      </c>
      <c r="H70" s="7">
        <f>IFERROR(IF(OR(H69&lt;0,C69&lt;0),"n.m.",H69/C69-1),"n/a")</f>
        <v>-0.0444444444444444</v>
      </c>
      <c r="I70" s="7">
        <f>IFERROR(IF(OR(I69&lt;0,D69&lt;0),"n.m.",I69/D69-1),"n/a")</f>
        <v>-0.07997311827956988</v>
      </c>
      <c r="J70" s="25">
        <f>IFERROR(IF(OR(J69&lt;0,E69&lt;0),"n.m.",J69/E69-1),"n/a")</f>
        <v>-0.0512128783739787</v>
      </c>
      <c r="K70" s="4"/>
      <c r="L70" s="3"/>
      <c r="M70" s="3"/>
    </row>
    <row r="71">
      <c r="A71" s="3"/>
      <c r="B71" s="29" t="s">
        <v>94</v>
      </c>
      <c r="C71" s="1" t="s">
        <v>44</v>
      </c>
      <c r="D71" s="1">
        <f>IFERROR(D69-C69,"n/a")</f>
        <v>-87</v>
      </c>
      <c r="E71" s="1">
        <f>IFERROR(E69-D69,"n/a")</f>
        <v>82</v>
      </c>
      <c r="F71" s="1">
        <f>IFERROR(F69-E69,"n/a")</f>
        <v>342</v>
      </c>
      <c r="G71" s="1" t="s">
        <v>44</v>
      </c>
      <c r="H71" s="1">
        <f>IFERROR(H69-F69,"n/a")</f>
        <v>-407</v>
      </c>
      <c r="I71" s="1">
        <f>IFERROR(I69-H69,"n/a")</f>
        <v>-136</v>
      </c>
      <c r="J71" s="16">
        <f>IFERROR(J69-I69,"n/a")</f>
        <v>120.59578095285337</v>
      </c>
      <c r="K71" s="4"/>
      <c r="L71" s="3"/>
      <c r="M71" s="3"/>
    </row>
    <row r="72">
      <c r="A72" s="3"/>
      <c r="B72" s="12" t="s">
        <v>182</v>
      </c>
      <c r="C72" s="7">
        <f>IFERROR(C69/C51,"n/a")</f>
        <v>0.2535007242877837</v>
      </c>
      <c r="D72" s="7">
        <f>IFERROR(D69/D51,"n/a")</f>
        <v>0.2297714638665843</v>
      </c>
      <c r="E72" s="7">
        <f>IFERROR(E69/E51,"n/a")</f>
        <v>0.24057615691081827</v>
      </c>
      <c r="F72" s="7">
        <f>IFERROR(F69/F51,"n/a")</f>
        <v>0.2300012029351618</v>
      </c>
      <c r="G72" s="7">
        <f>IFERROR(G69/G51,"n/a")</f>
        <v>0.23775791920953213</v>
      </c>
      <c r="H72" s="7">
        <f>IFERROR(H69/H51,"n/a")</f>
        <v>0.23768161718256475</v>
      </c>
      <c r="I72" s="7">
        <f>IFERROR(I69/I51,"n/a")</f>
        <v>0.21498115577889448</v>
      </c>
      <c r="J72" s="25">
        <f>IFERROR(J69/J51,"n/a")</f>
        <v>0.23067767503513423</v>
      </c>
      <c r="K72" s="4"/>
      <c r="L72" s="3"/>
      <c r="M72" s="3"/>
    </row>
    <row r="73">
      <c r="A73" s="3"/>
      <c r="B73" s="56" t="s">
        <v>109</v>
      </c>
      <c r="C73" s="77">
        <f>IFERROR((C72-C76)*10000,"n/a")</f>
        <v>-173.5587166053343</v>
      </c>
      <c r="D73" s="77">
        <f>IFERROR((D72-D76)*10000,"n/a")</f>
        <v>-351.85801090680644</v>
      </c>
      <c r="E73" s="77">
        <f>IFERROR((E72-E76)*10000,"n/a")</f>
        <v>-83.52851657113192</v>
      </c>
      <c r="F73" s="77">
        <f>IFERROR((F72-F76)*10000,"n/a")</f>
        <v>-83.09137682589396</v>
      </c>
      <c r="G73" s="77">
        <f>IFERROR((G72-G76)*10000,"n/a")</f>
        <v>-167.71627653506067</v>
      </c>
      <c r="H73" s="77">
        <f>IFERROR((H72-C72)*10000,"n/a")</f>
        <v>-158.19107105218944</v>
      </c>
      <c r="I73" s="77">
        <f>IFERROR((I72-D72)*10000,"n/a")</f>
        <v>-147.9030808768983</v>
      </c>
      <c r="J73" s="78">
        <f>IFERROR((J72-E72)*10000,"n/a")</f>
        <v>-98.9848187568404</v>
      </c>
      <c r="K73" s="4"/>
      <c r="L73" s="3"/>
      <c r="M73" s="3"/>
    </row>
    <row r="74">
      <c r="A74" s="3"/>
      <c r="B74" s="56" t="s">
        <v>110</v>
      </c>
      <c r="C74" s="77" t="s">
        <v>44</v>
      </c>
      <c r="D74" s="77">
        <f>IFERROR((D72-C72)*10000,"n/a")</f>
        <v>-237.29260421199382</v>
      </c>
      <c r="E74" s="77">
        <f>IFERROR((E72-D72)*10000,"n/a")</f>
        <v>108.04693044233954</v>
      </c>
      <c r="F74" s="77">
        <f>IFERROR((F72-E72)*10000,"n/a")</f>
        <v>-105.7495397565647</v>
      </c>
      <c r="G74" s="77" t="s">
        <v>44</v>
      </c>
      <c r="H74" s="77">
        <f>IFERROR((H72-F72)*10000,"n/a")</f>
        <v>76.80414247402956</v>
      </c>
      <c r="I74" s="77">
        <f>IFERROR((I72-H72)*10000,"n/a")</f>
        <v>-227.0046140367027</v>
      </c>
      <c r="J74" s="78">
        <f>IFERROR((J72-I72)*10000,"n/a")</f>
        <v>156.96519256239745</v>
      </c>
      <c r="K74" s="4"/>
      <c r="L74" s="3"/>
      <c r="M74" s="3"/>
    </row>
    <row r="75">
      <c r="A75" s="3"/>
      <c r="B75" s="3" t="s">
        <v>183</v>
      </c>
      <c r="C75" s="19">
        <v>1698</v>
      </c>
      <c r="D75" s="19">
        <v>1705</v>
      </c>
      <c r="E75" s="19">
        <v>1627</v>
      </c>
      <c r="F75" s="19">
        <v>1952</v>
      </c>
      <c r="G75" s="1">
        <f>SUM(C75:F75)</f>
        <v>6982</v>
      </c>
      <c r="H75" s="1">
        <f>C69</f>
        <v>1575</v>
      </c>
      <c r="I75" s="1">
        <f>D69</f>
        <v>1488</v>
      </c>
      <c r="J75" s="16">
        <f>E69</f>
        <v>1570</v>
      </c>
      <c r="K75" s="4" t="s">
        <v>184</v>
      </c>
      <c r="L75" s="3"/>
      <c r="M75" s="3"/>
    </row>
    <row r="76">
      <c r="A76" s="3"/>
      <c r="B76" s="56" t="s">
        <v>185</v>
      </c>
      <c r="C76" s="113">
        <f>IFERROR(C75/C10,"n/a")</f>
        <v>0.2708565959483171</v>
      </c>
      <c r="D76" s="113">
        <f>IFERROR(D75/D10,"n/a")</f>
        <v>0.26495726495726496</v>
      </c>
      <c r="E76" s="113">
        <f>IFERROR(E75/E10,"n/a")</f>
        <v>0.24892900856793146</v>
      </c>
      <c r="F76" s="113">
        <f>IFERROR(F75/F10,"n/a")</f>
        <v>0.2383103406177512</v>
      </c>
      <c r="G76" s="113">
        <f>IFERROR(G75/G10,"n/a")</f>
        <v>0.2545295468630382</v>
      </c>
      <c r="H76" s="7">
        <f>IFERROR(H75/H10,"n/a")</f>
        <v>0.2535007242877837</v>
      </c>
      <c r="I76" s="7">
        <f>IFERROR(I75/I10,"n/a")</f>
        <v>0.2297714638665843</v>
      </c>
      <c r="J76" s="25">
        <f>IFERROR(J75/J10,"n/a")</f>
        <v>0.24057615691081827</v>
      </c>
      <c r="K76" s="4"/>
      <c r="L76" s="3"/>
      <c r="M76" s="3"/>
    </row>
    <row r="77">
      <c r="A77" s="3"/>
      <c r="B77" s="3" t="s">
        <v>186</v>
      </c>
      <c r="C77" s="19">
        <v>-5</v>
      </c>
      <c r="D77" s="19">
        <v>-1</v>
      </c>
      <c r="E77" s="19">
        <v>0</v>
      </c>
      <c r="F77" s="19">
        <v>-1</v>
      </c>
      <c r="G77" s="1">
        <f>SUM(C77:F77)</f>
        <v>-7</v>
      </c>
      <c r="H77" s="19">
        <v>4</v>
      </c>
      <c r="I77" s="19">
        <v>1</v>
      </c>
      <c r="J77" s="16">
        <f>J75*J26</f>
        <v>-0.785</v>
      </c>
      <c r="K77" s="4" t="s">
        <v>187</v>
      </c>
      <c r="L77" s="3"/>
      <c r="M77" s="3"/>
    </row>
    <row r="78">
      <c r="A78" s="3"/>
      <c r="B78" s="15" t="s">
        <v>188</v>
      </c>
      <c r="C78" s="21">
        <f>C69-C77</f>
        <v>1580</v>
      </c>
      <c r="D78" s="21">
        <f>D69-D77</f>
        <v>1489</v>
      </c>
      <c r="E78" s="21">
        <f>E69-E77</f>
        <v>1570</v>
      </c>
      <c r="F78" s="21">
        <f>F69-F77</f>
        <v>1913</v>
      </c>
      <c r="G78" s="21">
        <f>G69-G77</f>
        <v>6552</v>
      </c>
      <c r="H78" s="21">
        <f>H69-H77</f>
        <v>1501</v>
      </c>
      <c r="I78" s="21">
        <f>I69-I77</f>
        <v>1368</v>
      </c>
      <c r="J78" s="43">
        <f>J69-J77</f>
        <v>1490.3807809528535</v>
      </c>
      <c r="K78" s="4"/>
      <c r="L78" s="3"/>
      <c r="M78" s="3"/>
    </row>
    <row r="79">
      <c r="A79" s="3"/>
      <c r="B79" s="56" t="s">
        <v>189</v>
      </c>
      <c r="C79" s="7">
        <f>IFERROR(IF(OR(C78&lt;0,C75&lt;0),"n.m.",C78/C75-1),"n/a")</f>
        <v>-0.06949352179034163</v>
      </c>
      <c r="D79" s="7">
        <f>IFERROR(IF(OR(D78&lt;0,D75&lt;0),"n.m.",D78/D75-1),"n/a")</f>
        <v>-0.12668621700879767</v>
      </c>
      <c r="E79" s="7">
        <f>IFERROR(IF(OR(E78&lt;0,E75&lt;0),"n.m.",E78/E75-1),"n/a")</f>
        <v>-0.03503380454824834</v>
      </c>
      <c r="F79" s="7">
        <f>IFERROR(IF(OR(F78&lt;0,F75&lt;0),"n.m.",F78/F75-1),"n/a")</f>
        <v>-0.01997950819672134</v>
      </c>
      <c r="G79" s="7">
        <f>IFERROR(IF(OR(G78&lt;0,G75&lt;0),"n.m.",G78/G75-1),"n/a")</f>
        <v>-0.06158693784016045</v>
      </c>
      <c r="H79" s="7">
        <f>IFERROR(IF(OR(H78&lt;0,H75&lt;0),"n.m.",H78/H75-1),"n/a")</f>
        <v>-0.04698412698412702</v>
      </c>
      <c r="I79" s="7">
        <f>IFERROR(IF(OR(I78&lt;0,I75&lt;0),"n.m.",I78/I75-1),"n/a")</f>
        <v>-0.08064516129032262</v>
      </c>
      <c r="J79" s="25">
        <f>IFERROR(IF(OR(J78&lt;0,J75&lt;0),"n.m.",J78/J75-1),"n/a")</f>
        <v>-0.05071287837397864</v>
      </c>
      <c r="K79" s="4"/>
      <c r="L79" s="3"/>
      <c r="M79" s="3"/>
    </row>
    <row r="80">
      <c r="A80" s="3"/>
      <c r="B80" s="3"/>
      <c r="C80" s="1"/>
      <c r="D80" s="1"/>
      <c r="E80" s="1"/>
      <c r="F80" s="1"/>
      <c r="G80" s="1"/>
      <c r="H80" s="1"/>
      <c r="I80" s="1"/>
      <c r="J80" s="16"/>
      <c r="K80" s="4"/>
      <c r="L80" s="3"/>
      <c r="M80" s="3"/>
    </row>
    <row r="81">
      <c r="A81" s="3"/>
      <c r="B81" s="15" t="s">
        <v>190</v>
      </c>
      <c r="C81" s="5"/>
      <c r="D81" s="5"/>
      <c r="E81" s="5"/>
      <c r="F81" s="5"/>
      <c r="G81" s="5"/>
      <c r="H81" s="5"/>
      <c r="I81" s="5"/>
      <c r="J81" s="22"/>
      <c r="K81" s="4"/>
      <c r="L81" s="3"/>
      <c r="M81" s="3"/>
    </row>
    <row r="82">
      <c r="A82" s="3"/>
      <c r="B82" s="29" t="s">
        <v>191</v>
      </c>
      <c r="C82" s="19">
        <v>24</v>
      </c>
      <c r="D82" s="19">
        <v>91</v>
      </c>
      <c r="E82" s="19">
        <v>32</v>
      </c>
      <c r="F82" s="19">
        <v>197</v>
      </c>
      <c r="G82" s="1">
        <f>SUM(C82:F82)</f>
        <v>344</v>
      </c>
      <c r="H82" s="19">
        <v>75</v>
      </c>
      <c r="I82" s="19">
        <v>26</v>
      </c>
      <c r="J82" s="16">
        <f>AVERAGE(H82:I82)</f>
        <v>50.5</v>
      </c>
      <c r="K82" s="4" t="s">
        <v>192</v>
      </c>
      <c r="L82" s="3"/>
      <c r="M82" s="3"/>
    </row>
    <row r="83">
      <c r="A83" s="3"/>
      <c r="B83" s="49" t="s">
        <v>77</v>
      </c>
      <c r="C83" s="7" t="s">
        <v>44</v>
      </c>
      <c r="D83" s="7" t="s">
        <v>44</v>
      </c>
      <c r="E83" s="7" t="s">
        <v>44</v>
      </c>
      <c r="F83" s="7" t="s">
        <v>44</v>
      </c>
      <c r="G83" s="7" t="s">
        <v>44</v>
      </c>
      <c r="H83" s="7">
        <f>IFERROR(IF(OR(H82&lt;0,C82&lt;0),"n.m.",H82/C82-1),"n/a")</f>
        <v>2.125</v>
      </c>
      <c r="I83" s="7">
        <f>IFERROR(IF(OR(I82&lt;0,D82&lt;0),"n.m.",I82/D82-1),"n/a")</f>
        <v>-0.7142857142857143</v>
      </c>
      <c r="J83" s="25">
        <f>IFERROR(IF(OR(J82&lt;0,E82&lt;0),"n.m.",J82/E82-1),"n/a")</f>
        <v>0.578125</v>
      </c>
      <c r="K83" s="4"/>
      <c r="L83" s="3"/>
      <c r="M83" s="3"/>
    </row>
    <row r="84">
      <c r="A84" s="3"/>
      <c r="B84" s="63" t="s">
        <v>94</v>
      </c>
      <c r="C84" s="1" t="s">
        <v>44</v>
      </c>
      <c r="D84" s="1">
        <f>IFERROR(D82-C82,"n/a")</f>
        <v>67</v>
      </c>
      <c r="E84" s="1">
        <f>IFERROR(E82-D82,"n/a")</f>
        <v>-59</v>
      </c>
      <c r="F84" s="1">
        <f>IFERROR(F82-E82,"n/a")</f>
        <v>165</v>
      </c>
      <c r="G84" s="1" t="s">
        <v>44</v>
      </c>
      <c r="H84" s="1">
        <f>IFERROR(H82-F82,"n/a")</f>
        <v>-122</v>
      </c>
      <c r="I84" s="1">
        <f>IFERROR(I82-H82,"n/a")</f>
        <v>-49</v>
      </c>
      <c r="J84" s="16">
        <f>IFERROR(J82-I82,"n/a")</f>
        <v>24.5</v>
      </c>
      <c r="K84" s="4"/>
      <c r="L84" s="3"/>
      <c r="M84" s="3"/>
    </row>
    <row r="85">
      <c r="A85" s="3"/>
      <c r="B85" s="29" t="s">
        <v>193</v>
      </c>
      <c r="C85" s="19">
        <v>15</v>
      </c>
      <c r="D85" s="19">
        <v>6</v>
      </c>
      <c r="E85" s="19">
        <v>2</v>
      </c>
      <c r="F85" s="19">
        <v>5</v>
      </c>
      <c r="G85" s="1">
        <f>SUM(C85:F85)</f>
        <v>28</v>
      </c>
      <c r="H85" s="19">
        <v>1</v>
      </c>
      <c r="I85" s="19">
        <v>1</v>
      </c>
      <c r="J85" s="51">
        <v>0</v>
      </c>
      <c r="K85" s="4" t="s">
        <v>194</v>
      </c>
      <c r="L85" s="3"/>
      <c r="M85" s="3"/>
    </row>
    <row r="86">
      <c r="A86" s="3"/>
      <c r="B86" s="29" t="s">
        <v>195</v>
      </c>
      <c r="C86" s="19">
        <v>0</v>
      </c>
      <c r="D86" s="19">
        <v>0</v>
      </c>
      <c r="E86" s="19">
        <v>0</v>
      </c>
      <c r="F86" s="19">
        <v>0</v>
      </c>
      <c r="G86" s="1">
        <f>SUM(C86:F86)</f>
        <v>0</v>
      </c>
      <c r="H86" s="19">
        <v>0</v>
      </c>
      <c r="I86" s="19">
        <v>0</v>
      </c>
      <c r="J86" s="51">
        <v>0</v>
      </c>
      <c r="K86" s="4" t="s">
        <v>194</v>
      </c>
      <c r="L86" s="3"/>
      <c r="M86" s="3"/>
    </row>
    <row r="87">
      <c r="A87" s="3"/>
      <c r="B87" s="29" t="s">
        <v>196</v>
      </c>
      <c r="C87" s="19">
        <v>0</v>
      </c>
      <c r="D87" s="19">
        <v>0</v>
      </c>
      <c r="E87" s="19">
        <v>0</v>
      </c>
      <c r="F87" s="19">
        <v>0</v>
      </c>
      <c r="G87" s="1">
        <f>SUM(C87:F87)</f>
        <v>0</v>
      </c>
      <c r="H87" s="19">
        <v>0</v>
      </c>
      <c r="I87" s="19">
        <v>0</v>
      </c>
      <c r="J87" s="51">
        <v>0</v>
      </c>
      <c r="K87" s="4" t="s">
        <v>194</v>
      </c>
      <c r="L87" s="3"/>
      <c r="M87" s="3"/>
    </row>
    <row r="88">
      <c r="A88" s="3"/>
      <c r="B88" s="29" t="s">
        <v>197</v>
      </c>
      <c r="C88" s="19">
        <v>0</v>
      </c>
      <c r="D88" s="19">
        <v>0</v>
      </c>
      <c r="E88" s="19">
        <v>0</v>
      </c>
      <c r="F88" s="19">
        <v>0</v>
      </c>
      <c r="G88" s="1">
        <f>SUM(C88:F88)</f>
        <v>0</v>
      </c>
      <c r="H88" s="19">
        <v>0</v>
      </c>
      <c r="I88" s="19">
        <v>0</v>
      </c>
      <c r="J88" s="51">
        <v>0</v>
      </c>
      <c r="K88" s="4" t="s">
        <v>194</v>
      </c>
      <c r="L88" s="3"/>
      <c r="M88" s="3"/>
    </row>
    <row r="89">
      <c r="A89" s="3"/>
      <c r="B89" s="15" t="s">
        <v>198</v>
      </c>
      <c r="C89" s="21">
        <f>C82+C85+C86+C87+C88</f>
        <v>39</v>
      </c>
      <c r="D89" s="21">
        <f>D82+D85+D86+D87+D88</f>
        <v>97</v>
      </c>
      <c r="E89" s="21">
        <f>E82+E85+E86+E87+E88</f>
        <v>34</v>
      </c>
      <c r="F89" s="21">
        <f>F82+F85+F86+F87+F88</f>
        <v>202</v>
      </c>
      <c r="G89" s="21">
        <f>G82+G85+G86+G87+G88</f>
        <v>372</v>
      </c>
      <c r="H89" s="21">
        <f>H82+H85+H86+H87+H88</f>
        <v>76</v>
      </c>
      <c r="I89" s="21">
        <f>I82+I85+I86+I87+I88</f>
        <v>27</v>
      </c>
      <c r="J89" s="43">
        <f>J82+J85+J86+J87+J88</f>
        <v>50.5</v>
      </c>
      <c r="K89" s="4"/>
      <c r="L89" s="3"/>
      <c r="M89" s="3"/>
    </row>
    <row r="90">
      <c r="A90" s="3"/>
      <c r="B90" s="15" t="s">
        <v>199</v>
      </c>
      <c r="C90" s="21">
        <f>C69-C89</f>
        <v>1536</v>
      </c>
      <c r="D90" s="21">
        <f>D69-D89</f>
        <v>1391</v>
      </c>
      <c r="E90" s="21">
        <f>E69-E89</f>
        <v>1536</v>
      </c>
      <c r="F90" s="21">
        <f>F69-F89</f>
        <v>1710</v>
      </c>
      <c r="G90" s="21">
        <f>G69-G89</f>
        <v>6173</v>
      </c>
      <c r="H90" s="21">
        <f>H69-H89</f>
        <v>1429</v>
      </c>
      <c r="I90" s="21">
        <f>I69-I89</f>
        <v>1342</v>
      </c>
      <c r="J90" s="43">
        <f>J69-J89</f>
        <v>1439.0957809528534</v>
      </c>
      <c r="K90" s="4"/>
      <c r="L90" s="3"/>
      <c r="M90" s="3"/>
    </row>
    <row r="91">
      <c r="A91" s="3"/>
      <c r="B91" s="56" t="s">
        <v>77</v>
      </c>
      <c r="C91" s="7" t="s">
        <v>44</v>
      </c>
      <c r="D91" s="7" t="s">
        <v>44</v>
      </c>
      <c r="E91" s="7" t="s">
        <v>44</v>
      </c>
      <c r="F91" s="7" t="s">
        <v>44</v>
      </c>
      <c r="G91" s="7" t="s">
        <v>44</v>
      </c>
      <c r="H91" s="7">
        <f>IFERROR(IF(OR(H90&lt;0,C90&lt;0),"n.m.",H90/C90-1),"n/a")</f>
        <v>-0.06966145833333337</v>
      </c>
      <c r="I91" s="7">
        <f>IFERROR(IF(OR(I90&lt;0,D90&lt;0),"n.m.",I90/D90-1),"n/a")</f>
        <v>-0.0352264557872034</v>
      </c>
      <c r="J91" s="25">
        <f>IFERROR(IF(OR(J90&lt;0,E90&lt;0),"n.m.",J90/E90-1),"n/a")</f>
        <v>-0.06308868427548608</v>
      </c>
      <c r="K91" s="4"/>
      <c r="L91" s="3"/>
      <c r="M91" s="3"/>
    </row>
    <row r="92">
      <c r="A92" s="3"/>
      <c r="B92" s="29" t="s">
        <v>94</v>
      </c>
      <c r="C92" s="1" t="s">
        <v>44</v>
      </c>
      <c r="D92" s="1">
        <f>IFERROR(D90-C90,"n/a")</f>
        <v>-145</v>
      </c>
      <c r="E92" s="1">
        <f>IFERROR(E90-D90,"n/a")</f>
        <v>145</v>
      </c>
      <c r="F92" s="1">
        <f>IFERROR(F90-E90,"n/a")</f>
        <v>174</v>
      </c>
      <c r="G92" s="1" t="s">
        <v>44</v>
      </c>
      <c r="H92" s="1">
        <f>IFERROR(H90-F90,"n/a")</f>
        <v>-281</v>
      </c>
      <c r="I92" s="1">
        <f>IFERROR(I90-H90,"n/a")</f>
        <v>-87</v>
      </c>
      <c r="J92" s="16">
        <f>IFERROR(J90-I90,"n/a")</f>
        <v>97.09578095285337</v>
      </c>
      <c r="K92" s="4"/>
      <c r="L92" s="3"/>
      <c r="M92" s="3"/>
    </row>
    <row r="93">
      <c r="A93" s="3"/>
      <c r="B93" s="12" t="s">
        <v>200</v>
      </c>
      <c r="C93" s="7">
        <f>IFERROR(C90/C51,"n/a")</f>
        <v>0.2472235634958957</v>
      </c>
      <c r="D93" s="7">
        <f>IFERROR(D90/D51,"n/a")</f>
        <v>0.21479308214947498</v>
      </c>
      <c r="E93" s="7">
        <f>IFERROR(E90/E51,"n/a")</f>
        <v>0.2353662273980999</v>
      </c>
      <c r="F93" s="7">
        <f>IFERROR(F90/F51,"n/a")</f>
        <v>0.20570191266690727</v>
      </c>
      <c r="G93" s="7">
        <f>IFERROR(G90/G51,"n/a")</f>
        <v>0.2242444056960186</v>
      </c>
      <c r="H93" s="7">
        <f>IFERROR(H90/H51,"n/a")</f>
        <v>0.22567909033480732</v>
      </c>
      <c r="I93" s="7">
        <f>IFERROR(I90/I51,"n/a")</f>
        <v>0.21074120603015076</v>
      </c>
      <c r="J93" s="25">
        <f>IFERROR(J90/J51,"n/a")</f>
        <v>0.2228572832629297</v>
      </c>
      <c r="K93" s="4"/>
      <c r="L93" s="3"/>
      <c r="M93" s="3"/>
    </row>
    <row r="94">
      <c r="A94" s="3"/>
      <c r="B94" s="56" t="s">
        <v>109</v>
      </c>
      <c r="C94" s="77" t="s">
        <v>44</v>
      </c>
      <c r="D94" s="77" t="s">
        <v>44</v>
      </c>
      <c r="E94" s="77" t="s">
        <v>44</v>
      </c>
      <c r="F94" s="77" t="s">
        <v>44</v>
      </c>
      <c r="G94" s="77" t="s">
        <v>44</v>
      </c>
      <c r="H94" s="77">
        <f>IFERROR((H93-C93)*10000,"n/a")</f>
        <v>-215.44473161088374</v>
      </c>
      <c r="I94" s="77">
        <f>IFERROR((I93-D93)*10000,"n/a")</f>
        <v>-40.51876119324227</v>
      </c>
      <c r="J94" s="78">
        <f>IFERROR((J93-E93)*10000,"n/a")</f>
        <v>-125.08944135170202</v>
      </c>
      <c r="K94" s="4"/>
      <c r="L94" s="3"/>
      <c r="M94" s="3"/>
    </row>
    <row r="95">
      <c r="A95" s="3"/>
      <c r="B95" s="56" t="s">
        <v>110</v>
      </c>
      <c r="C95" s="77" t="s">
        <v>44</v>
      </c>
      <c r="D95" s="77">
        <f>IFERROR((D93-C93)*10000,"n/a")</f>
        <v>-324.3048134642071</v>
      </c>
      <c r="E95" s="77">
        <f>IFERROR((E93-D93)*10000,"n/a")</f>
        <v>205.73145248624914</v>
      </c>
      <c r="F95" s="77">
        <f>IFERROR((F93-E93)*10000,"n/a")</f>
        <v>-296.6431473119263</v>
      </c>
      <c r="G95" s="77" t="s">
        <v>44</v>
      </c>
      <c r="H95" s="77">
        <f>IFERROR((H93-F93)*10000,"n/a")</f>
        <v>199.77177667900054</v>
      </c>
      <c r="I95" s="77">
        <f>IFERROR((I93-H93)*10000,"n/a")</f>
        <v>-149.37884304656563</v>
      </c>
      <c r="J95" s="78">
        <f>IFERROR((J93-I93)*10000,"n/a")</f>
        <v>121.16077232778937</v>
      </c>
      <c r="K95" s="4"/>
      <c r="L95" s="3"/>
      <c r="M95" s="3"/>
    </row>
    <row r="96">
      <c r="A96" s="3"/>
      <c r="B96" s="3" t="s">
        <v>201</v>
      </c>
      <c r="C96" s="19">
        <v>1536</v>
      </c>
      <c r="D96" s="19">
        <v>1391</v>
      </c>
      <c r="E96" s="19">
        <v>1536</v>
      </c>
      <c r="F96" s="19">
        <v>1710</v>
      </c>
      <c r="G96" s="19">
        <v>6173</v>
      </c>
      <c r="H96" s="19">
        <v>1429</v>
      </c>
      <c r="I96" s="19">
        <v>1342</v>
      </c>
      <c r="J96" s="16" t="s">
        <v>44</v>
      </c>
      <c r="K96" s="4" t="s">
        <v>202</v>
      </c>
      <c r="L96" s="3"/>
      <c r="M96" s="3"/>
    </row>
    <row r="97">
      <c r="A97" s="3"/>
      <c r="B97" s="12" t="s">
        <v>203</v>
      </c>
      <c r="C97" s="52">
        <f>C90-C96</f>
        <v>0</v>
      </c>
      <c r="D97" s="52">
        <f>D90-D96</f>
        <v>0</v>
      </c>
      <c r="E97" s="52">
        <f>E90-E96</f>
        <v>0</v>
      </c>
      <c r="F97" s="52">
        <f>F90-F96</f>
        <v>0</v>
      </c>
      <c r="G97" s="52">
        <f>G90-G96</f>
        <v>0</v>
      </c>
      <c r="H97" s="52">
        <f>H90-H96</f>
        <v>0</v>
      </c>
      <c r="I97" s="52">
        <f>I90-I96</f>
        <v>0</v>
      </c>
      <c r="J97" s="62" t="s">
        <v>44</v>
      </c>
      <c r="K97" s="4"/>
      <c r="L97" s="3"/>
      <c r="M97" s="3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M9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204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141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3" t="s">
        <v>142</v>
      </c>
      <c r="C10" s="19">
        <v>5874</v>
      </c>
      <c r="D10" s="19">
        <v>6811</v>
      </c>
      <c r="E10" s="19">
        <v>7175</v>
      </c>
      <c r="F10" s="19">
        <v>7909</v>
      </c>
      <c r="G10" s="1">
        <f>SUM(C10:F10)</f>
        <v>27769</v>
      </c>
      <c r="H10" s="1">
        <f>C33</f>
        <v>5876</v>
      </c>
      <c r="I10" s="1">
        <f>D33</f>
        <v>6796</v>
      </c>
      <c r="J10" s="16">
        <f>E33</f>
        <v>7327</v>
      </c>
      <c r="K10" s="4" t="s">
        <v>143</v>
      </c>
      <c r="L10" s="3"/>
      <c r="M10" s="3"/>
    </row>
    <row r="11">
      <c r="A11" s="3"/>
      <c r="B11" s="29" t="s">
        <v>144</v>
      </c>
      <c r="C11" s="19">
        <v>0</v>
      </c>
      <c r="D11" s="19">
        <v>0</v>
      </c>
      <c r="E11" s="19">
        <v>0</v>
      </c>
      <c r="F11" s="19">
        <v>-6</v>
      </c>
      <c r="G11" s="1">
        <f>SUM(C11:F11)</f>
        <v>-6</v>
      </c>
      <c r="H11" s="19">
        <v>-11</v>
      </c>
      <c r="I11" s="19">
        <v>-11</v>
      </c>
      <c r="J11" s="16">
        <f>AVERAGE(H11:I11)</f>
        <v>-11</v>
      </c>
      <c r="K11" s="4" t="s">
        <v>145</v>
      </c>
      <c r="L11" s="3"/>
      <c r="M11" s="3"/>
    </row>
    <row r="12">
      <c r="A12" s="3"/>
      <c r="B12" s="15" t="s">
        <v>146</v>
      </c>
      <c r="C12" s="21">
        <f>C10+C11</f>
        <v>5874</v>
      </c>
      <c r="D12" s="21">
        <f>D10+D11</f>
        <v>6811</v>
      </c>
      <c r="E12" s="21">
        <f>E10+E11</f>
        <v>7175</v>
      </c>
      <c r="F12" s="21">
        <f>F10+F11</f>
        <v>7903</v>
      </c>
      <c r="G12" s="21">
        <f>G10+G11</f>
        <v>27763</v>
      </c>
      <c r="H12" s="21">
        <f>H10+H11</f>
        <v>5865</v>
      </c>
      <c r="I12" s="21">
        <f>I10+I11</f>
        <v>6785</v>
      </c>
      <c r="J12" s="43">
        <f>J10+J11</f>
        <v>7316</v>
      </c>
      <c r="K12" s="4"/>
      <c r="L12" s="3"/>
      <c r="M12" s="3"/>
    </row>
    <row r="13">
      <c r="A13" s="3"/>
      <c r="B13" s="12" t="s">
        <v>147</v>
      </c>
      <c r="C13" s="9">
        <v>-0.01</v>
      </c>
      <c r="D13" s="9">
        <v>-0.04</v>
      </c>
      <c r="E13" s="9">
        <v>-0.04</v>
      </c>
      <c r="F13" s="9">
        <v>-0.05</v>
      </c>
      <c r="G13" s="9">
        <v>-0.035</v>
      </c>
      <c r="H13" s="9">
        <v>-0.04</v>
      </c>
      <c r="I13" s="9">
        <v>-0.02</v>
      </c>
      <c r="J13" s="79">
        <v>-0.02</v>
      </c>
      <c r="K13" s="4" t="s">
        <v>148</v>
      </c>
      <c r="L13" s="3"/>
      <c r="M13" s="3"/>
    </row>
    <row r="14">
      <c r="A14" s="3"/>
      <c r="B14" s="56" t="s">
        <v>109</v>
      </c>
      <c r="C14" s="77" t="s">
        <v>44</v>
      </c>
      <c r="D14" s="77" t="s">
        <v>44</v>
      </c>
      <c r="E14" s="77" t="s">
        <v>44</v>
      </c>
      <c r="F14" s="77" t="s">
        <v>44</v>
      </c>
      <c r="G14" s="77" t="s">
        <v>44</v>
      </c>
      <c r="H14" s="77">
        <f>IFERROR((H13-C13)*10000,"n/a")</f>
        <v>-300</v>
      </c>
      <c r="I14" s="77">
        <f>IFERROR((I13-D13)*10000,"n/a")</f>
        <v>200</v>
      </c>
      <c r="J14" s="78">
        <f>IFERROR((J13-E13)*10000,"n/a")</f>
        <v>200</v>
      </c>
      <c r="K14" s="4"/>
      <c r="L14" s="3"/>
      <c r="M14" s="3"/>
    </row>
    <row r="15">
      <c r="A15" s="3"/>
      <c r="B15" s="56" t="s">
        <v>110</v>
      </c>
      <c r="C15" s="77" t="s">
        <v>44</v>
      </c>
      <c r="D15" s="77">
        <f>IFERROR((D13-C13)*10000,"n/a")</f>
        <v>-300</v>
      </c>
      <c r="E15" s="77">
        <f>IFERROR((E13-D13)*10000,"n/a")</f>
        <v>0</v>
      </c>
      <c r="F15" s="77">
        <f>IFERROR((F13-E13)*10000,"n/a")</f>
        <v>-100.00000000000001</v>
      </c>
      <c r="G15" s="77" t="s">
        <v>44</v>
      </c>
      <c r="H15" s="77">
        <f>IFERROR((H13-F13)*10000,"n/a")</f>
        <v>100.00000000000001</v>
      </c>
      <c r="I15" s="77">
        <f>IFERROR((I13-H13)*10000,"n/a")</f>
        <v>200</v>
      </c>
      <c r="J15" s="78">
        <f>IFERROR((J13-I13)*10000,"n/a")</f>
        <v>0</v>
      </c>
      <c r="K15" s="4"/>
      <c r="L15" s="3"/>
      <c r="M15" s="3"/>
    </row>
    <row r="16">
      <c r="A16" s="3"/>
      <c r="B16" s="12" t="s">
        <v>149</v>
      </c>
      <c r="C16" s="9">
        <v>0.02</v>
      </c>
      <c r="D16" s="9">
        <v>0.045</v>
      </c>
      <c r="E16" s="9">
        <v>0.06</v>
      </c>
      <c r="F16" s="9">
        <v>0.07</v>
      </c>
      <c r="G16" s="9">
        <v>0.05</v>
      </c>
      <c r="H16" s="9">
        <v>0.06</v>
      </c>
      <c r="I16" s="9">
        <v>0.03</v>
      </c>
      <c r="J16" s="79">
        <v>0.03</v>
      </c>
      <c r="K16" s="4" t="s">
        <v>150</v>
      </c>
      <c r="L16" s="3"/>
      <c r="M16" s="3"/>
    </row>
    <row r="17">
      <c r="A17" s="3"/>
      <c r="B17" s="56" t="s">
        <v>109</v>
      </c>
      <c r="C17" s="77" t="s">
        <v>44</v>
      </c>
      <c r="D17" s="77" t="s">
        <v>44</v>
      </c>
      <c r="E17" s="77" t="s">
        <v>44</v>
      </c>
      <c r="F17" s="77" t="s">
        <v>44</v>
      </c>
      <c r="G17" s="77" t="s">
        <v>44</v>
      </c>
      <c r="H17" s="77">
        <f>IFERROR((H16-C16)*10000,"n/a")</f>
        <v>399.99999999999994</v>
      </c>
      <c r="I17" s="77">
        <f>IFERROR((I16-D16)*10000,"n/a")</f>
        <v>-150</v>
      </c>
      <c r="J17" s="78">
        <f>IFERROR((J16-E16)*10000,"n/a")</f>
        <v>-300</v>
      </c>
      <c r="K17" s="4"/>
      <c r="L17" s="3"/>
      <c r="M17" s="3"/>
    </row>
    <row r="18">
      <c r="A18" s="3"/>
      <c r="B18" s="56" t="s">
        <v>110</v>
      </c>
      <c r="C18" s="77" t="s">
        <v>44</v>
      </c>
      <c r="D18" s="77">
        <f>IFERROR((D16-C16)*10000,"n/a")</f>
        <v>249.99999999999997</v>
      </c>
      <c r="E18" s="77">
        <f>IFERROR((E16-D16)*10000,"n/a")</f>
        <v>150</v>
      </c>
      <c r="F18" s="77">
        <f>IFERROR((F16-E16)*10000,"n/a")</f>
        <v>100.00000000000009</v>
      </c>
      <c r="G18" s="77" t="s">
        <v>44</v>
      </c>
      <c r="H18" s="77">
        <f>IFERROR((H16-F16)*10000,"n/a")</f>
        <v>-100.00000000000009</v>
      </c>
      <c r="I18" s="77">
        <f>IFERROR((I16-H16)*10000,"n/a")</f>
        <v>-300</v>
      </c>
      <c r="J18" s="78">
        <f>IFERROR((J16-I16)*10000,"n/a")</f>
        <v>0</v>
      </c>
      <c r="K18" s="4"/>
      <c r="L18" s="3"/>
      <c r="M18" s="3"/>
    </row>
    <row r="19">
      <c r="A19" s="3"/>
      <c r="B19" s="12" t="s">
        <v>151</v>
      </c>
      <c r="C19" s="9">
        <v>0.01</v>
      </c>
      <c r="D19" s="9">
        <v>0.01</v>
      </c>
      <c r="E19" s="9">
        <v>0.02</v>
      </c>
      <c r="F19" s="9">
        <v>0.02</v>
      </c>
      <c r="G19" s="9">
        <v>0.01</v>
      </c>
      <c r="H19" s="9">
        <v>0.02</v>
      </c>
      <c r="I19" s="9">
        <v>0.01</v>
      </c>
      <c r="J19" s="25">
        <f>J13+J16</f>
        <v>0.009999999999999998</v>
      </c>
      <c r="K19" s="4" t="s">
        <v>152</v>
      </c>
      <c r="L19" s="3"/>
      <c r="M19" s="3"/>
    </row>
    <row r="20">
      <c r="A20" s="3"/>
      <c r="B20" s="56" t="s">
        <v>109</v>
      </c>
      <c r="C20" s="77" t="s">
        <v>44</v>
      </c>
      <c r="D20" s="77" t="s">
        <v>44</v>
      </c>
      <c r="E20" s="77" t="s">
        <v>44</v>
      </c>
      <c r="F20" s="77" t="s">
        <v>44</v>
      </c>
      <c r="G20" s="77" t="s">
        <v>44</v>
      </c>
      <c r="H20" s="77">
        <f>IFERROR((H19-C19)*10000,"n/a")</f>
        <v>100</v>
      </c>
      <c r="I20" s="77">
        <f>IFERROR((I19-D19)*10000,"n/a")</f>
        <v>0</v>
      </c>
      <c r="J20" s="78">
        <f>IFERROR((J19-E19)*10000,"n/a")</f>
        <v>-100.00000000000001</v>
      </c>
      <c r="K20" s="4"/>
      <c r="L20" s="3"/>
      <c r="M20" s="3"/>
    </row>
    <row r="21">
      <c r="A21" s="3"/>
      <c r="B21" s="56" t="s">
        <v>110</v>
      </c>
      <c r="C21" s="77" t="s">
        <v>44</v>
      </c>
      <c r="D21" s="77">
        <f>IFERROR((D19-C19)*10000,"n/a")</f>
        <v>0</v>
      </c>
      <c r="E21" s="77">
        <f>IFERROR((E19-D19)*10000,"n/a")</f>
        <v>100</v>
      </c>
      <c r="F21" s="77">
        <f>IFERROR((F19-E19)*10000,"n/a")</f>
        <v>0</v>
      </c>
      <c r="G21" s="77" t="s">
        <v>44</v>
      </c>
      <c r="H21" s="77">
        <f>IFERROR((H19-F19)*10000,"n/a")</f>
        <v>0</v>
      </c>
      <c r="I21" s="77">
        <f>IFERROR((I19-H19)*10000,"n/a")</f>
        <v>-100</v>
      </c>
      <c r="J21" s="78">
        <f>IFERROR((J19-I19)*10000,"n/a")</f>
        <v>0</v>
      </c>
      <c r="K21" s="4"/>
      <c r="L21" s="3"/>
      <c r="M21" s="3"/>
    </row>
    <row r="22">
      <c r="A22" s="3"/>
      <c r="B22" s="3" t="s">
        <v>98</v>
      </c>
      <c r="C22" s="1">
        <f>C33-C25-C29</f>
        <v>5907</v>
      </c>
      <c r="D22" s="1">
        <f>D33-D25-D29</f>
        <v>6868</v>
      </c>
      <c r="E22" s="1">
        <f>E33-E25-E29</f>
        <v>7305</v>
      </c>
      <c r="F22" s="1">
        <f>F33-F25-F29</f>
        <v>8037</v>
      </c>
      <c r="G22" s="1">
        <f>SUM(C22:F22)</f>
        <v>28117</v>
      </c>
      <c r="H22" s="1">
        <f>H33-H25-H29</f>
        <v>5968</v>
      </c>
      <c r="I22" s="1">
        <f>I33-I25-I29</f>
        <v>6827</v>
      </c>
      <c r="J22" s="16">
        <f>J12*(1+J19)</f>
        <v>7389.16</v>
      </c>
      <c r="K22" s="4" t="s">
        <v>153</v>
      </c>
      <c r="L22" s="3"/>
      <c r="M22" s="3"/>
    </row>
    <row r="23">
      <c r="A23" s="3"/>
      <c r="B23" s="56" t="s">
        <v>154</v>
      </c>
      <c r="C23" s="7">
        <f>IFERROR(IF(OR(C22&lt;0,C12&lt;0),"n.m.",C22/C12-1),"n/a")</f>
        <v>0.00561797752808979</v>
      </c>
      <c r="D23" s="7">
        <f>IFERROR(IF(OR(D22&lt;0,D12&lt;0),"n.m.",D22/D12-1),"n/a")</f>
        <v>0.008368815151960085</v>
      </c>
      <c r="E23" s="7">
        <f>IFERROR(IF(OR(E22&lt;0,E12&lt;0),"n.m.",E22/E12-1),"n/a")</f>
        <v>0.018118466898954688</v>
      </c>
      <c r="F23" s="7">
        <f>IFERROR(IF(OR(F22&lt;0,F12&lt;0),"n.m.",F22/F12-1),"n/a")</f>
        <v>0.01695558648614459</v>
      </c>
      <c r="G23" s="7">
        <f>IFERROR(IF(OR(G22&lt;0,G12&lt;0),"n.m.",G22/G12-1),"n/a")</f>
        <v>0.012750783416777711</v>
      </c>
      <c r="H23" s="7">
        <f>IFERROR(IF(OR(H22&lt;0,H12&lt;0),"n.m.",H22/H12-1),"n/a")</f>
        <v>0.017561807331628376</v>
      </c>
      <c r="I23" s="7">
        <f>IFERROR(IF(OR(I22&lt;0,I12&lt;0),"n.m.",I22/I12-1),"n/a")</f>
        <v>0.006190125276344771</v>
      </c>
      <c r="J23" s="25">
        <f>IFERROR(IF(OR(J22&lt;0,J12&lt;0),"n.m.",J22/J12-1),"n/a")</f>
        <v>0.010000000000000009</v>
      </c>
      <c r="K23" s="4"/>
      <c r="L23" s="3"/>
      <c r="M23" s="3"/>
    </row>
    <row r="24">
      <c r="A24" s="3"/>
      <c r="B24" s="29" t="s">
        <v>94</v>
      </c>
      <c r="C24" s="1" t="s">
        <v>44</v>
      </c>
      <c r="D24" s="1">
        <f>IFERROR(D22-C22,"n/a")</f>
        <v>961</v>
      </c>
      <c r="E24" s="1">
        <f>IFERROR(E22-D22,"n/a")</f>
        <v>437</v>
      </c>
      <c r="F24" s="1">
        <f>IFERROR(F22-E22,"n/a")</f>
        <v>732</v>
      </c>
      <c r="G24" s="1" t="s">
        <v>44</v>
      </c>
      <c r="H24" s="1">
        <f>IFERROR(H22-F22,"n/a")</f>
        <v>-2069</v>
      </c>
      <c r="I24" s="1">
        <f>IFERROR(I22-H22,"n/a")</f>
        <v>859</v>
      </c>
      <c r="J24" s="16">
        <f>IFERROR(J22-I22,"n/a")</f>
        <v>562.1599999999999</v>
      </c>
      <c r="K24" s="4"/>
      <c r="L24" s="3"/>
      <c r="M24" s="3"/>
    </row>
    <row r="25">
      <c r="A25" s="3"/>
      <c r="B25" s="3" t="s">
        <v>99</v>
      </c>
      <c r="C25" s="19">
        <v>-24</v>
      </c>
      <c r="D25" s="19">
        <v>-8</v>
      </c>
      <c r="E25" s="19">
        <v>-2</v>
      </c>
      <c r="F25" s="19">
        <v>-2</v>
      </c>
      <c r="G25" s="1">
        <f>SUM(C25:F25)</f>
        <v>-36</v>
      </c>
      <c r="H25" s="19">
        <v>18</v>
      </c>
      <c r="I25" s="19">
        <v>4</v>
      </c>
      <c r="J25" s="16">
        <f>J10*J26</f>
        <v>-3.6635</v>
      </c>
      <c r="K25" s="4" t="s">
        <v>155</v>
      </c>
      <c r="L25" s="3"/>
      <c r="M25" s="3"/>
    </row>
    <row r="26">
      <c r="A26" s="3"/>
      <c r="B26" s="56" t="s">
        <v>156</v>
      </c>
      <c r="C26" s="7">
        <f>IFERROR(C25/C10,"n/a")</f>
        <v>-0.0040858018386108275</v>
      </c>
      <c r="D26" s="7">
        <f>IFERROR(D25/D10,"n/a")</f>
        <v>-0.0011745705476435178</v>
      </c>
      <c r="E26" s="7">
        <f>IFERROR(E25/E10,"n/a")</f>
        <v>-0.00027874564459930314</v>
      </c>
      <c r="F26" s="7">
        <f>IFERROR(F25/F10,"n/a")</f>
        <v>-0.00025287646984448094</v>
      </c>
      <c r="G26" s="7">
        <f>IFERROR(G25/G10,"n/a")</f>
        <v>-0.0012964096654542836</v>
      </c>
      <c r="H26" s="7">
        <f>IFERROR(H25/H10,"n/a")</f>
        <v>0.0030633083730428863</v>
      </c>
      <c r="I26" s="7">
        <f>IFERROR(I25/I10,"n/a")</f>
        <v>0.0005885815185403178</v>
      </c>
      <c r="J26" s="79">
        <v>-0.0005</v>
      </c>
      <c r="K26" s="4" t="s">
        <v>157</v>
      </c>
      <c r="L26" s="3"/>
      <c r="M26" s="3"/>
    </row>
    <row r="27">
      <c r="A27" s="3"/>
      <c r="B27" s="49" t="s">
        <v>109</v>
      </c>
      <c r="C27" s="77" t="s">
        <v>44</v>
      </c>
      <c r="D27" s="77" t="s">
        <v>44</v>
      </c>
      <c r="E27" s="77" t="s">
        <v>44</v>
      </c>
      <c r="F27" s="77" t="s">
        <v>44</v>
      </c>
      <c r="G27" s="77" t="s">
        <v>44</v>
      </c>
      <c r="H27" s="77">
        <f>IFERROR((H26-C26)*10000,"n/a")</f>
        <v>71.49110211653714</v>
      </c>
      <c r="I27" s="77">
        <f>IFERROR((I26-D26)*10000,"n/a")</f>
        <v>17.631520661838355</v>
      </c>
      <c r="J27" s="78">
        <f>IFERROR((J26-E26)*10000,"n/a")</f>
        <v>-2.212543554006969</v>
      </c>
      <c r="K27" s="4"/>
      <c r="L27" s="3"/>
      <c r="M27" s="3"/>
    </row>
    <row r="28">
      <c r="A28" s="3"/>
      <c r="B28" s="49" t="s">
        <v>110</v>
      </c>
      <c r="C28" s="77" t="s">
        <v>44</v>
      </c>
      <c r="D28" s="77">
        <f>IFERROR((D26-C26)*10000,"n/a")</f>
        <v>29.112312909673093</v>
      </c>
      <c r="E28" s="77">
        <f>IFERROR((E26-D26)*10000,"n/a")</f>
        <v>8.958249030442147</v>
      </c>
      <c r="F28" s="77">
        <f>IFERROR((F26-E26)*10000,"n/a")</f>
        <v>0.25869174754822194</v>
      </c>
      <c r="G28" s="77" t="s">
        <v>44</v>
      </c>
      <c r="H28" s="77">
        <f>IFERROR((H26-F26)*10000,"n/a")</f>
        <v>33.161848428873675</v>
      </c>
      <c r="I28" s="77">
        <f>IFERROR((I26-H26)*10000,"n/a")</f>
        <v>-24.747268545025687</v>
      </c>
      <c r="J28" s="78">
        <f>IFERROR((J26-I26)*10000,"n/a")</f>
        <v>-10.885815185403178</v>
      </c>
      <c r="K28" s="4"/>
      <c r="L28" s="3"/>
      <c r="M28" s="3"/>
    </row>
    <row r="29">
      <c r="A29" s="3"/>
      <c r="B29" s="3" t="s">
        <v>100</v>
      </c>
      <c r="C29" s="19">
        <v>-7</v>
      </c>
      <c r="D29" s="19">
        <v>-64</v>
      </c>
      <c r="E29" s="19">
        <v>24</v>
      </c>
      <c r="F29" s="19">
        <v>163</v>
      </c>
      <c r="G29" s="1">
        <f>SUM(C29:F29)</f>
        <v>116</v>
      </c>
      <c r="H29" s="19">
        <v>405</v>
      </c>
      <c r="I29" s="19">
        <v>412</v>
      </c>
      <c r="J29" s="16">
        <f>J10*J30</f>
        <v>293.08</v>
      </c>
      <c r="K29" s="4" t="s">
        <v>158</v>
      </c>
      <c r="L29" s="3"/>
      <c r="M29" s="3"/>
    </row>
    <row r="30">
      <c r="A30" s="3"/>
      <c r="B30" s="56" t="s">
        <v>159</v>
      </c>
      <c r="C30" s="7">
        <f>IFERROR(C29/C10,"n/a")</f>
        <v>-0.001191692202928158</v>
      </c>
      <c r="D30" s="7">
        <f>IFERROR(D29/D10,"n/a")</f>
        <v>-0.009396564381148142</v>
      </c>
      <c r="E30" s="7">
        <f>IFERROR(E29/E10,"n/a")</f>
        <v>0.0033449477351916376</v>
      </c>
      <c r="F30" s="7">
        <f>IFERROR(F29/F10,"n/a")</f>
        <v>0.0206094322923252</v>
      </c>
      <c r="G30" s="7">
        <f>IFERROR(G29/G10,"n/a")</f>
        <v>0.004177320033130469</v>
      </c>
      <c r="H30" s="7">
        <f>IFERROR(H29/H10,"n/a")</f>
        <v>0.06892443839346495</v>
      </c>
      <c r="I30" s="7">
        <f>IFERROR(I29/I10,"n/a")</f>
        <v>0.06062389640965274</v>
      </c>
      <c r="J30" s="79">
        <v>0.04</v>
      </c>
      <c r="K30" s="4" t="s">
        <v>205</v>
      </c>
      <c r="L30" s="3"/>
      <c r="M30" s="3"/>
    </row>
    <row r="31">
      <c r="A31" s="3"/>
      <c r="B31" s="49" t="s">
        <v>109</v>
      </c>
      <c r="C31" s="77" t="s">
        <v>44</v>
      </c>
      <c r="D31" s="77" t="s">
        <v>44</v>
      </c>
      <c r="E31" s="77" t="s">
        <v>44</v>
      </c>
      <c r="F31" s="77" t="s">
        <v>44</v>
      </c>
      <c r="G31" s="77" t="s">
        <v>44</v>
      </c>
      <c r="H31" s="77">
        <f>IFERROR((H30-C30)*10000,"n/a")</f>
        <v>701.161305963931</v>
      </c>
      <c r="I31" s="77">
        <f>IFERROR((I30-D30)*10000,"n/a")</f>
        <v>700.2046079080087</v>
      </c>
      <c r="J31" s="78">
        <f>IFERROR((J30-E30)*10000,"n/a")</f>
        <v>366.55052264808364</v>
      </c>
      <c r="K31" s="4"/>
      <c r="L31" s="3"/>
      <c r="M31" s="3"/>
    </row>
    <row r="32">
      <c r="A32" s="3"/>
      <c r="B32" s="49" t="s">
        <v>110</v>
      </c>
      <c r="C32" s="77" t="s">
        <v>44</v>
      </c>
      <c r="D32" s="77">
        <f>IFERROR((D30-C30)*10000,"n/a")</f>
        <v>-82.04872178219983</v>
      </c>
      <c r="E32" s="77">
        <f>IFERROR((E30-D30)*10000,"n/a")</f>
        <v>127.4151211633978</v>
      </c>
      <c r="F32" s="77">
        <f>IFERROR((F30-E30)*10000,"n/a")</f>
        <v>172.64484557133562</v>
      </c>
      <c r="G32" s="77" t="s">
        <v>44</v>
      </c>
      <c r="H32" s="77">
        <f>IFERROR((H30-F30)*10000,"n/a")</f>
        <v>483.15006101139744</v>
      </c>
      <c r="I32" s="77">
        <f>IFERROR((I30-H30)*10000,"n/a")</f>
        <v>-83.00541983812207</v>
      </c>
      <c r="J32" s="78">
        <f>IFERROR((J30-I30)*10000,"n/a")</f>
        <v>-206.23896409652738</v>
      </c>
      <c r="K32" s="4"/>
      <c r="L32" s="3"/>
      <c r="M32" s="3"/>
    </row>
    <row r="33">
      <c r="A33" s="3"/>
      <c r="B33" s="15" t="s">
        <v>161</v>
      </c>
      <c r="C33" s="32">
        <v>5876</v>
      </c>
      <c r="D33" s="32">
        <v>6796</v>
      </c>
      <c r="E33" s="32">
        <v>7327</v>
      </c>
      <c r="F33" s="32">
        <v>8198</v>
      </c>
      <c r="G33" s="21">
        <f>SUM(C33:F33)</f>
        <v>28197</v>
      </c>
      <c r="H33" s="32">
        <v>6391</v>
      </c>
      <c r="I33" s="32">
        <v>7243</v>
      </c>
      <c r="J33" s="43">
        <f>J22+J25+J29</f>
        <v>7678.5765</v>
      </c>
      <c r="K33" s="4" t="s">
        <v>162</v>
      </c>
      <c r="L33" s="3"/>
      <c r="M33" s="3"/>
    </row>
    <row r="34">
      <c r="A34" s="3"/>
      <c r="B34" s="56" t="s">
        <v>77</v>
      </c>
      <c r="C34" s="7">
        <f>IFERROR(IF(OR(C33&lt;0,C10&lt;0),"n.m.",C33/C10-1),"n/a")</f>
        <v>0.0003404834865508022</v>
      </c>
      <c r="D34" s="7">
        <f>IFERROR(IF(OR(D33&lt;0,D10&lt;0),"n.m.",D33/D10-1),"n/a")</f>
        <v>-0.002202319776831607</v>
      </c>
      <c r="E34" s="7">
        <f>IFERROR(IF(OR(E33&lt;0,E10&lt;0),"n.m.",E33/E10-1),"n/a")</f>
        <v>0.021184668989546962</v>
      </c>
      <c r="F34" s="7">
        <f>IFERROR(IF(OR(F33&lt;0,F10&lt;0),"n.m.",F33/F10-1),"n/a")</f>
        <v>0.03654064989252759</v>
      </c>
      <c r="G34" s="7">
        <f>IFERROR(IF(OR(G33&lt;0,G10&lt;0),"n.m.",G33/G10-1),"n/a")</f>
        <v>0.015412870467067519</v>
      </c>
      <c r="H34" s="7">
        <f>IFERROR(IF(OR(H33&lt;0,C33&lt;0),"n.m.",H33/C33-1),"n/a")</f>
        <v>0.08764465622872697</v>
      </c>
      <c r="I34" s="7">
        <f>IFERROR(IF(OR(I33&lt;0,D33&lt;0),"n.m.",I33/D33-1),"n/a")</f>
        <v>0.06577398469688056</v>
      </c>
      <c r="J34" s="25">
        <f>IFERROR(IF(OR(J33&lt;0,E33&lt;0),"n.m.",J33/E33-1),"n/a")</f>
        <v>0.04798369045994266</v>
      </c>
      <c r="K34" s="4"/>
      <c r="L34" s="3"/>
      <c r="M34" s="3"/>
    </row>
    <row r="35">
      <c r="A35" s="3"/>
      <c r="B35" s="56" t="s">
        <v>78</v>
      </c>
      <c r="C35" s="7" t="s">
        <v>44</v>
      </c>
      <c r="D35" s="7">
        <f>IFERROR(IF(OR(D33&lt;0,C33&lt;0),"n.m.",D33/C33-1),"n/a")</f>
        <v>0.15656909462219204</v>
      </c>
      <c r="E35" s="7">
        <f>IFERROR(IF(OR(E33&lt;0,D33&lt;0),"n.m.",E33/D33-1),"n/a")</f>
        <v>0.07813419658622722</v>
      </c>
      <c r="F35" s="7">
        <f>IFERROR(IF(OR(F33&lt;0,E33&lt;0),"n.m.",F33/E33-1),"n/a")</f>
        <v>0.11887539238433198</v>
      </c>
      <c r="G35" s="7" t="s">
        <v>44</v>
      </c>
      <c r="H35" s="7">
        <f>IFERROR(IF(OR(H33&lt;0,F33&lt;0),"n.m.",H33/F33-1),"n/a")</f>
        <v>-0.2204196145401317</v>
      </c>
      <c r="I35" s="7">
        <f>IFERROR(IF(OR(I33&lt;0,H33&lt;0),"n.m.",I33/H33-1),"n/a")</f>
        <v>0.13331247066186824</v>
      </c>
      <c r="J35" s="25">
        <f>IFERROR(IF(OR(J33&lt;0,I33&lt;0),"n.m.",J33/I33-1),"n/a")</f>
        <v>0.060137581112798655</v>
      </c>
      <c r="K35" s="4"/>
      <c r="L35" s="3"/>
      <c r="M35" s="3"/>
    </row>
    <row r="36">
      <c r="A36" s="3"/>
      <c r="B36" s="29" t="s">
        <v>94</v>
      </c>
      <c r="C36" s="1" t="s">
        <v>44</v>
      </c>
      <c r="D36" s="1">
        <f>IFERROR(D33-C33,"n/a")</f>
        <v>920</v>
      </c>
      <c r="E36" s="1">
        <f>IFERROR(E33-D33,"n/a")</f>
        <v>531</v>
      </c>
      <c r="F36" s="1">
        <f>IFERROR(F33-E33,"n/a")</f>
        <v>871</v>
      </c>
      <c r="G36" s="1" t="s">
        <v>44</v>
      </c>
      <c r="H36" s="1">
        <f>IFERROR(H33-F33,"n/a")</f>
        <v>-1807</v>
      </c>
      <c r="I36" s="1">
        <f>IFERROR(I33-H33,"n/a")</f>
        <v>852</v>
      </c>
      <c r="J36" s="16">
        <f>IFERROR(J33-I33,"n/a")</f>
        <v>435.5765000000001</v>
      </c>
      <c r="K36" s="4"/>
      <c r="L36" s="3"/>
      <c r="M36" s="3"/>
    </row>
    <row r="37">
      <c r="A37" s="3"/>
      <c r="B37" s="3"/>
      <c r="C37" s="1"/>
      <c r="D37" s="1"/>
      <c r="E37" s="1"/>
      <c r="F37" s="1"/>
      <c r="G37" s="1"/>
      <c r="H37" s="1"/>
      <c r="I37" s="1"/>
      <c r="J37" s="16"/>
      <c r="K37" s="4"/>
      <c r="L37" s="3"/>
      <c r="M37" s="3"/>
    </row>
    <row r="38">
      <c r="A38" s="3"/>
      <c r="B38" s="15" t="s">
        <v>163</v>
      </c>
      <c r="C38" s="5"/>
      <c r="D38" s="5"/>
      <c r="E38" s="5"/>
      <c r="F38" s="5"/>
      <c r="G38" s="5"/>
      <c r="H38" s="5"/>
      <c r="I38" s="5"/>
      <c r="J38" s="22"/>
      <c r="K38" s="4"/>
      <c r="L38" s="3"/>
      <c r="M38" s="3"/>
    </row>
    <row r="39">
      <c r="A39" s="3"/>
      <c r="B39" s="12" t="s">
        <v>103</v>
      </c>
      <c r="C39" s="7">
        <f>IFERROR(IF(OR(C33&lt;0,C10&lt;0),"n.m.",C33/C10-1),"n/a")</f>
        <v>0.0003404834865508022</v>
      </c>
      <c r="D39" s="7">
        <f>IFERROR(IF(OR(D33&lt;0,D10&lt;0),"n.m.",D33/D10-1),"n/a")</f>
        <v>-0.002202319776831607</v>
      </c>
      <c r="E39" s="7">
        <f>IFERROR(IF(OR(E33&lt;0,E10&lt;0),"n.m.",E33/E10-1),"n/a")</f>
        <v>0.021184668989546962</v>
      </c>
      <c r="F39" s="7">
        <f>IFERROR(IF(OR(F33&lt;0,F10&lt;0),"n.m.",F33/F10-1),"n/a")</f>
        <v>0.03654064989252759</v>
      </c>
      <c r="G39" s="7">
        <f>IFERROR(IF(OR(G33&lt;0,G10&lt;0),"n.m.",G33/G10-1),"n/a")</f>
        <v>0.015412870467067519</v>
      </c>
      <c r="H39" s="7">
        <f>IFERROR(IF(OR(H33&lt;0,H10&lt;0),"n.m.",H33/H10-1),"n/a")</f>
        <v>0.08764465622872697</v>
      </c>
      <c r="I39" s="7">
        <f>IFERROR(IF(OR(I33&lt;0,I10&lt;0),"n.m.",I33/I10-1),"n/a")</f>
        <v>0.06577398469688056</v>
      </c>
      <c r="J39" s="25">
        <f>IFERROR(IF(OR(J33&lt;0,J10&lt;0),"n.m.",J33/J10-1),"n/a")</f>
        <v>0.04798369045994266</v>
      </c>
      <c r="K39" s="4"/>
      <c r="L39" s="3"/>
      <c r="M39" s="3"/>
    </row>
    <row r="40">
      <c r="A40" s="3"/>
      <c r="B40" s="12" t="s">
        <v>104</v>
      </c>
      <c r="C40" s="7">
        <f>IFERROR((C29+C11)/C10,"n/a")</f>
        <v>-0.001191692202928158</v>
      </c>
      <c r="D40" s="7">
        <f>IFERROR((D29+D11)/D10,"n/a")</f>
        <v>-0.009396564381148142</v>
      </c>
      <c r="E40" s="7">
        <f>IFERROR((E29+E11)/E10,"n/a")</f>
        <v>0.0033449477351916376</v>
      </c>
      <c r="F40" s="7">
        <f>IFERROR((F29+F11)/F10,"n/a")</f>
        <v>0.019850802882791757</v>
      </c>
      <c r="G40" s="7">
        <f>IFERROR((G29+G11)/G10,"n/a")</f>
        <v>0.003961251755554755</v>
      </c>
      <c r="H40" s="7">
        <f>IFERROR((H29+H11)/H10,"n/a")</f>
        <v>0.06705241660993873</v>
      </c>
      <c r="I40" s="7">
        <f>IFERROR((I29+I11)/I10,"n/a")</f>
        <v>0.05900529723366686</v>
      </c>
      <c r="J40" s="25">
        <f>IFERROR((J29+J11)/J10,"n/a")</f>
        <v>0.038498703425685815</v>
      </c>
      <c r="K40" s="4"/>
      <c r="L40" s="3"/>
      <c r="M40" s="3"/>
    </row>
    <row r="41">
      <c r="A41" s="3"/>
      <c r="B41" s="12" t="s">
        <v>105</v>
      </c>
      <c r="C41" s="7">
        <f>IFERROR(C25/C10,"n/a")</f>
        <v>-0.0040858018386108275</v>
      </c>
      <c r="D41" s="7">
        <f>IFERROR(D25/D10,"n/a")</f>
        <v>-0.0011745705476435178</v>
      </c>
      <c r="E41" s="7">
        <f>IFERROR(E25/E10,"n/a")</f>
        <v>-0.00027874564459930314</v>
      </c>
      <c r="F41" s="7">
        <f>IFERROR(F25/F10,"n/a")</f>
        <v>-0.00025287646984448094</v>
      </c>
      <c r="G41" s="7">
        <f>IFERROR(G25/G10,"n/a")</f>
        <v>-0.0012964096654542836</v>
      </c>
      <c r="H41" s="7">
        <f>IFERROR(H25/H10,"n/a")</f>
        <v>0.0030633083730428863</v>
      </c>
      <c r="I41" s="7">
        <f>IFERROR(I25/I10,"n/a")</f>
        <v>0.0005885815185403178</v>
      </c>
      <c r="J41" s="25">
        <f>IFERROR(J25/J10,"n/a")</f>
        <v>-0.0005</v>
      </c>
      <c r="K41" s="4"/>
      <c r="L41" s="3"/>
      <c r="M41" s="3"/>
    </row>
    <row r="42">
      <c r="A42" s="3"/>
      <c r="B42" s="12" t="s">
        <v>106</v>
      </c>
      <c r="C42" s="7">
        <f>IFERROR((1+C39)/((1+C40)*(1+C41))-1,"n/a")</f>
        <v>0.005642861201068161</v>
      </c>
      <c r="D42" s="7">
        <f>IFERROR((1+D39)/((1+D40)*(1+D41))-1,"n/a")</f>
        <v>0.008446979151844891</v>
      </c>
      <c r="E42" s="7">
        <f>IFERROR((1+E39)/((1+E40)*(1+E41))-1,"n/a")</f>
        <v>0.01806402817033881</v>
      </c>
      <c r="F42" s="7">
        <f>IFERROR((1+F39)/((1+F40)*(1+F41))-1,"n/a")</f>
        <v>0.016622068641937382</v>
      </c>
      <c r="G42" s="7">
        <f>IFERROR((1+G39)/((1+G40)*(1+G41))-1,"n/a")</f>
        <v>0.012719334084137612</v>
      </c>
      <c r="H42" s="7">
        <f>IFERROR((1+H39)/((1+H40)*(1+H41))-1,"n/a")</f>
        <v>0.01618535650289621</v>
      </c>
      <c r="I42" s="7">
        <f>IFERROR((1+I39)/((1+I40)*(1+I41))-1,"n/a")</f>
        <v>0.005799557004961597</v>
      </c>
      <c r="J42" s="25">
        <f>IFERROR((1+J39)/((1+J40)*(1+J41))-1,"n/a")</f>
        <v>0.00963818344062961</v>
      </c>
      <c r="K42" s="4"/>
      <c r="L42" s="3"/>
      <c r="M42" s="3"/>
    </row>
    <row r="43">
      <c r="A43" s="3"/>
      <c r="B43" s="56" t="s">
        <v>164</v>
      </c>
      <c r="C43" s="77">
        <f>IFERROR((C42-C19)*10000,"n/a")</f>
        <v>-43.57138798931839</v>
      </c>
      <c r="D43" s="77">
        <f>IFERROR((D42-D19)*10000,"n/a")</f>
        <v>-15.53020848155109</v>
      </c>
      <c r="E43" s="77">
        <f>IFERROR((E42-E19)*10000,"n/a")</f>
        <v>-19.35971829661192</v>
      </c>
      <c r="F43" s="77">
        <f>IFERROR((F42-F19)*10000,"n/a")</f>
        <v>-33.77931358062619</v>
      </c>
      <c r="G43" s="77">
        <f>IFERROR((G42-G19)*10000,"n/a")</f>
        <v>27.19334084137612</v>
      </c>
      <c r="H43" s="77">
        <f>IFERROR((H42-H19)*10000,"n/a")</f>
        <v>-38.14643497103792</v>
      </c>
      <c r="I43" s="77">
        <f>IFERROR((I42-I19)*10000,"n/a")</f>
        <v>-42.00442995038403</v>
      </c>
      <c r="J43" s="78">
        <f>IFERROR((J42-J19)*10000,"n/a")</f>
        <v>-3.6181655937038775</v>
      </c>
      <c r="K43" s="4" t="s">
        <v>165</v>
      </c>
      <c r="L43" s="3"/>
      <c r="M43" s="3"/>
    </row>
    <row r="44">
      <c r="A44" s="3"/>
      <c r="B44" s="3"/>
      <c r="C44" s="1"/>
      <c r="D44" s="1"/>
      <c r="E44" s="1"/>
      <c r="F44" s="1"/>
      <c r="G44" s="1"/>
      <c r="H44" s="1"/>
      <c r="I44" s="1"/>
      <c r="J44" s="16"/>
      <c r="K44" s="4"/>
      <c r="L44" s="3"/>
      <c r="M44" s="3"/>
    </row>
    <row r="45">
      <c r="A45" s="3"/>
      <c r="B45" s="15" t="s">
        <v>166</v>
      </c>
      <c r="C45" s="5"/>
      <c r="D45" s="5"/>
      <c r="E45" s="5"/>
      <c r="F45" s="5"/>
      <c r="G45" s="5"/>
      <c r="H45" s="5"/>
      <c r="I45" s="5"/>
      <c r="J45" s="22"/>
      <c r="K45" s="4"/>
      <c r="L45" s="3"/>
      <c r="M45" s="3"/>
    </row>
    <row r="46">
      <c r="A46" s="3"/>
      <c r="B46" s="12" t="s">
        <v>206</v>
      </c>
      <c r="C46" s="9">
        <v>-0.03</v>
      </c>
      <c r="D46" s="9">
        <v>-0.02</v>
      </c>
      <c r="E46" s="9">
        <v>-0.03</v>
      </c>
      <c r="F46" s="9">
        <v>-0.04</v>
      </c>
      <c r="G46" s="9">
        <v>-0.03</v>
      </c>
      <c r="H46" s="9">
        <v>-0.025</v>
      </c>
      <c r="I46" s="9">
        <v>-0.04</v>
      </c>
      <c r="J46" s="25">
        <f>J13</f>
        <v>-0.02</v>
      </c>
      <c r="K46" s="4" t="s">
        <v>168</v>
      </c>
      <c r="L46" s="3"/>
      <c r="M46" s="3"/>
    </row>
    <row r="47">
      <c r="A47" s="3"/>
      <c r="B47" s="56" t="s">
        <v>109</v>
      </c>
      <c r="C47" s="77" t="s">
        <v>44</v>
      </c>
      <c r="D47" s="77" t="s">
        <v>44</v>
      </c>
      <c r="E47" s="77" t="s">
        <v>44</v>
      </c>
      <c r="F47" s="77" t="s">
        <v>44</v>
      </c>
      <c r="G47" s="77" t="s">
        <v>44</v>
      </c>
      <c r="H47" s="77">
        <f>IFERROR((H46-C46)*10000,"n/a")</f>
        <v>49.99999999999997</v>
      </c>
      <c r="I47" s="77">
        <f>IFERROR((I46-D46)*10000,"n/a")</f>
        <v>-200</v>
      </c>
      <c r="J47" s="78">
        <f>IFERROR((J46-E46)*10000,"n/a")</f>
        <v>99.99999999999999</v>
      </c>
      <c r="K47" s="4"/>
      <c r="L47" s="3"/>
      <c r="M47" s="3"/>
    </row>
    <row r="48">
      <c r="A48" s="3"/>
      <c r="B48" s="56" t="s">
        <v>110</v>
      </c>
      <c r="C48" s="77" t="s">
        <v>44</v>
      </c>
      <c r="D48" s="77">
        <f>IFERROR((D46-C46)*10000,"n/a")</f>
        <v>99.99999999999999</v>
      </c>
      <c r="E48" s="77">
        <f>IFERROR((E46-D46)*10000,"n/a")</f>
        <v>-99.99999999999999</v>
      </c>
      <c r="F48" s="77">
        <f>IFERROR((F46-E46)*10000,"n/a")</f>
        <v>-100.00000000000001</v>
      </c>
      <c r="G48" s="77" t="s">
        <v>44</v>
      </c>
      <c r="H48" s="77">
        <f>IFERROR((H46-F46)*10000,"n/a")</f>
        <v>150</v>
      </c>
      <c r="I48" s="77">
        <f>IFERROR((I46-H46)*10000,"n/a")</f>
        <v>-150</v>
      </c>
      <c r="J48" s="78">
        <f>IFERROR((J46-I46)*10000,"n/a")</f>
        <v>200</v>
      </c>
      <c r="K48" s="4"/>
      <c r="L48" s="3"/>
      <c r="M48" s="3"/>
    </row>
    <row r="49">
      <c r="A49" s="3"/>
      <c r="B49" s="3"/>
      <c r="C49" s="1"/>
      <c r="D49" s="1"/>
      <c r="E49" s="1"/>
      <c r="F49" s="1"/>
      <c r="G49" s="1"/>
      <c r="H49" s="1"/>
      <c r="I49" s="1"/>
      <c r="J49" s="16"/>
      <c r="K49" s="4"/>
      <c r="L49" s="3"/>
      <c r="M49" s="3"/>
    </row>
    <row r="50">
      <c r="A50" s="3"/>
      <c r="B50" s="15" t="s">
        <v>169</v>
      </c>
      <c r="C50" s="5"/>
      <c r="D50" s="5"/>
      <c r="E50" s="5"/>
      <c r="F50" s="5"/>
      <c r="G50" s="5"/>
      <c r="H50" s="5"/>
      <c r="I50" s="5"/>
      <c r="J50" s="22"/>
      <c r="K50" s="4"/>
      <c r="L50" s="3"/>
      <c r="M50" s="3"/>
    </row>
    <row r="51">
      <c r="A51" s="3"/>
      <c r="B51" s="3" t="s">
        <v>43</v>
      </c>
      <c r="C51" s="1">
        <f>C33</f>
        <v>5876</v>
      </c>
      <c r="D51" s="1">
        <f>D33</f>
        <v>6796</v>
      </c>
      <c r="E51" s="1">
        <f>E33</f>
        <v>7327</v>
      </c>
      <c r="F51" s="1">
        <f>F33</f>
        <v>8198</v>
      </c>
      <c r="G51" s="1">
        <f>G33</f>
        <v>28197</v>
      </c>
      <c r="H51" s="1">
        <f>H33</f>
        <v>6391</v>
      </c>
      <c r="I51" s="1">
        <f>I33</f>
        <v>7243</v>
      </c>
      <c r="J51" s="16">
        <f>J33</f>
        <v>7678.5765</v>
      </c>
      <c r="K51" s="4"/>
      <c r="L51" s="3"/>
      <c r="M51" s="3"/>
    </row>
    <row r="52">
      <c r="A52" s="3"/>
      <c r="B52" s="3" t="s">
        <v>170</v>
      </c>
      <c r="C52" s="19">
        <v>2659</v>
      </c>
      <c r="D52" s="19">
        <v>2990</v>
      </c>
      <c r="E52" s="19">
        <v>3407</v>
      </c>
      <c r="F52" s="19">
        <v>3854</v>
      </c>
      <c r="G52" s="1">
        <f>SUM(C52:F52)</f>
        <v>12910</v>
      </c>
      <c r="H52" s="19">
        <v>2992</v>
      </c>
      <c r="I52" s="19">
        <v>3420</v>
      </c>
      <c r="J52" s="16">
        <f>J51*(1-J58)</f>
        <v>3762.502485</v>
      </c>
      <c r="K52" s="4" t="s">
        <v>171</v>
      </c>
      <c r="L52" s="3"/>
      <c r="M52" s="3"/>
    </row>
    <row r="53">
      <c r="A53" s="3"/>
      <c r="B53" s="56" t="s">
        <v>77</v>
      </c>
      <c r="C53" s="7" t="s">
        <v>44</v>
      </c>
      <c r="D53" s="7" t="s">
        <v>44</v>
      </c>
      <c r="E53" s="7" t="s">
        <v>44</v>
      </c>
      <c r="F53" s="7" t="s">
        <v>44</v>
      </c>
      <c r="G53" s="7" t="s">
        <v>44</v>
      </c>
      <c r="H53" s="7">
        <f>IFERROR(IF(OR(H52&lt;0,C52&lt;0),"n.m.",H52/C52-1),"n/a")</f>
        <v>0.12523505077096653</v>
      </c>
      <c r="I53" s="7">
        <f>IFERROR(IF(OR(I52&lt;0,D52&lt;0),"n.m.",I52/D52-1),"n/a")</f>
        <v>0.14381270903010024</v>
      </c>
      <c r="J53" s="25">
        <f>IFERROR(IF(OR(J52&lt;0,E52&lt;0),"n.m.",J52/E52-1),"n/a")</f>
        <v>0.10434472703257991</v>
      </c>
      <c r="K53" s="4"/>
      <c r="L53" s="3"/>
      <c r="M53" s="3"/>
    </row>
    <row r="54">
      <c r="A54" s="3"/>
      <c r="B54" s="29" t="s">
        <v>94</v>
      </c>
      <c r="C54" s="1" t="s">
        <v>44</v>
      </c>
      <c r="D54" s="1">
        <f>IFERROR(D52-C52,"n/a")</f>
        <v>331</v>
      </c>
      <c r="E54" s="1">
        <f>IFERROR(E52-D52,"n/a")</f>
        <v>417</v>
      </c>
      <c r="F54" s="1">
        <f>IFERROR(F52-E52,"n/a")</f>
        <v>447</v>
      </c>
      <c r="G54" s="1" t="s">
        <v>44</v>
      </c>
      <c r="H54" s="1">
        <f>IFERROR(H52-F52,"n/a")</f>
        <v>-862</v>
      </c>
      <c r="I54" s="1">
        <f>IFERROR(I52-H52,"n/a")</f>
        <v>428</v>
      </c>
      <c r="J54" s="16">
        <f>IFERROR(J52-I52,"n/a")</f>
        <v>342.502485</v>
      </c>
      <c r="K54" s="4"/>
      <c r="L54" s="3"/>
      <c r="M54" s="3"/>
    </row>
    <row r="55">
      <c r="A55" s="3"/>
      <c r="B55" s="15" t="s">
        <v>172</v>
      </c>
      <c r="C55" s="21">
        <f>C51-C52</f>
        <v>3217</v>
      </c>
      <c r="D55" s="21">
        <f>D51-D52</f>
        <v>3806</v>
      </c>
      <c r="E55" s="21">
        <f>E51-E52</f>
        <v>3920</v>
      </c>
      <c r="F55" s="21">
        <f>F51-F52</f>
        <v>4344</v>
      </c>
      <c r="G55" s="21">
        <f>G51-G52</f>
        <v>15287</v>
      </c>
      <c r="H55" s="21">
        <f>H51-H52</f>
        <v>3399</v>
      </c>
      <c r="I55" s="21">
        <f>I51-I52</f>
        <v>3823</v>
      </c>
      <c r="J55" s="43">
        <f>J51-J52</f>
        <v>3916.074015</v>
      </c>
      <c r="K55" s="4"/>
      <c r="L55" s="3"/>
      <c r="M55" s="3"/>
    </row>
    <row r="56">
      <c r="A56" s="3"/>
      <c r="B56" s="56" t="s">
        <v>77</v>
      </c>
      <c r="C56" s="7" t="s">
        <v>44</v>
      </c>
      <c r="D56" s="7" t="s">
        <v>44</v>
      </c>
      <c r="E56" s="7" t="s">
        <v>44</v>
      </c>
      <c r="F56" s="7" t="s">
        <v>44</v>
      </c>
      <c r="G56" s="7" t="s">
        <v>44</v>
      </c>
      <c r="H56" s="7">
        <f>IFERROR(IF(OR(H55&lt;0,C55&lt;0),"n.m.",H55/C55-1),"n/a")</f>
        <v>0.05657444824370539</v>
      </c>
      <c r="I56" s="7">
        <f>IFERROR(IF(OR(I55&lt;0,D55&lt;0),"n.m.",I55/D55-1),"n/a")</f>
        <v>0.004466631634261642</v>
      </c>
      <c r="J56" s="25">
        <f>IFERROR(IF(OR(J55&lt;0,E55&lt;0),"n.m.",J55/E55-1),"n/a")</f>
        <v>-0.0010015267857143018</v>
      </c>
      <c r="K56" s="4"/>
      <c r="L56" s="3"/>
      <c r="M56" s="3"/>
    </row>
    <row r="57">
      <c r="A57" s="3"/>
      <c r="B57" s="29" t="s">
        <v>94</v>
      </c>
      <c r="C57" s="1" t="s">
        <v>44</v>
      </c>
      <c r="D57" s="1">
        <f>IFERROR(D55-C55,"n/a")</f>
        <v>589</v>
      </c>
      <c r="E57" s="1">
        <f>IFERROR(E55-D55,"n/a")</f>
        <v>114</v>
      </c>
      <c r="F57" s="1">
        <f>IFERROR(F55-E55,"n/a")</f>
        <v>424</v>
      </c>
      <c r="G57" s="1" t="s">
        <v>44</v>
      </c>
      <c r="H57" s="1">
        <f>IFERROR(H55-F55,"n/a")</f>
        <v>-945</v>
      </c>
      <c r="I57" s="1">
        <f>IFERROR(I55-H55,"n/a")</f>
        <v>424</v>
      </c>
      <c r="J57" s="16">
        <f>IFERROR(J55-I55,"n/a")</f>
        <v>93.07401500000014</v>
      </c>
      <c r="K57" s="4"/>
      <c r="L57" s="3"/>
      <c r="M57" s="3"/>
    </row>
    <row r="58">
      <c r="A58" s="3"/>
      <c r="B58" s="12" t="s">
        <v>173</v>
      </c>
      <c r="C58" s="7">
        <f>IFERROR(C55/C51,"n/a")</f>
        <v>0.5474812797821648</v>
      </c>
      <c r="D58" s="7">
        <f>IFERROR(D55/D51,"n/a")</f>
        <v>0.5600353148911125</v>
      </c>
      <c r="E58" s="7">
        <f>IFERROR(E55/E51,"n/a")</f>
        <v>0.5350075064828715</v>
      </c>
      <c r="F58" s="7">
        <f>IFERROR(F55/F51,"n/a")</f>
        <v>0.5298853378872895</v>
      </c>
      <c r="G58" s="7">
        <f>IFERROR(G55/G51,"n/a")</f>
        <v>0.5421498741000815</v>
      </c>
      <c r="H58" s="7">
        <f>IFERROR(H55/H51,"n/a")</f>
        <v>0.53184165232358</v>
      </c>
      <c r="I58" s="7">
        <f>IFERROR(I55/I51,"n/a")</f>
        <v>0.5278199641032721</v>
      </c>
      <c r="J58" s="79">
        <v>0.51</v>
      </c>
      <c r="K58" s="4" t="s">
        <v>160</v>
      </c>
      <c r="L58" s="3"/>
      <c r="M58" s="3"/>
    </row>
    <row r="59">
      <c r="A59" s="3"/>
      <c r="B59" s="56" t="s">
        <v>109</v>
      </c>
      <c r="C59" s="77" t="s">
        <v>44</v>
      </c>
      <c r="D59" s="77" t="s">
        <v>44</v>
      </c>
      <c r="E59" s="77" t="s">
        <v>44</v>
      </c>
      <c r="F59" s="77" t="s">
        <v>44</v>
      </c>
      <c r="G59" s="77" t="s">
        <v>44</v>
      </c>
      <c r="H59" s="77">
        <f>IFERROR((H58-C58)*10000,"n/a")</f>
        <v>-156.39627458584715</v>
      </c>
      <c r="I59" s="77">
        <f>IFERROR((I58-D58)*10000,"n/a")</f>
        <v>-322.1535078784032</v>
      </c>
      <c r="J59" s="78">
        <f>IFERROR((J58-E58)*10000,"n/a")</f>
        <v>-250.07506482871534</v>
      </c>
      <c r="K59" s="4"/>
      <c r="L59" s="3"/>
      <c r="M59" s="3"/>
    </row>
    <row r="60">
      <c r="A60" s="3"/>
      <c r="B60" s="56" t="s">
        <v>110</v>
      </c>
      <c r="C60" s="77" t="s">
        <v>44</v>
      </c>
      <c r="D60" s="77">
        <f>IFERROR((D58-C58)*10000,"n/a")</f>
        <v>125.54035108947703</v>
      </c>
      <c r="E60" s="77">
        <f>IFERROR((E58-D58)*10000,"n/a")</f>
        <v>-250.27808408240926</v>
      </c>
      <c r="F60" s="77">
        <f>IFERROR((F58-E58)*10000,"n/a")</f>
        <v>-51.22168595582011</v>
      </c>
      <c r="G60" s="77" t="s">
        <v>44</v>
      </c>
      <c r="H60" s="77">
        <f>IFERROR((H58-F58)*10000,"n/a")</f>
        <v>19.563144362905184</v>
      </c>
      <c r="I60" s="77">
        <f>IFERROR((I58-H58)*10000,"n/a")</f>
        <v>-40.21688220307907</v>
      </c>
      <c r="J60" s="78">
        <f>IFERROR((J58-I58)*10000,"n/a")</f>
        <v>-178.19964103272133</v>
      </c>
      <c r="K60" s="4"/>
      <c r="L60" s="3"/>
      <c r="M60" s="3"/>
    </row>
    <row r="61">
      <c r="A61" s="3"/>
      <c r="B61" s="3" t="s">
        <v>174</v>
      </c>
      <c r="C61" s="19">
        <v>2622</v>
      </c>
      <c r="D61" s="19">
        <v>2812</v>
      </c>
      <c r="E61" s="19">
        <v>2945</v>
      </c>
      <c r="F61" s="19">
        <v>3623</v>
      </c>
      <c r="G61" s="1">
        <f>SUM(C61:F61)</f>
        <v>12002</v>
      </c>
      <c r="H61" s="19">
        <v>2760</v>
      </c>
      <c r="I61" s="19">
        <v>2831</v>
      </c>
      <c r="J61" s="16">
        <f>J51*J64</f>
        <v>2948.5733760000003</v>
      </c>
      <c r="K61" s="4" t="s">
        <v>171</v>
      </c>
      <c r="L61" s="3"/>
      <c r="M61" s="3"/>
    </row>
    <row r="62">
      <c r="A62" s="3"/>
      <c r="B62" s="56" t="s">
        <v>77</v>
      </c>
      <c r="C62" s="7" t="s">
        <v>44</v>
      </c>
      <c r="D62" s="7" t="s">
        <v>44</v>
      </c>
      <c r="E62" s="7" t="s">
        <v>44</v>
      </c>
      <c r="F62" s="7" t="s">
        <v>44</v>
      </c>
      <c r="G62" s="7" t="s">
        <v>44</v>
      </c>
      <c r="H62" s="7">
        <f>IFERROR(IF(OR(H61&lt;0,C61&lt;0),"n.m.",H61/C61-1),"n/a")</f>
        <v>0.05263157894736836</v>
      </c>
      <c r="I62" s="7">
        <f>IFERROR(IF(OR(I61&lt;0,D61&lt;0),"n.m.",I61/D61-1),"n/a")</f>
        <v>0.006756756756756799</v>
      </c>
      <c r="J62" s="25">
        <f>IFERROR(IF(OR(J61&lt;0,E61&lt;0),"n.m.",J61/E61-1),"n/a")</f>
        <v>0.0012133704584040839</v>
      </c>
      <c r="K62" s="4"/>
      <c r="L62" s="3"/>
      <c r="M62" s="3"/>
    </row>
    <row r="63">
      <c r="A63" s="3"/>
      <c r="B63" s="29" t="s">
        <v>94</v>
      </c>
      <c r="C63" s="1" t="s">
        <v>44</v>
      </c>
      <c r="D63" s="1">
        <f>IFERROR(D61-C61,"n/a")</f>
        <v>190</v>
      </c>
      <c r="E63" s="1">
        <f>IFERROR(E61-D61,"n/a")</f>
        <v>133</v>
      </c>
      <c r="F63" s="1">
        <f>IFERROR(F61-E61,"n/a")</f>
        <v>678</v>
      </c>
      <c r="G63" s="1" t="s">
        <v>44</v>
      </c>
      <c r="H63" s="1">
        <f>IFERROR(H61-F61,"n/a")</f>
        <v>-863</v>
      </c>
      <c r="I63" s="1">
        <f>IFERROR(I61-H61,"n/a")</f>
        <v>71</v>
      </c>
      <c r="J63" s="16">
        <f>IFERROR(J61-I61,"n/a")</f>
        <v>117.57337600000028</v>
      </c>
      <c r="K63" s="4"/>
      <c r="L63" s="3"/>
      <c r="M63" s="3"/>
    </row>
    <row r="64">
      <c r="A64" s="3"/>
      <c r="B64" s="12" t="s">
        <v>175</v>
      </c>
      <c r="C64" s="7">
        <f>IFERROR(C61/C51,"n/a")</f>
        <v>0.4462219196732471</v>
      </c>
      <c r="D64" s="7">
        <f>IFERROR(D61/D51,"n/a")</f>
        <v>0.41377280753384343</v>
      </c>
      <c r="E64" s="7">
        <f>IFERROR(E61/E51,"n/a")</f>
        <v>0.40193803739593287</v>
      </c>
      <c r="F64" s="7">
        <f>IFERROR(F61/F51,"n/a")</f>
        <v>0.44193705781898024</v>
      </c>
      <c r="G64" s="7">
        <f>IFERROR(G61/G51,"n/a")</f>
        <v>0.42564811859417667</v>
      </c>
      <c r="H64" s="7">
        <f>IFERROR(H61/H51,"n/a")</f>
        <v>0.43185729932717887</v>
      </c>
      <c r="I64" s="7">
        <f>IFERROR(I61/I51,"n/a")</f>
        <v>0.39086014082562476</v>
      </c>
      <c r="J64" s="79">
        <v>0.384</v>
      </c>
      <c r="K64" s="4" t="s">
        <v>160</v>
      </c>
      <c r="L64" s="3"/>
      <c r="M64" s="3"/>
    </row>
    <row r="65">
      <c r="A65" s="3"/>
      <c r="B65" s="56" t="s">
        <v>109</v>
      </c>
      <c r="C65" s="77" t="s">
        <v>44</v>
      </c>
      <c r="D65" s="77" t="s">
        <v>44</v>
      </c>
      <c r="E65" s="77" t="s">
        <v>44</v>
      </c>
      <c r="F65" s="77" t="s">
        <v>44</v>
      </c>
      <c r="G65" s="77" t="s">
        <v>44</v>
      </c>
      <c r="H65" s="77">
        <f>IFERROR((H64-C64)*10000,"n/a")</f>
        <v>-143.64620346068224</v>
      </c>
      <c r="I65" s="77">
        <f>IFERROR((I64-D64)*10000,"n/a")</f>
        <v>-229.12666708218677</v>
      </c>
      <c r="J65" s="78">
        <f>IFERROR((J64-E64)*10000,"n/a")</f>
        <v>-179.3803739593286</v>
      </c>
      <c r="K65" s="4"/>
      <c r="L65" s="3"/>
      <c r="M65" s="3"/>
    </row>
    <row r="66">
      <c r="A66" s="3"/>
      <c r="B66" s="56" t="s">
        <v>110</v>
      </c>
      <c r="C66" s="77" t="s">
        <v>44</v>
      </c>
      <c r="D66" s="77">
        <f>IFERROR((D64-C64)*10000,"n/a")</f>
        <v>-324.49112139403655</v>
      </c>
      <c r="E66" s="77">
        <f>IFERROR((E64-D64)*10000,"n/a")</f>
        <v>-118.34770137910566</v>
      </c>
      <c r="F66" s="77">
        <f>IFERROR((F64-E64)*10000,"n/a")</f>
        <v>399.9902042304737</v>
      </c>
      <c r="G66" s="77" t="s">
        <v>44</v>
      </c>
      <c r="H66" s="77">
        <f>IFERROR((H64-F64)*10000,"n/a")</f>
        <v>-100.79758491801371</v>
      </c>
      <c r="I66" s="77">
        <f>IFERROR((I64-H64)*10000,"n/a")</f>
        <v>-409.9715850155411</v>
      </c>
      <c r="J66" s="78">
        <f>IFERROR((J64-I64)*10000,"n/a")</f>
        <v>-68.6014082562475</v>
      </c>
      <c r="K66" s="4"/>
      <c r="L66" s="3"/>
      <c r="M66" s="3"/>
    </row>
    <row r="67">
      <c r="A67" s="3"/>
      <c r="B67" s="56" t="s">
        <v>176</v>
      </c>
      <c r="C67" s="7" t="s">
        <v>44</v>
      </c>
      <c r="D67" s="7" t="s">
        <v>44</v>
      </c>
      <c r="E67" s="7" t="s">
        <v>44</v>
      </c>
      <c r="F67" s="7" t="s">
        <v>44</v>
      </c>
      <c r="G67" s="7" t="s">
        <v>44</v>
      </c>
      <c r="H67" s="7" t="s">
        <v>44</v>
      </c>
      <c r="I67" s="7" t="s">
        <v>44</v>
      </c>
      <c r="J67" s="79">
        <v>0.7</v>
      </c>
      <c r="K67" s="4" t="s">
        <v>177</v>
      </c>
      <c r="L67" s="3"/>
      <c r="M67" s="3"/>
    </row>
    <row r="68">
      <c r="A68" s="3"/>
      <c r="B68" s="3" t="s">
        <v>178</v>
      </c>
      <c r="C68" s="1" t="s">
        <v>44</v>
      </c>
      <c r="D68" s="1" t="s">
        <v>44</v>
      </c>
      <c r="E68" s="1" t="s">
        <v>44</v>
      </c>
      <c r="F68" s="1" t="s">
        <v>44</v>
      </c>
      <c r="G68" s="1" t="s">
        <v>44</v>
      </c>
      <c r="H68" s="1" t="s">
        <v>44</v>
      </c>
      <c r="I68" s="1" t="s">
        <v>44</v>
      </c>
      <c r="J68" s="64">
        <f>Guidance!G40*'Income Statement'!J49/(1-'Income Statement'!J127)*J67</f>
        <v>100.61551022332507</v>
      </c>
      <c r="K68" s="4" t="s">
        <v>179</v>
      </c>
      <c r="L68" s="3"/>
      <c r="M68" s="3"/>
    </row>
    <row r="69">
      <c r="A69" s="3"/>
      <c r="B69" s="15" t="s">
        <v>180</v>
      </c>
      <c r="C69" s="21">
        <f>C55-C61</f>
        <v>595</v>
      </c>
      <c r="D69" s="21">
        <f>D55-D61</f>
        <v>994</v>
      </c>
      <c r="E69" s="21">
        <f>E55-E61</f>
        <v>975</v>
      </c>
      <c r="F69" s="21">
        <f>F55-F61</f>
        <v>721</v>
      </c>
      <c r="G69" s="21">
        <f>SUM(C69:F69)</f>
        <v>3285</v>
      </c>
      <c r="H69" s="21">
        <f>H55-H61</f>
        <v>639</v>
      </c>
      <c r="I69" s="21">
        <f>I55-I61</f>
        <v>992</v>
      </c>
      <c r="J69" s="43">
        <f>J55-J61+J68</f>
        <v>1068.116149223325</v>
      </c>
      <c r="K69" s="4" t="s">
        <v>181</v>
      </c>
      <c r="L69" s="3"/>
      <c r="M69" s="3"/>
    </row>
    <row r="70">
      <c r="A70" s="3"/>
      <c r="B70" s="56" t="s">
        <v>77</v>
      </c>
      <c r="C70" s="7">
        <f>IFERROR(IF(OR(C69&lt;0,C75&lt;0),"n.m.",C69/C75-1),"n/a")</f>
        <v>0.13984674329501923</v>
      </c>
      <c r="D70" s="7">
        <f>IFERROR(IF(OR(D69&lt;0,D75&lt;0),"n.m.",D69/D75-1),"n/a")</f>
        <v>0.002016129032258007</v>
      </c>
      <c r="E70" s="7">
        <f>IFERROR(IF(OR(E69&lt;0,E75&lt;0),"n.m.",E69/E75-1),"n/a")</f>
        <v>-0.06876790830945556</v>
      </c>
      <c r="F70" s="7">
        <f>IFERROR(IF(OR(F69&lt;0,F75&lt;0),"n.m.",F69/F75-1),"n/a")</f>
        <v>0.32780847145488035</v>
      </c>
      <c r="G70" s="7">
        <f>IFERROR(IF(OR(G69&lt;0,G75&lt;0),"n.m.",G69/G75-1),"n/a")</f>
        <v>0.058311855670103</v>
      </c>
      <c r="H70" s="7">
        <f>IFERROR(IF(OR(H69&lt;0,C69&lt;0),"n.m.",H69/C69-1),"n/a")</f>
        <v>0.07394957983193273</v>
      </c>
      <c r="I70" s="7">
        <f>IFERROR(IF(OR(I69&lt;0,D69&lt;0),"n.m.",I69/D69-1),"n/a")</f>
        <v>-0.002012072434607659</v>
      </c>
      <c r="J70" s="25">
        <f>IFERROR(IF(OR(J69&lt;0,E69&lt;0),"n.m.",J69/E69-1),"n/a")</f>
        <v>0.09550374279315377</v>
      </c>
      <c r="K70" s="4"/>
      <c r="L70" s="3"/>
      <c r="M70" s="3"/>
    </row>
    <row r="71">
      <c r="A71" s="3"/>
      <c r="B71" s="29" t="s">
        <v>94</v>
      </c>
      <c r="C71" s="1" t="s">
        <v>44</v>
      </c>
      <c r="D71" s="1">
        <f>IFERROR(D69-C69,"n/a")</f>
        <v>399</v>
      </c>
      <c r="E71" s="1">
        <f>IFERROR(E69-D69,"n/a")</f>
        <v>-19</v>
      </c>
      <c r="F71" s="1">
        <f>IFERROR(F69-E69,"n/a")</f>
        <v>-254</v>
      </c>
      <c r="G71" s="1" t="s">
        <v>44</v>
      </c>
      <c r="H71" s="1">
        <f>IFERROR(H69-F69,"n/a")</f>
        <v>-82</v>
      </c>
      <c r="I71" s="1">
        <f>IFERROR(I69-H69,"n/a")</f>
        <v>353</v>
      </c>
      <c r="J71" s="16">
        <f>IFERROR(J69-I69,"n/a")</f>
        <v>76.11614922332501</v>
      </c>
      <c r="K71" s="4"/>
      <c r="L71" s="3"/>
      <c r="M71" s="3"/>
    </row>
    <row r="72">
      <c r="A72" s="3"/>
      <c r="B72" s="12" t="s">
        <v>182</v>
      </c>
      <c r="C72" s="7">
        <f>IFERROR(C69/C51,"n/a")</f>
        <v>0.10125936010891763</v>
      </c>
      <c r="D72" s="7">
        <f>IFERROR(D69/D51,"n/a")</f>
        <v>0.14626250735726898</v>
      </c>
      <c r="E72" s="7">
        <f>IFERROR(E69/E51,"n/a")</f>
        <v>0.13306946908693873</v>
      </c>
      <c r="F72" s="7">
        <f>IFERROR(F69/F51,"n/a")</f>
        <v>0.08794828006830935</v>
      </c>
      <c r="G72" s="7">
        <f>IFERROR(G69/G51,"n/a")</f>
        <v>0.11650175550590489</v>
      </c>
      <c r="H72" s="7">
        <f>IFERROR(H69/H51,"n/a")</f>
        <v>0.09998435299640118</v>
      </c>
      <c r="I72" s="7">
        <f>IFERROR(I69/I51,"n/a")</f>
        <v>0.13695982327764739</v>
      </c>
      <c r="J72" s="25">
        <f>IFERROR(J69/J51,"n/a")</f>
        <v>0.13910340663055515</v>
      </c>
      <c r="K72" s="4"/>
      <c r="L72" s="3"/>
      <c r="M72" s="3"/>
    </row>
    <row r="73">
      <c r="A73" s="3"/>
      <c r="B73" s="56" t="s">
        <v>109</v>
      </c>
      <c r="C73" s="77">
        <f>IFERROR((C72-C76)*10000,"n/a")</f>
        <v>123.9317011913213</v>
      </c>
      <c r="D73" s="77">
        <f>IFERROR((D72-D76)*10000,"n/a")</f>
        <v>6.157594494727581</v>
      </c>
      <c r="E73" s="77">
        <f>IFERROR((E72-E76)*10000,"n/a")</f>
        <v>-128.5387586079645</v>
      </c>
      <c r="F73" s="77">
        <f>IFERROR((F72-F76)*10000,"n/a")</f>
        <v>192.9231850553277</v>
      </c>
      <c r="G73" s="77">
        <f>IFERROR((G72-G76)*10000,"n/a")</f>
        <v>47.224332400688795</v>
      </c>
      <c r="H73" s="77">
        <f>IFERROR((H72-C72)*10000,"n/a")</f>
        <v>-12.750071125164492</v>
      </c>
      <c r="I73" s="77">
        <f>IFERROR((I72-D72)*10000,"n/a")</f>
        <v>-93.02684079621592</v>
      </c>
      <c r="J73" s="78">
        <f>IFERROR((J72-E72)*10000,"n/a")</f>
        <v>60.33937543616419</v>
      </c>
      <c r="K73" s="4"/>
      <c r="L73" s="3"/>
      <c r="M73" s="3"/>
    </row>
    <row r="74">
      <c r="A74" s="3"/>
      <c r="B74" s="56" t="s">
        <v>110</v>
      </c>
      <c r="C74" s="77" t="s">
        <v>44</v>
      </c>
      <c r="D74" s="77">
        <f>IFERROR((D72-C72)*10000,"n/a")</f>
        <v>450.0314724835135</v>
      </c>
      <c r="E74" s="77">
        <f>IFERROR((E72-D72)*10000,"n/a")</f>
        <v>-131.93038270330248</v>
      </c>
      <c r="F74" s="77">
        <f>IFERROR((F72-E72)*10000,"n/a")</f>
        <v>-451.21189018629383</v>
      </c>
      <c r="G74" s="77" t="s">
        <v>44</v>
      </c>
      <c r="H74" s="77">
        <f>IFERROR((H72-F72)*10000,"n/a")</f>
        <v>120.36072928091835</v>
      </c>
      <c r="I74" s="77">
        <f>IFERROR((I72-H72)*10000,"n/a")</f>
        <v>369.754702812462</v>
      </c>
      <c r="J74" s="78">
        <f>IFERROR((J72-I72)*10000,"n/a")</f>
        <v>21.43583352907763</v>
      </c>
      <c r="K74" s="4"/>
      <c r="L74" s="3"/>
      <c r="M74" s="3"/>
    </row>
    <row r="75">
      <c r="A75" s="3"/>
      <c r="B75" s="3" t="s">
        <v>183</v>
      </c>
      <c r="C75" s="19">
        <v>522</v>
      </c>
      <c r="D75" s="19">
        <v>992</v>
      </c>
      <c r="E75" s="19">
        <v>1047</v>
      </c>
      <c r="F75" s="19">
        <v>543</v>
      </c>
      <c r="G75" s="1">
        <f>SUM(C75:F75)</f>
        <v>3104</v>
      </c>
      <c r="H75" s="1">
        <f>C69</f>
        <v>595</v>
      </c>
      <c r="I75" s="1">
        <f>D69</f>
        <v>994</v>
      </c>
      <c r="J75" s="16">
        <f>E69</f>
        <v>975</v>
      </c>
      <c r="K75" s="4" t="s">
        <v>184</v>
      </c>
      <c r="L75" s="3"/>
      <c r="M75" s="3"/>
    </row>
    <row r="76">
      <c r="A76" s="3"/>
      <c r="B76" s="56" t="s">
        <v>185</v>
      </c>
      <c r="C76" s="115">
        <f>IFERROR(C75/C10,"n/a")</f>
        <v>0.0888661899897855</v>
      </c>
      <c r="D76" s="115">
        <f>IFERROR(D75/D10,"n/a")</f>
        <v>0.14564674790779622</v>
      </c>
      <c r="E76" s="115">
        <f>IFERROR(E75/E10,"n/a")</f>
        <v>0.14592334494773518</v>
      </c>
      <c r="F76" s="115">
        <f>IFERROR(F75/F10,"n/a")</f>
        <v>0.06865596156277658</v>
      </c>
      <c r="G76" s="115">
        <f>IFERROR(G75/G10,"n/a")</f>
        <v>0.111779322265836</v>
      </c>
      <c r="H76" s="7">
        <f>IFERROR(H75/H10,"n/a")</f>
        <v>0.10125936010891763</v>
      </c>
      <c r="I76" s="7">
        <f>IFERROR(I75/I10,"n/a")</f>
        <v>0.14626250735726898</v>
      </c>
      <c r="J76" s="25">
        <f>IFERROR(J75/J10,"n/a")</f>
        <v>0.13306946908693873</v>
      </c>
      <c r="K76" s="4"/>
      <c r="L76" s="3"/>
      <c r="M76" s="3"/>
    </row>
    <row r="77">
      <c r="A77" s="3"/>
      <c r="B77" s="3" t="s">
        <v>186</v>
      </c>
      <c r="C77" s="19">
        <v>-2</v>
      </c>
      <c r="D77" s="19">
        <v>-2</v>
      </c>
      <c r="E77" s="19">
        <v>0</v>
      </c>
      <c r="F77" s="19">
        <v>0</v>
      </c>
      <c r="G77" s="1">
        <f>SUM(C77:F77)</f>
        <v>-4</v>
      </c>
      <c r="H77" s="19">
        <v>3</v>
      </c>
      <c r="I77" s="19">
        <v>0</v>
      </c>
      <c r="J77" s="16">
        <f>J75*J26</f>
        <v>-0.4875</v>
      </c>
      <c r="K77" s="4" t="s">
        <v>187</v>
      </c>
      <c r="L77" s="3"/>
      <c r="M77" s="3"/>
    </row>
    <row r="78">
      <c r="A78" s="3"/>
      <c r="B78" s="15" t="s">
        <v>188</v>
      </c>
      <c r="C78" s="21">
        <f>C69-C77</f>
        <v>597</v>
      </c>
      <c r="D78" s="21">
        <f>D69-D77</f>
        <v>996</v>
      </c>
      <c r="E78" s="21">
        <f>E69-E77</f>
        <v>975</v>
      </c>
      <c r="F78" s="21">
        <f>F69-F77</f>
        <v>721</v>
      </c>
      <c r="G78" s="21">
        <f>G69-G77</f>
        <v>3289</v>
      </c>
      <c r="H78" s="21">
        <f>H69-H77</f>
        <v>636</v>
      </c>
      <c r="I78" s="21">
        <f>I69-I77</f>
        <v>992</v>
      </c>
      <c r="J78" s="43">
        <f>J69-J77</f>
        <v>1068.603649223325</v>
      </c>
      <c r="K78" s="4"/>
      <c r="L78" s="3"/>
      <c r="M78" s="3"/>
    </row>
    <row r="79">
      <c r="A79" s="3"/>
      <c r="B79" s="56" t="s">
        <v>189</v>
      </c>
      <c r="C79" s="7">
        <f>IFERROR(IF(OR(C78&lt;0,C75&lt;0),"n.m.",C78/C75-1),"n/a")</f>
        <v>0.14367816091954033</v>
      </c>
      <c r="D79" s="7">
        <f>IFERROR(IF(OR(D78&lt;0,D75&lt;0),"n.m.",D78/D75-1),"n/a")</f>
        <v>0.0040322580645162365</v>
      </c>
      <c r="E79" s="7">
        <f>IFERROR(IF(OR(E78&lt;0,E75&lt;0),"n.m.",E78/E75-1),"n/a")</f>
        <v>-0.06876790830945556</v>
      </c>
      <c r="F79" s="7">
        <f>IFERROR(IF(OR(F78&lt;0,F75&lt;0),"n.m.",F78/F75-1),"n/a")</f>
        <v>0.32780847145488035</v>
      </c>
      <c r="G79" s="7">
        <f>IFERROR(IF(OR(G78&lt;0,G75&lt;0),"n.m.",G78/G75-1),"n/a")</f>
        <v>0.059600515463917425</v>
      </c>
      <c r="H79" s="7">
        <f>IFERROR(IF(OR(H78&lt;0,H75&lt;0),"n.m.",H78/H75-1),"n/a")</f>
        <v>0.06890756302521006</v>
      </c>
      <c r="I79" s="7">
        <f>IFERROR(IF(OR(I78&lt;0,I75&lt;0),"n.m.",I78/I75-1),"n/a")</f>
        <v>-0.002012072434607659</v>
      </c>
      <c r="J79" s="25">
        <f>IFERROR(IF(OR(J78&lt;0,J75&lt;0),"n.m.",J78/J75-1),"n/a")</f>
        <v>0.09600374279315371</v>
      </c>
      <c r="K79" s="4"/>
      <c r="L79" s="3"/>
      <c r="M79" s="3"/>
    </row>
    <row r="80">
      <c r="A80" s="3"/>
      <c r="B80" s="3"/>
      <c r="C80" s="1"/>
      <c r="D80" s="1"/>
      <c r="E80" s="1"/>
      <c r="F80" s="1"/>
      <c r="G80" s="1"/>
      <c r="H80" s="1"/>
      <c r="I80" s="1"/>
      <c r="J80" s="16"/>
      <c r="K80" s="4"/>
      <c r="L80" s="3"/>
      <c r="M80" s="3"/>
    </row>
    <row r="81">
      <c r="A81" s="3"/>
      <c r="B81" s="15" t="s">
        <v>190</v>
      </c>
      <c r="C81" s="5"/>
      <c r="D81" s="5"/>
      <c r="E81" s="5"/>
      <c r="F81" s="5"/>
      <c r="G81" s="5"/>
      <c r="H81" s="5"/>
      <c r="I81" s="5"/>
      <c r="J81" s="22"/>
      <c r="K81" s="4"/>
      <c r="L81" s="3"/>
      <c r="M81" s="3"/>
    </row>
    <row r="82">
      <c r="A82" s="3"/>
      <c r="B82" s="29" t="s">
        <v>191</v>
      </c>
      <c r="C82" s="19">
        <v>125</v>
      </c>
      <c r="D82" s="19">
        <v>48</v>
      </c>
      <c r="E82" s="19">
        <v>19</v>
      </c>
      <c r="F82" s="19">
        <v>89</v>
      </c>
      <c r="G82" s="1">
        <f>SUM(C82:F82)</f>
        <v>281</v>
      </c>
      <c r="H82" s="19">
        <v>17</v>
      </c>
      <c r="I82" s="19">
        <v>-15</v>
      </c>
      <c r="J82" s="16">
        <f>AVERAGE(H82:I82)</f>
        <v>1</v>
      </c>
      <c r="K82" s="4" t="s">
        <v>192</v>
      </c>
      <c r="L82" s="3"/>
      <c r="M82" s="3"/>
    </row>
    <row r="83">
      <c r="A83" s="3"/>
      <c r="B83" s="49" t="s">
        <v>77</v>
      </c>
      <c r="C83" s="7" t="s">
        <v>44</v>
      </c>
      <c r="D83" s="7" t="s">
        <v>44</v>
      </c>
      <c r="E83" s="7" t="s">
        <v>44</v>
      </c>
      <c r="F83" s="7" t="s">
        <v>44</v>
      </c>
      <c r="G83" s="7" t="s">
        <v>44</v>
      </c>
      <c r="H83" s="7">
        <f>IFERROR(IF(OR(H82&lt;0,C82&lt;0),"n.m.",H82/C82-1),"n/a")</f>
        <v>-0.864</v>
      </c>
      <c r="I83" s="7" t="str">
        <f>IFERROR(IF(OR(I82&lt;0,D82&lt;0),"n.m.",I82/D82-1),"n/a")</f>
        <v>n.m.</v>
      </c>
      <c r="J83" s="25">
        <f>IFERROR(IF(OR(J82&lt;0,E82&lt;0),"n.m.",J82/E82-1),"n/a")</f>
        <v>-0.9473684210526316</v>
      </c>
      <c r="K83" s="4"/>
      <c r="L83" s="3"/>
      <c r="M83" s="3"/>
    </row>
    <row r="84">
      <c r="A84" s="3"/>
      <c r="B84" s="63" t="s">
        <v>94</v>
      </c>
      <c r="C84" s="1" t="s">
        <v>44</v>
      </c>
      <c r="D84" s="1">
        <f>IFERROR(D82-C82,"n/a")</f>
        <v>-77</v>
      </c>
      <c r="E84" s="1">
        <f>IFERROR(E82-D82,"n/a")</f>
        <v>-29</v>
      </c>
      <c r="F84" s="1">
        <f>IFERROR(F82-E82,"n/a")</f>
        <v>70</v>
      </c>
      <c r="G84" s="1" t="s">
        <v>44</v>
      </c>
      <c r="H84" s="1">
        <f>IFERROR(H82-F82,"n/a")</f>
        <v>-72</v>
      </c>
      <c r="I84" s="1">
        <f>IFERROR(I82-H82,"n/a")</f>
        <v>-32</v>
      </c>
      <c r="J84" s="16">
        <f>IFERROR(J82-I82,"n/a")</f>
        <v>16</v>
      </c>
      <c r="K84" s="4"/>
      <c r="L84" s="3"/>
      <c r="M84" s="3"/>
    </row>
    <row r="85">
      <c r="A85" s="3"/>
      <c r="B85" s="29" t="s">
        <v>193</v>
      </c>
      <c r="C85" s="19">
        <v>10</v>
      </c>
      <c r="D85" s="19">
        <v>56</v>
      </c>
      <c r="E85" s="19">
        <v>219</v>
      </c>
      <c r="F85" s="19">
        <v>137</v>
      </c>
      <c r="G85" s="1">
        <f>SUM(C85:F85)</f>
        <v>422</v>
      </c>
      <c r="H85" s="19">
        <v>-114</v>
      </c>
      <c r="I85" s="19">
        <v>-46</v>
      </c>
      <c r="J85" s="51">
        <v>0</v>
      </c>
      <c r="K85" s="4" t="s">
        <v>194</v>
      </c>
      <c r="L85" s="3"/>
      <c r="M85" s="3"/>
    </row>
    <row r="86">
      <c r="A86" s="3"/>
      <c r="B86" s="29" t="s">
        <v>195</v>
      </c>
      <c r="C86" s="19">
        <v>0</v>
      </c>
      <c r="D86" s="19">
        <v>1529</v>
      </c>
      <c r="E86" s="19">
        <v>8</v>
      </c>
      <c r="F86" s="19">
        <v>-14</v>
      </c>
      <c r="G86" s="1">
        <f>SUM(C86:F86)</f>
        <v>1523</v>
      </c>
      <c r="H86" s="19">
        <v>0</v>
      </c>
      <c r="I86" s="19">
        <v>0</v>
      </c>
      <c r="J86" s="51">
        <v>0</v>
      </c>
      <c r="K86" s="4" t="s">
        <v>194</v>
      </c>
      <c r="L86" s="3"/>
      <c r="M86" s="3"/>
    </row>
    <row r="87">
      <c r="A87" s="3"/>
      <c r="B87" s="29" t="s">
        <v>196</v>
      </c>
      <c r="C87" s="19">
        <v>0</v>
      </c>
      <c r="D87" s="19">
        <v>0</v>
      </c>
      <c r="E87" s="19">
        <v>0</v>
      </c>
      <c r="F87" s="19">
        <v>0</v>
      </c>
      <c r="G87" s="1">
        <f>SUM(C87:F87)</f>
        <v>0</v>
      </c>
      <c r="H87" s="19">
        <v>0</v>
      </c>
      <c r="I87" s="19">
        <v>0</v>
      </c>
      <c r="J87" s="51">
        <v>0</v>
      </c>
      <c r="K87" s="4" t="s">
        <v>194</v>
      </c>
      <c r="L87" s="3"/>
      <c r="M87" s="3"/>
    </row>
    <row r="88">
      <c r="A88" s="3"/>
      <c r="B88" s="29" t="s">
        <v>197</v>
      </c>
      <c r="C88" s="19">
        <v>0</v>
      </c>
      <c r="D88" s="19">
        <v>0</v>
      </c>
      <c r="E88" s="19">
        <v>0</v>
      </c>
      <c r="F88" s="19">
        <v>-30</v>
      </c>
      <c r="G88" s="1">
        <f>SUM(C88:F88)</f>
        <v>-30</v>
      </c>
      <c r="H88" s="19">
        <v>0</v>
      </c>
      <c r="I88" s="19">
        <v>0</v>
      </c>
      <c r="J88" s="51">
        <v>0</v>
      </c>
      <c r="K88" s="4" t="s">
        <v>194</v>
      </c>
      <c r="L88" s="3"/>
      <c r="M88" s="3"/>
    </row>
    <row r="89">
      <c r="A89" s="3"/>
      <c r="B89" s="15" t="s">
        <v>198</v>
      </c>
      <c r="C89" s="21">
        <f>C82+C85+C86+C87+C88</f>
        <v>135</v>
      </c>
      <c r="D89" s="21">
        <f>D82+D85+D86+D87+D88</f>
        <v>1633</v>
      </c>
      <c r="E89" s="21">
        <f>E82+E85+E86+E87+E88</f>
        <v>246</v>
      </c>
      <c r="F89" s="21">
        <f>F82+F85+F86+F87+F88</f>
        <v>182</v>
      </c>
      <c r="G89" s="21">
        <f>G82+G85+G86+G87+G88</f>
        <v>2196</v>
      </c>
      <c r="H89" s="21">
        <f>H82+H85+H86+H87+H88</f>
        <v>-97</v>
      </c>
      <c r="I89" s="21">
        <f>I82+I85+I86+I87+I88</f>
        <v>-61</v>
      </c>
      <c r="J89" s="43">
        <f>J82+J85+J86+J87+J88</f>
        <v>1</v>
      </c>
      <c r="K89" s="4"/>
      <c r="L89" s="3"/>
      <c r="M89" s="3"/>
    </row>
    <row r="90">
      <c r="A90" s="3"/>
      <c r="B90" s="15" t="s">
        <v>199</v>
      </c>
      <c r="C90" s="21">
        <f>C69-C89</f>
        <v>460</v>
      </c>
      <c r="D90" s="21">
        <f>D69-D89</f>
        <v>-639</v>
      </c>
      <c r="E90" s="21">
        <f>E69-E89</f>
        <v>729</v>
      </c>
      <c r="F90" s="21">
        <f>F69-F89</f>
        <v>539</v>
      </c>
      <c r="G90" s="21">
        <f>G69-G89</f>
        <v>1089</v>
      </c>
      <c r="H90" s="21">
        <f>H69-H89</f>
        <v>736</v>
      </c>
      <c r="I90" s="21">
        <f>I69-I89</f>
        <v>1053</v>
      </c>
      <c r="J90" s="43">
        <f>J69-J89</f>
        <v>1067.116149223325</v>
      </c>
      <c r="K90" s="4"/>
      <c r="L90" s="3"/>
      <c r="M90" s="3"/>
    </row>
    <row r="91">
      <c r="A91" s="3"/>
      <c r="B91" s="56" t="s">
        <v>77</v>
      </c>
      <c r="C91" s="7" t="s">
        <v>44</v>
      </c>
      <c r="D91" s="7" t="s">
        <v>44</v>
      </c>
      <c r="E91" s="7" t="s">
        <v>44</v>
      </c>
      <c r="F91" s="7" t="s">
        <v>44</v>
      </c>
      <c r="G91" s="7" t="s">
        <v>44</v>
      </c>
      <c r="H91" s="7">
        <f>IFERROR(IF(OR(H90&lt;0,C90&lt;0),"n.m.",H90/C90-1),"n/a")</f>
        <v>0.6000000000000001</v>
      </c>
      <c r="I91" s="7" t="str">
        <f>IFERROR(IF(OR(I90&lt;0,D90&lt;0),"n.m.",I90/D90-1),"n/a")</f>
        <v>n.m.</v>
      </c>
      <c r="J91" s="25">
        <f>IFERROR(IF(OR(J90&lt;0,E90&lt;0),"n.m.",J90/E90-1),"n/a")</f>
        <v>0.4638081608001714</v>
      </c>
      <c r="K91" s="4"/>
      <c r="L91" s="3"/>
      <c r="M91" s="3"/>
    </row>
    <row r="92">
      <c r="A92" s="3"/>
      <c r="B92" s="29" t="s">
        <v>94</v>
      </c>
      <c r="C92" s="1" t="s">
        <v>44</v>
      </c>
      <c r="D92" s="1">
        <f>IFERROR(D90-C90,"n/a")</f>
        <v>-1099</v>
      </c>
      <c r="E92" s="1">
        <f>IFERROR(E90-D90,"n/a")</f>
        <v>1368</v>
      </c>
      <c r="F92" s="1">
        <f>IFERROR(F90-E90,"n/a")</f>
        <v>-190</v>
      </c>
      <c r="G92" s="1" t="s">
        <v>44</v>
      </c>
      <c r="H92" s="1">
        <f>IFERROR(H90-F90,"n/a")</f>
        <v>197</v>
      </c>
      <c r="I92" s="1">
        <f>IFERROR(I90-H90,"n/a")</f>
        <v>317</v>
      </c>
      <c r="J92" s="16">
        <f>IFERROR(J90-I90,"n/a")</f>
        <v>14.11614922332501</v>
      </c>
      <c r="K92" s="4"/>
      <c r="L92" s="3"/>
      <c r="M92" s="3"/>
    </row>
    <row r="93">
      <c r="A93" s="3"/>
      <c r="B93" s="12" t="s">
        <v>200</v>
      </c>
      <c r="C93" s="7">
        <f>IFERROR(C90/C51,"n/a")</f>
        <v>0.07828454731109598</v>
      </c>
      <c r="D93" s="7">
        <f>IFERROR(D90/D51,"n/a")</f>
        <v>-0.09402589758681577</v>
      </c>
      <c r="E93" s="7">
        <f>IFERROR(E90/E51,"n/a")</f>
        <v>0.09949501842500341</v>
      </c>
      <c r="F93" s="7">
        <f>IFERROR(F90/F51,"n/a")</f>
        <v>0.06574774335203708</v>
      </c>
      <c r="G93" s="7">
        <f>IFERROR(G90/G51,"n/a")</f>
        <v>0.03862112990743696</v>
      </c>
      <c r="H93" s="7">
        <f>IFERROR(H90/H51,"n/a")</f>
        <v>0.11516194648724769</v>
      </c>
      <c r="I93" s="7">
        <f>IFERROR(I90/I51,"n/a")</f>
        <v>0.14538174789451885</v>
      </c>
      <c r="J93" s="25">
        <f>IFERROR(J90/J51,"n/a")</f>
        <v>0.13897317415842964</v>
      </c>
      <c r="K93" s="4"/>
      <c r="L93" s="3"/>
      <c r="M93" s="3"/>
    </row>
    <row r="94">
      <c r="A94" s="3"/>
      <c r="B94" s="56" t="s">
        <v>109</v>
      </c>
      <c r="C94" s="77" t="s">
        <v>44</v>
      </c>
      <c r="D94" s="77" t="s">
        <v>44</v>
      </c>
      <c r="E94" s="77" t="s">
        <v>44</v>
      </c>
      <c r="F94" s="77" t="s">
        <v>44</v>
      </c>
      <c r="G94" s="77" t="s">
        <v>44</v>
      </c>
      <c r="H94" s="77">
        <f>IFERROR((H93-C93)*10000,"n/a")</f>
        <v>368.7739917615171</v>
      </c>
      <c r="I94" s="77">
        <f>IFERROR((I93-D93)*10000,"n/a")</f>
        <v>2394.0764548133466</v>
      </c>
      <c r="J94" s="78">
        <f>IFERROR((J93-E93)*10000,"n/a")</f>
        <v>394.78155733426223</v>
      </c>
      <c r="K94" s="4"/>
      <c r="L94" s="3"/>
      <c r="M94" s="3"/>
    </row>
    <row r="95">
      <c r="A95" s="3"/>
      <c r="B95" s="56" t="s">
        <v>110</v>
      </c>
      <c r="C95" s="77" t="s">
        <v>44</v>
      </c>
      <c r="D95" s="77">
        <f>IFERROR((D93-C93)*10000,"n/a")</f>
        <v>-1723.1044489791175</v>
      </c>
      <c r="E95" s="77">
        <f>IFERROR((E93-D93)*10000,"n/a")</f>
        <v>1935.209160118192</v>
      </c>
      <c r="F95" s="77">
        <f>IFERROR((F93-E93)*10000,"n/a")</f>
        <v>-337.47275072966335</v>
      </c>
      <c r="G95" s="77" t="s">
        <v>44</v>
      </c>
      <c r="H95" s="77">
        <f>IFERROR((H93-F93)*10000,"n/a")</f>
        <v>494.14203135210613</v>
      </c>
      <c r="I95" s="77">
        <f>IFERROR((I93-H93)*10000,"n/a")</f>
        <v>302.19801407271166</v>
      </c>
      <c r="J95" s="78">
        <f>IFERROR((J93-I93)*10000,"n/a")</f>
        <v>-64.08573736089218</v>
      </c>
      <c r="K95" s="4"/>
      <c r="L95" s="3"/>
      <c r="M95" s="3"/>
    </row>
    <row r="96">
      <c r="A96" s="3"/>
      <c r="B96" s="3" t="s">
        <v>201</v>
      </c>
      <c r="C96" s="19">
        <v>460</v>
      </c>
      <c r="D96" s="19">
        <v>-639</v>
      </c>
      <c r="E96" s="19">
        <v>729</v>
      </c>
      <c r="F96" s="19">
        <v>539</v>
      </c>
      <c r="G96" s="19">
        <v>1089</v>
      </c>
      <c r="H96" s="19">
        <v>736</v>
      </c>
      <c r="I96" s="19">
        <v>1053</v>
      </c>
      <c r="J96" s="16" t="s">
        <v>44</v>
      </c>
      <c r="K96" s="4" t="s">
        <v>202</v>
      </c>
      <c r="L96" s="3"/>
      <c r="M96" s="3"/>
    </row>
    <row r="97">
      <c r="A97" s="3"/>
      <c r="B97" s="12" t="s">
        <v>203</v>
      </c>
      <c r="C97" s="52">
        <f>C90-C96</f>
        <v>0</v>
      </c>
      <c r="D97" s="52">
        <f>D90-D96</f>
        <v>0</v>
      </c>
      <c r="E97" s="52">
        <f>E90-E96</f>
        <v>0</v>
      </c>
      <c r="F97" s="52">
        <f>F90-F96</f>
        <v>0</v>
      </c>
      <c r="G97" s="52">
        <f>G90-G96</f>
        <v>0</v>
      </c>
      <c r="H97" s="52">
        <f>H90-H96</f>
        <v>0</v>
      </c>
      <c r="I97" s="52">
        <f>I90-I96</f>
        <v>0</v>
      </c>
      <c r="J97" s="62" t="s">
        <v>44</v>
      </c>
      <c r="K97" s="4"/>
      <c r="L97" s="3"/>
      <c r="M97" s="3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M9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207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141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3" t="s">
        <v>142</v>
      </c>
      <c r="C10" s="19">
        <v>739</v>
      </c>
      <c r="D10" s="19">
        <v>1326</v>
      </c>
      <c r="E10" s="19">
        <v>1290</v>
      </c>
      <c r="F10" s="19">
        <v>1524</v>
      </c>
      <c r="G10" s="1">
        <f>SUM(C10:F10)</f>
        <v>4879</v>
      </c>
      <c r="H10" s="1">
        <f>C33</f>
        <v>759</v>
      </c>
      <c r="I10" s="1">
        <f>D33</f>
        <v>1368</v>
      </c>
      <c r="J10" s="16">
        <f>E33</f>
        <v>1291</v>
      </c>
      <c r="K10" s="4" t="s">
        <v>143</v>
      </c>
      <c r="L10" s="3"/>
      <c r="M10" s="3"/>
    </row>
    <row r="11">
      <c r="A11" s="3"/>
      <c r="B11" s="29" t="s">
        <v>144</v>
      </c>
      <c r="C11" s="19">
        <v>0</v>
      </c>
      <c r="D11" s="19">
        <v>0</v>
      </c>
      <c r="E11" s="19">
        <v>0</v>
      </c>
      <c r="F11" s="19">
        <v>0</v>
      </c>
      <c r="G11" s="1">
        <f>SUM(C11:F11)</f>
        <v>0</v>
      </c>
      <c r="H11" s="19">
        <v>0</v>
      </c>
      <c r="I11" s="19">
        <v>0</v>
      </c>
      <c r="J11" s="16">
        <f>AVERAGE(H11:I11)</f>
        <v>0</v>
      </c>
      <c r="K11" s="4" t="s">
        <v>145</v>
      </c>
      <c r="L11" s="3"/>
      <c r="M11" s="3"/>
    </row>
    <row r="12">
      <c r="A12" s="3"/>
      <c r="B12" s="15" t="s">
        <v>146</v>
      </c>
      <c r="C12" s="21">
        <f>C10+C11</f>
        <v>739</v>
      </c>
      <c r="D12" s="21">
        <f>D10+D11</f>
        <v>1326</v>
      </c>
      <c r="E12" s="21">
        <f>E10+E11</f>
        <v>1290</v>
      </c>
      <c r="F12" s="21">
        <f>F10+F11</f>
        <v>1524</v>
      </c>
      <c r="G12" s="21">
        <f>G10+G11</f>
        <v>4879</v>
      </c>
      <c r="H12" s="21">
        <f>H10+H11</f>
        <v>759</v>
      </c>
      <c r="I12" s="21">
        <f>I10+I11</f>
        <v>1368</v>
      </c>
      <c r="J12" s="43">
        <f>J10+J11</f>
        <v>1291</v>
      </c>
      <c r="K12" s="4"/>
      <c r="L12" s="3"/>
      <c r="M12" s="3"/>
    </row>
    <row r="13">
      <c r="A13" s="3"/>
      <c r="B13" s="12" t="s">
        <v>147</v>
      </c>
      <c r="C13" s="9">
        <v>0.05</v>
      </c>
      <c r="D13" s="9">
        <v>0.01</v>
      </c>
      <c r="E13" s="9">
        <v>-0.05</v>
      </c>
      <c r="F13" s="9">
        <v>0.01</v>
      </c>
      <c r="G13" s="9">
        <v>0</v>
      </c>
      <c r="H13" s="9">
        <v>-0.03</v>
      </c>
      <c r="I13" s="9">
        <v>0.06</v>
      </c>
      <c r="J13" s="79">
        <v>0.05</v>
      </c>
      <c r="K13" s="4" t="s">
        <v>148</v>
      </c>
      <c r="L13" s="3"/>
      <c r="M13" s="3"/>
    </row>
    <row r="14">
      <c r="A14" s="3"/>
      <c r="B14" s="56" t="s">
        <v>109</v>
      </c>
      <c r="C14" s="77" t="s">
        <v>44</v>
      </c>
      <c r="D14" s="77" t="s">
        <v>44</v>
      </c>
      <c r="E14" s="77" t="s">
        <v>44</v>
      </c>
      <c r="F14" s="77" t="s">
        <v>44</v>
      </c>
      <c r="G14" s="77" t="s">
        <v>44</v>
      </c>
      <c r="H14" s="77">
        <f>IFERROR((H13-C13)*10000,"n/a")</f>
        <v>-800</v>
      </c>
      <c r="I14" s="77">
        <f>IFERROR((I13-D13)*10000,"n/a")</f>
        <v>499.99999999999994</v>
      </c>
      <c r="J14" s="78">
        <f>IFERROR((J13-E13)*10000,"n/a")</f>
        <v>1000</v>
      </c>
      <c r="K14" s="4"/>
      <c r="L14" s="3"/>
      <c r="M14" s="3"/>
    </row>
    <row r="15">
      <c r="A15" s="3"/>
      <c r="B15" s="56" t="s">
        <v>110</v>
      </c>
      <c r="C15" s="77" t="s">
        <v>44</v>
      </c>
      <c r="D15" s="77">
        <f>IFERROR((D13-C13)*10000,"n/a")</f>
        <v>-400</v>
      </c>
      <c r="E15" s="77">
        <f>IFERROR((E13-D13)*10000,"n/a")</f>
        <v>-600</v>
      </c>
      <c r="F15" s="77">
        <f>IFERROR((F13-E13)*10000,"n/a")</f>
        <v>600</v>
      </c>
      <c r="G15" s="77" t="s">
        <v>44</v>
      </c>
      <c r="H15" s="77">
        <f>IFERROR((H13-F13)*10000,"n/a")</f>
        <v>-400</v>
      </c>
      <c r="I15" s="77">
        <f>IFERROR((I13-H13)*10000,"n/a")</f>
        <v>900</v>
      </c>
      <c r="J15" s="78">
        <f>IFERROR((J13-I13)*10000,"n/a")</f>
        <v>-99.99999999999994</v>
      </c>
      <c r="K15" s="4"/>
      <c r="L15" s="3"/>
      <c r="M15" s="3"/>
    </row>
    <row r="16">
      <c r="A16" s="3"/>
      <c r="B16" s="12" t="s">
        <v>149</v>
      </c>
      <c r="C16" s="9">
        <v>0.02</v>
      </c>
      <c r="D16" s="9">
        <v>0.04</v>
      </c>
      <c r="E16" s="9">
        <v>0.04</v>
      </c>
      <c r="F16" s="9">
        <v>0</v>
      </c>
      <c r="G16" s="9">
        <v>0.02</v>
      </c>
      <c r="H16" s="9">
        <v>0.08</v>
      </c>
      <c r="I16" s="9">
        <v>0.03</v>
      </c>
      <c r="J16" s="79">
        <v>0.03</v>
      </c>
      <c r="K16" s="4" t="s">
        <v>150</v>
      </c>
      <c r="L16" s="3"/>
      <c r="M16" s="3"/>
    </row>
    <row r="17">
      <c r="A17" s="3"/>
      <c r="B17" s="56" t="s">
        <v>109</v>
      </c>
      <c r="C17" s="77" t="s">
        <v>44</v>
      </c>
      <c r="D17" s="77" t="s">
        <v>44</v>
      </c>
      <c r="E17" s="77" t="s">
        <v>44</v>
      </c>
      <c r="F17" s="77" t="s">
        <v>44</v>
      </c>
      <c r="G17" s="77" t="s">
        <v>44</v>
      </c>
      <c r="H17" s="77">
        <f>IFERROR((H16-C16)*10000,"n/a")</f>
        <v>600</v>
      </c>
      <c r="I17" s="77">
        <f>IFERROR((I16-D16)*10000,"n/a")</f>
        <v>-100.00000000000001</v>
      </c>
      <c r="J17" s="78">
        <f>IFERROR((J16-E16)*10000,"n/a")</f>
        <v>-100.00000000000001</v>
      </c>
      <c r="K17" s="4"/>
      <c r="L17" s="3"/>
      <c r="M17" s="3"/>
    </row>
    <row r="18">
      <c r="A18" s="3"/>
      <c r="B18" s="56" t="s">
        <v>110</v>
      </c>
      <c r="C18" s="77" t="s">
        <v>44</v>
      </c>
      <c r="D18" s="77">
        <f>IFERROR((D16-C16)*10000,"n/a")</f>
        <v>200</v>
      </c>
      <c r="E18" s="77">
        <f>IFERROR((E16-D16)*10000,"n/a")</f>
        <v>0</v>
      </c>
      <c r="F18" s="77">
        <f>IFERROR((F16-E16)*10000,"n/a")</f>
        <v>-400</v>
      </c>
      <c r="G18" s="77" t="s">
        <v>44</v>
      </c>
      <c r="H18" s="77">
        <f>IFERROR((H16-F16)*10000,"n/a")</f>
        <v>800</v>
      </c>
      <c r="I18" s="77">
        <f>IFERROR((I16-H16)*10000,"n/a")</f>
        <v>-500</v>
      </c>
      <c r="J18" s="78">
        <f>IFERROR((J16-I16)*10000,"n/a")</f>
        <v>0</v>
      </c>
      <c r="K18" s="4"/>
      <c r="L18" s="3"/>
      <c r="M18" s="3"/>
    </row>
    <row r="19">
      <c r="A19" s="3"/>
      <c r="B19" s="12" t="s">
        <v>151</v>
      </c>
      <c r="C19" s="9">
        <v>0.07</v>
      </c>
      <c r="D19" s="9">
        <v>0.05</v>
      </c>
      <c r="E19" s="9">
        <v>-0.01</v>
      </c>
      <c r="F19" s="9">
        <v>0.02</v>
      </c>
      <c r="G19" s="9">
        <v>0.03</v>
      </c>
      <c r="H19" s="9">
        <v>0.05</v>
      </c>
      <c r="I19" s="9">
        <v>0.09</v>
      </c>
      <c r="J19" s="25">
        <f>J13+J16</f>
        <v>0.08</v>
      </c>
      <c r="K19" s="4" t="s">
        <v>152</v>
      </c>
      <c r="L19" s="3"/>
      <c r="M19" s="3"/>
    </row>
    <row r="20">
      <c r="A20" s="3"/>
      <c r="B20" s="56" t="s">
        <v>109</v>
      </c>
      <c r="C20" s="77" t="s">
        <v>44</v>
      </c>
      <c r="D20" s="77" t="s">
        <v>44</v>
      </c>
      <c r="E20" s="77" t="s">
        <v>44</v>
      </c>
      <c r="F20" s="77" t="s">
        <v>44</v>
      </c>
      <c r="G20" s="77" t="s">
        <v>44</v>
      </c>
      <c r="H20" s="77">
        <f>IFERROR((H19-C19)*10000,"n/a")</f>
        <v>-200.00000000000003</v>
      </c>
      <c r="I20" s="77">
        <f>IFERROR((I19-D19)*10000,"n/a")</f>
        <v>399.99999999999994</v>
      </c>
      <c r="J20" s="78">
        <f>IFERROR((J19-E19)*10000,"n/a")</f>
        <v>900</v>
      </c>
      <c r="K20" s="4"/>
      <c r="L20" s="3"/>
      <c r="M20" s="3"/>
    </row>
    <row r="21">
      <c r="A21" s="3"/>
      <c r="B21" s="56" t="s">
        <v>110</v>
      </c>
      <c r="C21" s="77" t="s">
        <v>44</v>
      </c>
      <c r="D21" s="77">
        <f>IFERROR((D19-C19)*10000,"n/a")</f>
        <v>-200.00000000000003</v>
      </c>
      <c r="E21" s="77">
        <f>IFERROR((E19-D19)*10000,"n/a")</f>
        <v>-600</v>
      </c>
      <c r="F21" s="77">
        <f>IFERROR((F19-E19)*10000,"n/a")</f>
        <v>300</v>
      </c>
      <c r="G21" s="77" t="s">
        <v>44</v>
      </c>
      <c r="H21" s="77">
        <f>IFERROR((H19-F19)*10000,"n/a")</f>
        <v>300</v>
      </c>
      <c r="I21" s="77">
        <f>IFERROR((I19-H19)*10000,"n/a")</f>
        <v>399.99999999999994</v>
      </c>
      <c r="J21" s="78">
        <f>IFERROR((J19-I19)*10000,"n/a")</f>
        <v>-99.99999999999994</v>
      </c>
      <c r="K21" s="4"/>
      <c r="L21" s="3"/>
      <c r="M21" s="3"/>
    </row>
    <row r="22">
      <c r="A22" s="3"/>
      <c r="B22" s="3" t="s">
        <v>98</v>
      </c>
      <c r="C22" s="1">
        <f>C33-C25-C29</f>
        <v>791</v>
      </c>
      <c r="D22" s="1">
        <f>D33-D25-D29</f>
        <v>1391</v>
      </c>
      <c r="E22" s="1">
        <f>E33-E25-E29</f>
        <v>1278</v>
      </c>
      <c r="F22" s="1">
        <f>F33-F25-F29</f>
        <v>1549</v>
      </c>
      <c r="G22" s="1">
        <f>SUM(C22:F22)</f>
        <v>5009</v>
      </c>
      <c r="H22" s="1">
        <f>H33-H25-H29</f>
        <v>796</v>
      </c>
      <c r="I22" s="1">
        <f>I33-I25-I29</f>
        <v>1494</v>
      </c>
      <c r="J22" s="16">
        <f>J12*(1+J19)</f>
        <v>1394.2800000000002</v>
      </c>
      <c r="K22" s="4" t="s">
        <v>153</v>
      </c>
      <c r="L22" s="3"/>
      <c r="M22" s="3"/>
    </row>
    <row r="23">
      <c r="A23" s="3"/>
      <c r="B23" s="56" t="s">
        <v>154</v>
      </c>
      <c r="C23" s="7">
        <f>IFERROR(IF(OR(C22&lt;0,C12&lt;0),"n.m.",C22/C12-1),"n/a")</f>
        <v>0.07036535859269288</v>
      </c>
      <c r="D23" s="7">
        <f>IFERROR(IF(OR(D22&lt;0,D12&lt;0),"n.m.",D22/D12-1),"n/a")</f>
        <v>0.0490196078431373</v>
      </c>
      <c r="E23" s="7">
        <f>IFERROR(IF(OR(E22&lt;0,E12&lt;0),"n.m.",E22/E12-1),"n/a")</f>
        <v>-0.009302325581395321</v>
      </c>
      <c r="F23" s="7">
        <f>IFERROR(IF(OR(F22&lt;0,F12&lt;0),"n.m.",F22/F12-1),"n/a")</f>
        <v>0.01640419947506566</v>
      </c>
      <c r="G23" s="7">
        <f>IFERROR(IF(OR(G22&lt;0,G12&lt;0),"n.m.",G22/G12-1),"n/a")</f>
        <v>0.02664480426316862</v>
      </c>
      <c r="H23" s="7">
        <f>IFERROR(IF(OR(H22&lt;0,H12&lt;0),"n.m.",H22/H12-1),"n/a")</f>
        <v>0.0487483530961792</v>
      </c>
      <c r="I23" s="7">
        <f>IFERROR(IF(OR(I22&lt;0,I12&lt;0),"n.m.",I22/I12-1),"n/a")</f>
        <v>0.09210526315789469</v>
      </c>
      <c r="J23" s="25">
        <f>IFERROR(IF(OR(J22&lt;0,J12&lt;0),"n.m.",J22/J12-1),"n/a")</f>
        <v>0.08000000000000007</v>
      </c>
      <c r="K23" s="4"/>
      <c r="L23" s="3"/>
      <c r="M23" s="3"/>
    </row>
    <row r="24">
      <c r="A24" s="3"/>
      <c r="B24" s="29" t="s">
        <v>94</v>
      </c>
      <c r="C24" s="1" t="s">
        <v>44</v>
      </c>
      <c r="D24" s="1">
        <f>IFERROR(D22-C22,"n/a")</f>
        <v>600</v>
      </c>
      <c r="E24" s="1">
        <f>IFERROR(E22-D22,"n/a")</f>
        <v>-113</v>
      </c>
      <c r="F24" s="1">
        <f>IFERROR(F22-E22,"n/a")</f>
        <v>271</v>
      </c>
      <c r="G24" s="1" t="s">
        <v>44</v>
      </c>
      <c r="H24" s="1">
        <f>IFERROR(H22-F22,"n/a")</f>
        <v>-753</v>
      </c>
      <c r="I24" s="1">
        <f>IFERROR(I22-H22,"n/a")</f>
        <v>698</v>
      </c>
      <c r="J24" s="16">
        <f>IFERROR(J22-I22,"n/a")</f>
        <v>-99.7199999999998</v>
      </c>
      <c r="K24" s="4"/>
      <c r="L24" s="3"/>
      <c r="M24" s="3"/>
    </row>
    <row r="25">
      <c r="A25" s="3"/>
      <c r="B25" s="3" t="s">
        <v>99</v>
      </c>
      <c r="C25" s="19">
        <v>-34</v>
      </c>
      <c r="D25" s="19">
        <v>-25</v>
      </c>
      <c r="E25" s="19">
        <v>11</v>
      </c>
      <c r="F25" s="19">
        <v>29</v>
      </c>
      <c r="G25" s="1">
        <f>SUM(C25:F25)</f>
        <v>-19</v>
      </c>
      <c r="H25" s="19">
        <v>28</v>
      </c>
      <c r="I25" s="19">
        <v>29</v>
      </c>
      <c r="J25" s="16">
        <f>J10*J26</f>
        <v>12.91</v>
      </c>
      <c r="K25" s="4" t="s">
        <v>155</v>
      </c>
      <c r="L25" s="3"/>
      <c r="M25" s="3"/>
    </row>
    <row r="26">
      <c r="A26" s="3"/>
      <c r="B26" s="56" t="s">
        <v>156</v>
      </c>
      <c r="C26" s="7">
        <f>IFERROR(C25/C10,"n/a")</f>
        <v>-0.046008119079837616</v>
      </c>
      <c r="D26" s="7">
        <f>IFERROR(D25/D10,"n/a")</f>
        <v>-0.01885369532428356</v>
      </c>
      <c r="E26" s="7">
        <f>IFERROR(E25/E10,"n/a")</f>
        <v>0.008527131782945736</v>
      </c>
      <c r="F26" s="7">
        <f>IFERROR(F25/F10,"n/a")</f>
        <v>0.019028871391076115</v>
      </c>
      <c r="G26" s="7">
        <f>IFERROR(G25/G10,"n/a")</f>
        <v>-0.0038942406230784996</v>
      </c>
      <c r="H26" s="7">
        <f>IFERROR(H25/H10,"n/a")</f>
        <v>0.03689064558629776</v>
      </c>
      <c r="I26" s="7">
        <f>IFERROR(I25/I10,"n/a")</f>
        <v>0.021198830409356724</v>
      </c>
      <c r="J26" s="79">
        <v>0.01</v>
      </c>
      <c r="K26" s="4" t="s">
        <v>157</v>
      </c>
      <c r="L26" s="3"/>
      <c r="M26" s="3"/>
    </row>
    <row r="27">
      <c r="A27" s="3"/>
      <c r="B27" s="49" t="s">
        <v>109</v>
      </c>
      <c r="C27" s="77" t="s">
        <v>44</v>
      </c>
      <c r="D27" s="77" t="s">
        <v>44</v>
      </c>
      <c r="E27" s="77" t="s">
        <v>44</v>
      </c>
      <c r="F27" s="77" t="s">
        <v>44</v>
      </c>
      <c r="G27" s="77" t="s">
        <v>44</v>
      </c>
      <c r="H27" s="77">
        <f>IFERROR((H26-C26)*10000,"n/a")</f>
        <v>828.9876466613538</v>
      </c>
      <c r="I27" s="77">
        <f>IFERROR((I26-D26)*10000,"n/a")</f>
        <v>400.5252573364028</v>
      </c>
      <c r="J27" s="78">
        <f>IFERROR((J26-E26)*10000,"n/a")</f>
        <v>14.728682170542639</v>
      </c>
      <c r="K27" s="4"/>
      <c r="L27" s="3"/>
      <c r="M27" s="3"/>
    </row>
    <row r="28">
      <c r="A28" s="3"/>
      <c r="B28" s="49" t="s">
        <v>110</v>
      </c>
      <c r="C28" s="77" t="s">
        <v>44</v>
      </c>
      <c r="D28" s="77">
        <f>IFERROR((D26-C26)*10000,"n/a")</f>
        <v>271.5442375555406</v>
      </c>
      <c r="E28" s="77">
        <f>IFERROR((E26-D26)*10000,"n/a")</f>
        <v>273.80827107229294</v>
      </c>
      <c r="F28" s="77">
        <f>IFERROR((F26-E26)*10000,"n/a")</f>
        <v>105.01739608130379</v>
      </c>
      <c r="G28" s="77" t="s">
        <v>44</v>
      </c>
      <c r="H28" s="77">
        <f>IFERROR((H26-F26)*10000,"n/a")</f>
        <v>178.61774195221645</v>
      </c>
      <c r="I28" s="77">
        <f>IFERROR((I26-H26)*10000,"n/a")</f>
        <v>-156.91815176941037</v>
      </c>
      <c r="J28" s="78">
        <f>IFERROR((J26-I26)*10000,"n/a")</f>
        <v>-111.98830409356724</v>
      </c>
      <c r="K28" s="4"/>
      <c r="L28" s="3"/>
      <c r="M28" s="3"/>
    </row>
    <row r="29">
      <c r="A29" s="3"/>
      <c r="B29" s="3" t="s">
        <v>100</v>
      </c>
      <c r="C29" s="19">
        <v>2</v>
      </c>
      <c r="D29" s="19">
        <v>2</v>
      </c>
      <c r="E29" s="19">
        <v>2</v>
      </c>
      <c r="F29" s="19">
        <v>1</v>
      </c>
      <c r="G29" s="1">
        <f>SUM(C29:F29)</f>
        <v>7</v>
      </c>
      <c r="H29" s="19">
        <v>0</v>
      </c>
      <c r="I29" s="19">
        <v>0</v>
      </c>
      <c r="J29" s="16">
        <f>J10*J30</f>
        <v>0</v>
      </c>
      <c r="K29" s="4" t="s">
        <v>158</v>
      </c>
      <c r="L29" s="3"/>
      <c r="M29" s="3"/>
    </row>
    <row r="30">
      <c r="A30" s="3"/>
      <c r="B30" s="56" t="s">
        <v>159</v>
      </c>
      <c r="C30" s="7">
        <f>IFERROR(C29/C10,"n/a")</f>
        <v>0.0027063599458728013</v>
      </c>
      <c r="D30" s="7">
        <f>IFERROR(D29/D10,"n/a")</f>
        <v>0.0015082956259426848</v>
      </c>
      <c r="E30" s="7">
        <f>IFERROR(E29/E10,"n/a")</f>
        <v>0.0015503875968992248</v>
      </c>
      <c r="F30" s="7">
        <f>IFERROR(F29/F10,"n/a")</f>
        <v>0.0006561679790026247</v>
      </c>
      <c r="G30" s="7">
        <f>IFERROR(G29/G10,"n/a")</f>
        <v>0.0014347202295552368</v>
      </c>
      <c r="H30" s="7">
        <f>IFERROR(H29/H10,"n/a")</f>
        <v>0</v>
      </c>
      <c r="I30" s="7">
        <f>IFERROR(I29/I10,"n/a")</f>
        <v>0</v>
      </c>
      <c r="J30" s="79">
        <v>0</v>
      </c>
      <c r="K30" s="4" t="s">
        <v>160</v>
      </c>
      <c r="L30" s="3"/>
      <c r="M30" s="3"/>
    </row>
    <row r="31">
      <c r="A31" s="3"/>
      <c r="B31" s="49" t="s">
        <v>109</v>
      </c>
      <c r="C31" s="77" t="s">
        <v>44</v>
      </c>
      <c r="D31" s="77" t="s">
        <v>44</v>
      </c>
      <c r="E31" s="77" t="s">
        <v>44</v>
      </c>
      <c r="F31" s="77" t="s">
        <v>44</v>
      </c>
      <c r="G31" s="77" t="s">
        <v>44</v>
      </c>
      <c r="H31" s="77">
        <f>IFERROR((H30-C30)*10000,"n/a")</f>
        <v>-27.063599458728014</v>
      </c>
      <c r="I31" s="77">
        <f>IFERROR((I30-D30)*10000,"n/a")</f>
        <v>-15.08295625942685</v>
      </c>
      <c r="J31" s="78">
        <f>IFERROR((J30-E30)*10000,"n/a")</f>
        <v>-15.503875968992247</v>
      </c>
      <c r="K31" s="4"/>
      <c r="L31" s="3"/>
      <c r="M31" s="3"/>
    </row>
    <row r="32">
      <c r="A32" s="3"/>
      <c r="B32" s="49" t="s">
        <v>110</v>
      </c>
      <c r="C32" s="77" t="s">
        <v>44</v>
      </c>
      <c r="D32" s="77">
        <f>IFERROR((D30-C30)*10000,"n/a")</f>
        <v>-11.980643199301165</v>
      </c>
      <c r="E32" s="77">
        <f>IFERROR((E30-D30)*10000,"n/a")</f>
        <v>0.42091970956539954</v>
      </c>
      <c r="F32" s="77">
        <f>IFERROR((F30-E30)*10000,"n/a")</f>
        <v>-8.942196178966002</v>
      </c>
      <c r="G32" s="77" t="s">
        <v>44</v>
      </c>
      <c r="H32" s="77">
        <f>IFERROR((H30-F30)*10000,"n/a")</f>
        <v>-6.561679790026247</v>
      </c>
      <c r="I32" s="77">
        <f>IFERROR((I30-H30)*10000,"n/a")</f>
        <v>0</v>
      </c>
      <c r="J32" s="78">
        <f>IFERROR((J30-I30)*10000,"n/a")</f>
        <v>0</v>
      </c>
      <c r="K32" s="4"/>
      <c r="L32" s="3"/>
      <c r="M32" s="3"/>
    </row>
    <row r="33">
      <c r="A33" s="3"/>
      <c r="B33" s="15" t="s">
        <v>161</v>
      </c>
      <c r="C33" s="32">
        <v>759</v>
      </c>
      <c r="D33" s="32">
        <v>1368</v>
      </c>
      <c r="E33" s="32">
        <v>1291</v>
      </c>
      <c r="F33" s="32">
        <v>1579</v>
      </c>
      <c r="G33" s="21">
        <f>SUM(C33:F33)</f>
        <v>4997</v>
      </c>
      <c r="H33" s="32">
        <v>824</v>
      </c>
      <c r="I33" s="32">
        <v>1523</v>
      </c>
      <c r="J33" s="43">
        <f>J22+J25+J29</f>
        <v>1407.1900000000003</v>
      </c>
      <c r="K33" s="4" t="s">
        <v>162</v>
      </c>
      <c r="L33" s="3"/>
      <c r="M33" s="3"/>
    </row>
    <row r="34">
      <c r="A34" s="3"/>
      <c r="B34" s="56" t="s">
        <v>77</v>
      </c>
      <c r="C34" s="7">
        <f>IFERROR(IF(OR(C33&lt;0,C10&lt;0),"n.m.",C33/C10-1),"n/a")</f>
        <v>0.02706359945872805</v>
      </c>
      <c r="D34" s="7">
        <f>IFERROR(IF(OR(D33&lt;0,D10&lt;0),"n.m.",D33/D10-1),"n/a")</f>
        <v>0.03167420814479649</v>
      </c>
      <c r="E34" s="7">
        <f>IFERROR(IF(OR(E33&lt;0,E10&lt;0),"n.m.",E33/E10-1),"n/a")</f>
        <v>0.0007751937984497026</v>
      </c>
      <c r="F34" s="7">
        <f>IFERROR(IF(OR(F33&lt;0,F10&lt;0),"n.m.",F33/F10-1),"n/a")</f>
        <v>0.03608923884514437</v>
      </c>
      <c r="G34" s="7">
        <f>IFERROR(IF(OR(G33&lt;0,G10&lt;0),"n.m.",G33/G10-1),"n/a")</f>
        <v>0.02418528386964547</v>
      </c>
      <c r="H34" s="7">
        <f>IFERROR(IF(OR(H33&lt;0,C33&lt;0),"n.m.",H33/C33-1),"n/a")</f>
        <v>0.08563899868247704</v>
      </c>
      <c r="I34" s="7">
        <f>IFERROR(IF(OR(I33&lt;0,D33&lt;0),"n.m.",I33/D33-1),"n/a")</f>
        <v>0.11330409356725135</v>
      </c>
      <c r="J34" s="25">
        <f>IFERROR(IF(OR(J33&lt;0,E33&lt;0),"n.m.",J33/E33-1),"n/a")</f>
        <v>0.0900000000000003</v>
      </c>
      <c r="K34" s="4"/>
      <c r="L34" s="3"/>
      <c r="M34" s="3"/>
    </row>
    <row r="35">
      <c r="A35" s="3"/>
      <c r="B35" s="56" t="s">
        <v>78</v>
      </c>
      <c r="C35" s="7" t="s">
        <v>44</v>
      </c>
      <c r="D35" s="7">
        <f>IFERROR(IF(OR(D33&lt;0,C33&lt;0),"n.m.",D33/C33-1),"n/a")</f>
        <v>0.8023715415019763</v>
      </c>
      <c r="E35" s="7">
        <f>IFERROR(IF(OR(E33&lt;0,D33&lt;0),"n.m.",E33/D33-1),"n/a")</f>
        <v>-0.056286549707602385</v>
      </c>
      <c r="F35" s="7">
        <f>IFERROR(IF(OR(F33&lt;0,E33&lt;0),"n.m.",F33/E33-1),"n/a")</f>
        <v>0.22308288148721922</v>
      </c>
      <c r="G35" s="7" t="s">
        <v>44</v>
      </c>
      <c r="H35" s="7">
        <f>IFERROR(IF(OR(H33&lt;0,F33&lt;0),"n.m.",H33/F33-1),"n/a")</f>
        <v>-0.47815072830905636</v>
      </c>
      <c r="I35" s="7">
        <f>IFERROR(IF(OR(I33&lt;0,H33&lt;0),"n.m.",I33/H33-1),"n/a")</f>
        <v>0.8483009708737863</v>
      </c>
      <c r="J35" s="25">
        <f>IFERROR(IF(OR(J33&lt;0,I33&lt;0),"n.m.",J33/I33-1),"n/a")</f>
        <v>-0.07604070912672334</v>
      </c>
      <c r="K35" s="4"/>
      <c r="L35" s="3"/>
      <c r="M35" s="3"/>
    </row>
    <row r="36">
      <c r="A36" s="3"/>
      <c r="B36" s="29" t="s">
        <v>94</v>
      </c>
      <c r="C36" s="1" t="s">
        <v>44</v>
      </c>
      <c r="D36" s="1">
        <f>IFERROR(D33-C33,"n/a")</f>
        <v>609</v>
      </c>
      <c r="E36" s="1">
        <f>IFERROR(E33-D33,"n/a")</f>
        <v>-77</v>
      </c>
      <c r="F36" s="1">
        <f>IFERROR(F33-E33,"n/a")</f>
        <v>288</v>
      </c>
      <c r="G36" s="1" t="s">
        <v>44</v>
      </c>
      <c r="H36" s="1">
        <f>IFERROR(H33-F33,"n/a")</f>
        <v>-755</v>
      </c>
      <c r="I36" s="1">
        <f>IFERROR(I33-H33,"n/a")</f>
        <v>699</v>
      </c>
      <c r="J36" s="16">
        <f>IFERROR(J33-I33,"n/a")</f>
        <v>-115.80999999999972</v>
      </c>
      <c r="K36" s="4"/>
      <c r="L36" s="3"/>
      <c r="M36" s="3"/>
    </row>
    <row r="37">
      <c r="A37" s="3"/>
      <c r="B37" s="3"/>
      <c r="C37" s="1"/>
      <c r="D37" s="1"/>
      <c r="E37" s="1"/>
      <c r="F37" s="1"/>
      <c r="G37" s="1"/>
      <c r="H37" s="1"/>
      <c r="I37" s="1"/>
      <c r="J37" s="16"/>
      <c r="K37" s="4"/>
      <c r="L37" s="3"/>
      <c r="M37" s="3"/>
    </row>
    <row r="38">
      <c r="A38" s="3"/>
      <c r="B38" s="15" t="s">
        <v>163</v>
      </c>
      <c r="C38" s="5"/>
      <c r="D38" s="5"/>
      <c r="E38" s="5"/>
      <c r="F38" s="5"/>
      <c r="G38" s="5"/>
      <c r="H38" s="5"/>
      <c r="I38" s="5"/>
      <c r="J38" s="22"/>
      <c r="K38" s="4"/>
      <c r="L38" s="3"/>
      <c r="M38" s="3"/>
    </row>
    <row r="39">
      <c r="A39" s="3"/>
      <c r="B39" s="12" t="s">
        <v>103</v>
      </c>
      <c r="C39" s="7">
        <f>IFERROR(IF(OR(C33&lt;0,C10&lt;0),"n.m.",C33/C10-1),"n/a")</f>
        <v>0.02706359945872805</v>
      </c>
      <c r="D39" s="7">
        <f>IFERROR(IF(OR(D33&lt;0,D10&lt;0),"n.m.",D33/D10-1),"n/a")</f>
        <v>0.03167420814479649</v>
      </c>
      <c r="E39" s="7">
        <f>IFERROR(IF(OR(E33&lt;0,E10&lt;0),"n.m.",E33/E10-1),"n/a")</f>
        <v>0.0007751937984497026</v>
      </c>
      <c r="F39" s="7">
        <f>IFERROR(IF(OR(F33&lt;0,F10&lt;0),"n.m.",F33/F10-1),"n/a")</f>
        <v>0.03608923884514437</v>
      </c>
      <c r="G39" s="7">
        <f>IFERROR(IF(OR(G33&lt;0,G10&lt;0),"n.m.",G33/G10-1),"n/a")</f>
        <v>0.02418528386964547</v>
      </c>
      <c r="H39" s="7">
        <f>IFERROR(IF(OR(H33&lt;0,H10&lt;0),"n.m.",H33/H10-1),"n/a")</f>
        <v>0.08563899868247704</v>
      </c>
      <c r="I39" s="7">
        <f>IFERROR(IF(OR(I33&lt;0,I10&lt;0),"n.m.",I33/I10-1),"n/a")</f>
        <v>0.11330409356725135</v>
      </c>
      <c r="J39" s="25">
        <f>IFERROR(IF(OR(J33&lt;0,J10&lt;0),"n.m.",J33/J10-1),"n/a")</f>
        <v>0.0900000000000003</v>
      </c>
      <c r="K39" s="4"/>
      <c r="L39" s="3"/>
      <c r="M39" s="3"/>
    </row>
    <row r="40">
      <c r="A40" s="3"/>
      <c r="B40" s="12" t="s">
        <v>104</v>
      </c>
      <c r="C40" s="7">
        <f>IFERROR((C29+C11)/C10,"n/a")</f>
        <v>0.0027063599458728013</v>
      </c>
      <c r="D40" s="7">
        <f>IFERROR((D29+D11)/D10,"n/a")</f>
        <v>0.0015082956259426848</v>
      </c>
      <c r="E40" s="7">
        <f>IFERROR((E29+E11)/E10,"n/a")</f>
        <v>0.0015503875968992248</v>
      </c>
      <c r="F40" s="7">
        <f>IFERROR((F29+F11)/F10,"n/a")</f>
        <v>0.0006561679790026247</v>
      </c>
      <c r="G40" s="7">
        <f>IFERROR((G29+G11)/G10,"n/a")</f>
        <v>0.0014347202295552368</v>
      </c>
      <c r="H40" s="7">
        <f>IFERROR((H29+H11)/H10,"n/a")</f>
        <v>0</v>
      </c>
      <c r="I40" s="7">
        <f>IFERROR((I29+I11)/I10,"n/a")</f>
        <v>0</v>
      </c>
      <c r="J40" s="25">
        <f>IFERROR((J29+J11)/J10,"n/a")</f>
        <v>0</v>
      </c>
      <c r="K40" s="4"/>
      <c r="L40" s="3"/>
      <c r="M40" s="3"/>
    </row>
    <row r="41">
      <c r="A41" s="3"/>
      <c r="B41" s="12" t="s">
        <v>105</v>
      </c>
      <c r="C41" s="7">
        <f>IFERROR(C25/C10,"n/a")</f>
        <v>-0.046008119079837616</v>
      </c>
      <c r="D41" s="7">
        <f>IFERROR(D25/D10,"n/a")</f>
        <v>-0.01885369532428356</v>
      </c>
      <c r="E41" s="7">
        <f>IFERROR(E25/E10,"n/a")</f>
        <v>0.008527131782945736</v>
      </c>
      <c r="F41" s="7">
        <f>IFERROR(F25/F10,"n/a")</f>
        <v>0.019028871391076115</v>
      </c>
      <c r="G41" s="7">
        <f>IFERROR(G25/G10,"n/a")</f>
        <v>-0.0038942406230784996</v>
      </c>
      <c r="H41" s="7">
        <f>IFERROR(H25/H10,"n/a")</f>
        <v>0.03689064558629776</v>
      </c>
      <c r="I41" s="7">
        <f>IFERROR(I25/I10,"n/a")</f>
        <v>0.021198830409356724</v>
      </c>
      <c r="J41" s="25">
        <f>IFERROR(J25/J10,"n/a")</f>
        <v>0.01</v>
      </c>
      <c r="K41" s="4"/>
      <c r="L41" s="3"/>
      <c r="M41" s="3"/>
    </row>
    <row r="42">
      <c r="A42" s="3"/>
      <c r="B42" s="12" t="s">
        <v>106</v>
      </c>
      <c r="C42" s="7">
        <f>IFERROR((1+C39)/((1+C40)*(1+C41))-1,"n/a")</f>
        <v>0.07368995319723215</v>
      </c>
      <c r="D42" s="7">
        <f>IFERROR((1+D39)/((1+D40)*(1+D41))-1,"n/a")</f>
        <v>0.04991526443977312</v>
      </c>
      <c r="E42" s="7">
        <f>IFERROR((1+E39)/((1+E40)*(1+E41))-1,"n/a")</f>
        <v>-0.009222484252408902</v>
      </c>
      <c r="F42" s="7">
        <f>IFERROR((1+F39)/((1+F40)*(1+F41))-1,"n/a")</f>
        <v>0.01607507415578535</v>
      </c>
      <c r="G42" s="7">
        <f>IFERROR((1+G39)/((1+G40)*(1+G41))-1,"n/a")</f>
        <v>0.026716249837867245</v>
      </c>
      <c r="H42" s="7">
        <f>IFERROR((1+H39)/((1+H40)*(1+H41))-1,"n/a")</f>
        <v>0.04701397712833555</v>
      </c>
      <c r="I42" s="7">
        <f>IFERROR((1+I39)/((1+I40)*(1+I41))-1,"n/a")</f>
        <v>0.09019327129563348</v>
      </c>
      <c r="J42" s="25">
        <f>IFERROR((1+J39)/((1+J40)*(1+J41))-1,"n/a")</f>
        <v>0.0792079207920795</v>
      </c>
      <c r="K42" s="4"/>
      <c r="L42" s="3"/>
      <c r="M42" s="3"/>
    </row>
    <row r="43">
      <c r="A43" s="3"/>
      <c r="B43" s="56" t="s">
        <v>164</v>
      </c>
      <c r="C43" s="77">
        <f>IFERROR((C42-C19)*10000,"n/a")</f>
        <v>36.899531972321434</v>
      </c>
      <c r="D43" s="77">
        <f>IFERROR((D42-D19)*10000,"n/a")</f>
        <v>-0.8473556022688122</v>
      </c>
      <c r="E43" s="77">
        <f>IFERROR((E42-E19)*10000,"n/a")</f>
        <v>7.775157475910978</v>
      </c>
      <c r="F43" s="77">
        <f>IFERROR((F42-F19)*10000,"n/a")</f>
        <v>-39.24925844214649</v>
      </c>
      <c r="G43" s="77">
        <f>IFERROR((G42-G19)*10000,"n/a")</f>
        <v>-32.83750162132753</v>
      </c>
      <c r="H43" s="77">
        <f>IFERROR((H42-H19)*10000,"n/a")</f>
        <v>-29.86022871664454</v>
      </c>
      <c r="I43" s="77">
        <f>IFERROR((I42-I19)*10000,"n/a")</f>
        <v>1.9327129563348477</v>
      </c>
      <c r="J43" s="78">
        <f>IFERROR((J42-J19)*10000,"n/a")</f>
        <v>-7.920792079205014</v>
      </c>
      <c r="K43" s="4" t="s">
        <v>165</v>
      </c>
      <c r="L43" s="3"/>
      <c r="M43" s="3"/>
    </row>
    <row r="44">
      <c r="A44" s="3"/>
      <c r="B44" s="3"/>
      <c r="C44" s="1"/>
      <c r="D44" s="1"/>
      <c r="E44" s="1"/>
      <c r="F44" s="1"/>
      <c r="G44" s="1"/>
      <c r="H44" s="1"/>
      <c r="I44" s="1"/>
      <c r="J44" s="16"/>
      <c r="K44" s="4"/>
      <c r="L44" s="3"/>
      <c r="M44" s="3"/>
    </row>
    <row r="45">
      <c r="A45" s="3"/>
      <c r="B45" s="15" t="s">
        <v>166</v>
      </c>
      <c r="C45" s="5"/>
      <c r="D45" s="5"/>
      <c r="E45" s="5"/>
      <c r="F45" s="5"/>
      <c r="G45" s="5"/>
      <c r="H45" s="5"/>
      <c r="I45" s="5"/>
      <c r="J45" s="22"/>
      <c r="K45" s="4"/>
      <c r="L45" s="3"/>
      <c r="M45" s="3"/>
    </row>
    <row r="46">
      <c r="A46" s="3"/>
      <c r="B46" s="12" t="s">
        <v>206</v>
      </c>
      <c r="C46" s="9">
        <v>0.03</v>
      </c>
      <c r="D46" s="9">
        <v>0.01</v>
      </c>
      <c r="E46" s="9">
        <v>-0.01</v>
      </c>
      <c r="F46" s="9">
        <v>0.03</v>
      </c>
      <c r="G46" s="9">
        <v>0.015</v>
      </c>
      <c r="H46" s="9">
        <v>0.005</v>
      </c>
      <c r="I46" s="9">
        <v>0.05</v>
      </c>
      <c r="J46" s="25">
        <f>J13</f>
        <v>0.05</v>
      </c>
      <c r="K46" s="4" t="s">
        <v>168</v>
      </c>
      <c r="L46" s="3"/>
      <c r="M46" s="3"/>
    </row>
    <row r="47">
      <c r="A47" s="3"/>
      <c r="B47" s="56" t="s">
        <v>109</v>
      </c>
      <c r="C47" s="77" t="s">
        <v>44</v>
      </c>
      <c r="D47" s="77" t="s">
        <v>44</v>
      </c>
      <c r="E47" s="77" t="s">
        <v>44</v>
      </c>
      <c r="F47" s="77" t="s">
        <v>44</v>
      </c>
      <c r="G47" s="77" t="s">
        <v>44</v>
      </c>
      <c r="H47" s="77">
        <f>IFERROR((H46-C46)*10000,"n/a")</f>
        <v>-249.99999999999997</v>
      </c>
      <c r="I47" s="77">
        <f>IFERROR((I46-D46)*10000,"n/a")</f>
        <v>400</v>
      </c>
      <c r="J47" s="78">
        <f>IFERROR((J46-E46)*10000,"n/a")</f>
        <v>600</v>
      </c>
      <c r="K47" s="4"/>
      <c r="L47" s="3"/>
      <c r="M47" s="3"/>
    </row>
    <row r="48">
      <c r="A48" s="3"/>
      <c r="B48" s="56" t="s">
        <v>110</v>
      </c>
      <c r="C48" s="77" t="s">
        <v>44</v>
      </c>
      <c r="D48" s="77">
        <f>IFERROR((D46-C46)*10000,"n/a")</f>
        <v>-199.99999999999997</v>
      </c>
      <c r="E48" s="77">
        <f>IFERROR((E46-D46)*10000,"n/a")</f>
        <v>-200</v>
      </c>
      <c r="F48" s="77">
        <f>IFERROR((F46-E46)*10000,"n/a")</f>
        <v>400</v>
      </c>
      <c r="G48" s="77" t="s">
        <v>44</v>
      </c>
      <c r="H48" s="77">
        <f>IFERROR((H46-F46)*10000,"n/a")</f>
        <v>-249.99999999999997</v>
      </c>
      <c r="I48" s="77">
        <f>IFERROR((I46-H46)*10000,"n/a")</f>
        <v>450.00000000000006</v>
      </c>
      <c r="J48" s="78">
        <f>IFERROR((J46-I46)*10000,"n/a")</f>
        <v>0</v>
      </c>
      <c r="K48" s="4"/>
      <c r="L48" s="3"/>
      <c r="M48" s="3"/>
    </row>
    <row r="49">
      <c r="A49" s="3"/>
      <c r="B49" s="3"/>
      <c r="C49" s="1"/>
      <c r="D49" s="1"/>
      <c r="E49" s="1"/>
      <c r="F49" s="1"/>
      <c r="G49" s="1"/>
      <c r="H49" s="1"/>
      <c r="I49" s="1"/>
      <c r="J49" s="16"/>
      <c r="K49" s="4"/>
      <c r="L49" s="3"/>
      <c r="M49" s="3"/>
    </row>
    <row r="50">
      <c r="A50" s="3"/>
      <c r="B50" s="15" t="s">
        <v>169</v>
      </c>
      <c r="C50" s="5"/>
      <c r="D50" s="5"/>
      <c r="E50" s="5"/>
      <c r="F50" s="5"/>
      <c r="G50" s="5"/>
      <c r="H50" s="5"/>
      <c r="I50" s="5"/>
      <c r="J50" s="22"/>
      <c r="K50" s="4"/>
      <c r="L50" s="3"/>
      <c r="M50" s="3"/>
    </row>
    <row r="51">
      <c r="A51" s="3"/>
      <c r="B51" s="3" t="s">
        <v>43</v>
      </c>
      <c r="C51" s="1">
        <f>C33</f>
        <v>759</v>
      </c>
      <c r="D51" s="1">
        <f>D33</f>
        <v>1368</v>
      </c>
      <c r="E51" s="1">
        <f>E33</f>
        <v>1291</v>
      </c>
      <c r="F51" s="1">
        <f>F33</f>
        <v>1579</v>
      </c>
      <c r="G51" s="1">
        <f>G33</f>
        <v>4997</v>
      </c>
      <c r="H51" s="1">
        <f>H33</f>
        <v>824</v>
      </c>
      <c r="I51" s="1">
        <f>I33</f>
        <v>1523</v>
      </c>
      <c r="J51" s="16">
        <f>J33</f>
        <v>1407.1900000000003</v>
      </c>
      <c r="K51" s="4"/>
      <c r="L51" s="3"/>
      <c r="M51" s="3"/>
    </row>
    <row r="52">
      <c r="A52" s="3"/>
      <c r="B52" s="3" t="s">
        <v>170</v>
      </c>
      <c r="C52" s="19">
        <v>212</v>
      </c>
      <c r="D52" s="19">
        <v>400</v>
      </c>
      <c r="E52" s="19">
        <v>405</v>
      </c>
      <c r="F52" s="19">
        <v>512</v>
      </c>
      <c r="G52" s="1">
        <f>SUM(C52:F52)</f>
        <v>1529</v>
      </c>
      <c r="H52" s="19">
        <v>234</v>
      </c>
      <c r="I52" s="19">
        <v>437</v>
      </c>
      <c r="J52" s="16">
        <f>J51*(1-J58)</f>
        <v>434.82171000000017</v>
      </c>
      <c r="K52" s="4" t="s">
        <v>171</v>
      </c>
      <c r="L52" s="3"/>
      <c r="M52" s="3"/>
    </row>
    <row r="53">
      <c r="A53" s="3"/>
      <c r="B53" s="56" t="s">
        <v>77</v>
      </c>
      <c r="C53" s="7" t="s">
        <v>44</v>
      </c>
      <c r="D53" s="7" t="s">
        <v>44</v>
      </c>
      <c r="E53" s="7" t="s">
        <v>44</v>
      </c>
      <c r="F53" s="7" t="s">
        <v>44</v>
      </c>
      <c r="G53" s="7" t="s">
        <v>44</v>
      </c>
      <c r="H53" s="7">
        <f>IFERROR(IF(OR(H52&lt;0,C52&lt;0),"n.m.",H52/C52-1),"n/a")</f>
        <v>0.10377358490566047</v>
      </c>
      <c r="I53" s="7">
        <f>IFERROR(IF(OR(I52&lt;0,D52&lt;0),"n.m.",I52/D52-1),"n/a")</f>
        <v>0.09250000000000003</v>
      </c>
      <c r="J53" s="25">
        <f>IFERROR(IF(OR(J52&lt;0,E52&lt;0),"n.m.",J52/E52-1),"n/a")</f>
        <v>0.07363385185185223</v>
      </c>
      <c r="K53" s="4"/>
      <c r="L53" s="3"/>
      <c r="M53" s="3"/>
    </row>
    <row r="54">
      <c r="A54" s="3"/>
      <c r="B54" s="29" t="s">
        <v>94</v>
      </c>
      <c r="C54" s="1" t="s">
        <v>44</v>
      </c>
      <c r="D54" s="1">
        <f>IFERROR(D52-C52,"n/a")</f>
        <v>188</v>
      </c>
      <c r="E54" s="1">
        <f>IFERROR(E52-D52,"n/a")</f>
        <v>5</v>
      </c>
      <c r="F54" s="1">
        <f>IFERROR(F52-E52,"n/a")</f>
        <v>107</v>
      </c>
      <c r="G54" s="1" t="s">
        <v>44</v>
      </c>
      <c r="H54" s="1">
        <f>IFERROR(H52-F52,"n/a")</f>
        <v>-278</v>
      </c>
      <c r="I54" s="1">
        <f>IFERROR(I52-H52,"n/a")</f>
        <v>203</v>
      </c>
      <c r="J54" s="16">
        <f>IFERROR(J52-I52,"n/a")</f>
        <v>-2.1782899999998335</v>
      </c>
      <c r="K54" s="4"/>
      <c r="L54" s="3"/>
      <c r="M54" s="3"/>
    </row>
    <row r="55">
      <c r="A55" s="3"/>
      <c r="B55" s="15" t="s">
        <v>172</v>
      </c>
      <c r="C55" s="21">
        <f>C51-C52</f>
        <v>547</v>
      </c>
      <c r="D55" s="21">
        <f>D51-D52</f>
        <v>968</v>
      </c>
      <c r="E55" s="21">
        <f>E51-E52</f>
        <v>886</v>
      </c>
      <c r="F55" s="21">
        <f>F51-F52</f>
        <v>1067</v>
      </c>
      <c r="G55" s="21">
        <f>G51-G52</f>
        <v>3468</v>
      </c>
      <c r="H55" s="21">
        <f>H51-H52</f>
        <v>590</v>
      </c>
      <c r="I55" s="21">
        <f>I51-I52</f>
        <v>1086</v>
      </c>
      <c r="J55" s="43">
        <f>J51-J52</f>
        <v>972.3682900000001</v>
      </c>
      <c r="K55" s="4"/>
      <c r="L55" s="3"/>
      <c r="M55" s="3"/>
    </row>
    <row r="56">
      <c r="A56" s="3"/>
      <c r="B56" s="56" t="s">
        <v>77</v>
      </c>
      <c r="C56" s="7" t="s">
        <v>44</v>
      </c>
      <c r="D56" s="7" t="s">
        <v>44</v>
      </c>
      <c r="E56" s="7" t="s">
        <v>44</v>
      </c>
      <c r="F56" s="7" t="s">
        <v>44</v>
      </c>
      <c r="G56" s="7" t="s">
        <v>44</v>
      </c>
      <c r="H56" s="7">
        <f>IFERROR(IF(OR(H55&lt;0,C55&lt;0),"n.m.",H55/C55-1),"n/a")</f>
        <v>0.07861060329067637</v>
      </c>
      <c r="I56" s="7">
        <f>IFERROR(IF(OR(I55&lt;0,D55&lt;0),"n.m.",I55/D55-1),"n/a")</f>
        <v>0.12190082644628109</v>
      </c>
      <c r="J56" s="25">
        <f>IFERROR(IF(OR(J55&lt;0,E55&lt;0),"n.m.",J55/E55-1),"n/a")</f>
        <v>0.09748113995485341</v>
      </c>
      <c r="K56" s="4"/>
      <c r="L56" s="3"/>
      <c r="M56" s="3"/>
    </row>
    <row r="57">
      <c r="A57" s="3"/>
      <c r="B57" s="29" t="s">
        <v>94</v>
      </c>
      <c r="C57" s="1" t="s">
        <v>44</v>
      </c>
      <c r="D57" s="1">
        <f>IFERROR(D55-C55,"n/a")</f>
        <v>421</v>
      </c>
      <c r="E57" s="1">
        <f>IFERROR(E55-D55,"n/a")</f>
        <v>-82</v>
      </c>
      <c r="F57" s="1">
        <f>IFERROR(F55-E55,"n/a")</f>
        <v>181</v>
      </c>
      <c r="G57" s="1" t="s">
        <v>44</v>
      </c>
      <c r="H57" s="1">
        <f>IFERROR(H55-F55,"n/a")</f>
        <v>-477</v>
      </c>
      <c r="I57" s="1">
        <f>IFERROR(I55-H55,"n/a")</f>
        <v>496</v>
      </c>
      <c r="J57" s="16">
        <f>IFERROR(J55-I55,"n/a")</f>
        <v>-113.63170999999988</v>
      </c>
      <c r="K57" s="4"/>
      <c r="L57" s="3"/>
      <c r="M57" s="3"/>
    </row>
    <row r="58">
      <c r="A58" s="3"/>
      <c r="B58" s="12" t="s">
        <v>173</v>
      </c>
      <c r="C58" s="7">
        <f>IFERROR(C55/C51,"n/a")</f>
        <v>0.7206851119894598</v>
      </c>
      <c r="D58" s="7">
        <f>IFERROR(D55/D51,"n/a")</f>
        <v>0.7076023391812866</v>
      </c>
      <c r="E58" s="7">
        <f>IFERROR(E55/E51,"n/a")</f>
        <v>0.686289697908598</v>
      </c>
      <c r="F58" s="7">
        <f>IFERROR(F55/F51,"n/a")</f>
        <v>0.675744141861938</v>
      </c>
      <c r="G58" s="7">
        <f>IFERROR(G55/G51,"n/a")</f>
        <v>0.6940164098459075</v>
      </c>
      <c r="H58" s="7">
        <f>IFERROR(H55/H51,"n/a")</f>
        <v>0.7160194174757282</v>
      </c>
      <c r="I58" s="7">
        <f>IFERROR(I55/I51,"n/a")</f>
        <v>0.7130663164806303</v>
      </c>
      <c r="J58" s="79">
        <v>0.691</v>
      </c>
      <c r="K58" s="4" t="s">
        <v>160</v>
      </c>
      <c r="L58" s="3"/>
      <c r="M58" s="3"/>
    </row>
    <row r="59">
      <c r="A59" s="3"/>
      <c r="B59" s="56" t="s">
        <v>109</v>
      </c>
      <c r="C59" s="77" t="s">
        <v>44</v>
      </c>
      <c r="D59" s="77" t="s">
        <v>44</v>
      </c>
      <c r="E59" s="77" t="s">
        <v>44</v>
      </c>
      <c r="F59" s="77" t="s">
        <v>44</v>
      </c>
      <c r="G59" s="77" t="s">
        <v>44</v>
      </c>
      <c r="H59" s="77">
        <f>IFERROR((H58-C58)*10000,"n/a")</f>
        <v>-46.65694513731666</v>
      </c>
      <c r="I59" s="77">
        <f>IFERROR((I58-D58)*10000,"n/a")</f>
        <v>54.63977299343781</v>
      </c>
      <c r="J59" s="78">
        <f>IFERROR((J58-E58)*10000,"n/a")</f>
        <v>47.103020914019964</v>
      </c>
      <c r="K59" s="4"/>
      <c r="L59" s="3"/>
      <c r="M59" s="3"/>
    </row>
    <row r="60">
      <c r="A60" s="3"/>
      <c r="B60" s="56" t="s">
        <v>110</v>
      </c>
      <c r="C60" s="77" t="s">
        <v>44</v>
      </c>
      <c r="D60" s="77">
        <f>IFERROR((D58-C58)*10000,"n/a")</f>
        <v>-130.82772808173272</v>
      </c>
      <c r="E60" s="77">
        <f>IFERROR((E58-D58)*10000,"n/a")</f>
        <v>-213.12641272688614</v>
      </c>
      <c r="F60" s="77">
        <f>IFERROR((F58-E58)*10000,"n/a")</f>
        <v>-105.45556046659965</v>
      </c>
      <c r="G60" s="77" t="s">
        <v>44</v>
      </c>
      <c r="H60" s="77">
        <f>IFERROR((H58-F58)*10000,"n/a")</f>
        <v>402.7527561379018</v>
      </c>
      <c r="I60" s="77">
        <f>IFERROR((I58-H58)*10000,"n/a")</f>
        <v>-29.531009950978238</v>
      </c>
      <c r="J60" s="78">
        <f>IFERROR((J58-I58)*10000,"n/a")</f>
        <v>-220.663164806304</v>
      </c>
      <c r="K60" s="4"/>
      <c r="L60" s="3"/>
      <c r="M60" s="3"/>
    </row>
    <row r="61">
      <c r="A61" s="3"/>
      <c r="B61" s="3" t="s">
        <v>174</v>
      </c>
      <c r="C61" s="19">
        <v>268</v>
      </c>
      <c r="D61" s="19">
        <v>430</v>
      </c>
      <c r="E61" s="19">
        <v>375</v>
      </c>
      <c r="F61" s="19">
        <v>539</v>
      </c>
      <c r="G61" s="1">
        <f>SUM(C61:F61)</f>
        <v>1612</v>
      </c>
      <c r="H61" s="19">
        <v>262</v>
      </c>
      <c r="I61" s="19">
        <v>448</v>
      </c>
      <c r="J61" s="16">
        <f>J51*J64</f>
        <v>408.08510000000007</v>
      </c>
      <c r="K61" s="4" t="s">
        <v>171</v>
      </c>
      <c r="L61" s="3"/>
      <c r="M61" s="3"/>
    </row>
    <row r="62">
      <c r="A62" s="3"/>
      <c r="B62" s="56" t="s">
        <v>77</v>
      </c>
      <c r="C62" s="7" t="s">
        <v>44</v>
      </c>
      <c r="D62" s="7" t="s">
        <v>44</v>
      </c>
      <c r="E62" s="7" t="s">
        <v>44</v>
      </c>
      <c r="F62" s="7" t="s">
        <v>44</v>
      </c>
      <c r="G62" s="7" t="s">
        <v>44</v>
      </c>
      <c r="H62" s="7">
        <f>IFERROR(IF(OR(H61&lt;0,C61&lt;0),"n.m.",H61/C61-1),"n/a")</f>
        <v>-0.02238805970149249</v>
      </c>
      <c r="I62" s="7">
        <f>IFERROR(IF(OR(I61&lt;0,D61&lt;0),"n.m.",I61/D61-1),"n/a")</f>
        <v>0.041860465116279055</v>
      </c>
      <c r="J62" s="25">
        <f>IFERROR(IF(OR(J61&lt;0,E61&lt;0),"n.m.",J61/E61-1),"n/a")</f>
        <v>0.08822693333333342</v>
      </c>
      <c r="K62" s="4"/>
      <c r="L62" s="3"/>
      <c r="M62" s="3"/>
    </row>
    <row r="63">
      <c r="A63" s="3"/>
      <c r="B63" s="29" t="s">
        <v>94</v>
      </c>
      <c r="C63" s="1" t="s">
        <v>44</v>
      </c>
      <c r="D63" s="1">
        <f>IFERROR(D61-C61,"n/a")</f>
        <v>162</v>
      </c>
      <c r="E63" s="1">
        <f>IFERROR(E61-D61,"n/a")</f>
        <v>-55</v>
      </c>
      <c r="F63" s="1">
        <f>IFERROR(F61-E61,"n/a")</f>
        <v>164</v>
      </c>
      <c r="G63" s="1" t="s">
        <v>44</v>
      </c>
      <c r="H63" s="1">
        <f>IFERROR(H61-F61,"n/a")</f>
        <v>-277</v>
      </c>
      <c r="I63" s="1">
        <f>IFERROR(I61-H61,"n/a")</f>
        <v>186</v>
      </c>
      <c r="J63" s="16">
        <f>IFERROR(J61-I61,"n/a")</f>
        <v>-39.91489999999993</v>
      </c>
      <c r="K63" s="4"/>
      <c r="L63" s="3"/>
      <c r="M63" s="3"/>
    </row>
    <row r="64">
      <c r="A64" s="3"/>
      <c r="B64" s="12" t="s">
        <v>175</v>
      </c>
      <c r="C64" s="7">
        <f>IFERROR(C61/C51,"n/a")</f>
        <v>0.3530961791831357</v>
      </c>
      <c r="D64" s="7">
        <f>IFERROR(D61/D51,"n/a")</f>
        <v>0.31432748538011696</v>
      </c>
      <c r="E64" s="7">
        <f>IFERROR(E61/E51,"n/a")</f>
        <v>0.29047250193648333</v>
      </c>
      <c r="F64" s="7">
        <f>IFERROR(F61/F51,"n/a")</f>
        <v>0.34135528815706145</v>
      </c>
      <c r="G64" s="7">
        <f>IFERROR(G61/G51,"n/a")</f>
        <v>0.3225935561336802</v>
      </c>
      <c r="H64" s="7">
        <f>IFERROR(H61/H51,"n/a")</f>
        <v>0.3179611650485437</v>
      </c>
      <c r="I64" s="7">
        <f>IFERROR(I61/I51,"n/a")</f>
        <v>0.29415627051871307</v>
      </c>
      <c r="J64" s="79">
        <v>0.29</v>
      </c>
      <c r="K64" s="4" t="s">
        <v>160</v>
      </c>
      <c r="L64" s="3"/>
      <c r="M64" s="3"/>
    </row>
    <row r="65">
      <c r="A65" s="3"/>
      <c r="B65" s="56" t="s">
        <v>109</v>
      </c>
      <c r="C65" s="77" t="s">
        <v>44</v>
      </c>
      <c r="D65" s="77" t="s">
        <v>44</v>
      </c>
      <c r="E65" s="77" t="s">
        <v>44</v>
      </c>
      <c r="F65" s="77" t="s">
        <v>44</v>
      </c>
      <c r="G65" s="77" t="s">
        <v>44</v>
      </c>
      <c r="H65" s="77">
        <f>IFERROR((H64-C64)*10000,"n/a")</f>
        <v>-351.35014134591967</v>
      </c>
      <c r="I65" s="77">
        <f>IFERROR((I64-D64)*10000,"n/a")</f>
        <v>-201.71214861403885</v>
      </c>
      <c r="J65" s="78">
        <f>IFERROR((J64-E64)*10000,"n/a")</f>
        <v>-4.725019364833494</v>
      </c>
      <c r="K65" s="4"/>
      <c r="L65" s="3"/>
      <c r="M65" s="3"/>
    </row>
    <row r="66">
      <c r="A66" s="3"/>
      <c r="B66" s="56" t="s">
        <v>110</v>
      </c>
      <c r="C66" s="77" t="s">
        <v>44</v>
      </c>
      <c r="D66" s="77">
        <f>IFERROR((D64-C64)*10000,"n/a")</f>
        <v>-387.68693803018726</v>
      </c>
      <c r="E66" s="77">
        <f>IFERROR((E64-D64)*10000,"n/a")</f>
        <v>-238.54983443633625</v>
      </c>
      <c r="F66" s="77">
        <f>IFERROR((F64-E64)*10000,"n/a")</f>
        <v>508.82786220578123</v>
      </c>
      <c r="G66" s="77" t="s">
        <v>44</v>
      </c>
      <c r="H66" s="77">
        <f>IFERROR((H64-F64)*10000,"n/a")</f>
        <v>-233.94123108517738</v>
      </c>
      <c r="I66" s="77">
        <f>IFERROR((I64-H64)*10000,"n/a")</f>
        <v>-238.04894529830645</v>
      </c>
      <c r="J66" s="78">
        <f>IFERROR((J64-I64)*10000,"n/a")</f>
        <v>-41.5627051871309</v>
      </c>
      <c r="K66" s="4"/>
      <c r="L66" s="3"/>
      <c r="M66" s="3"/>
    </row>
    <row r="67">
      <c r="A67" s="3"/>
      <c r="B67" s="15" t="s">
        <v>180</v>
      </c>
      <c r="C67" s="21">
        <f>C55-C61</f>
        <v>279</v>
      </c>
      <c r="D67" s="21">
        <f>D55-D61</f>
        <v>538</v>
      </c>
      <c r="E67" s="21">
        <f>E55-E61</f>
        <v>511</v>
      </c>
      <c r="F67" s="21">
        <f>F55-F61</f>
        <v>528</v>
      </c>
      <c r="G67" s="21">
        <f>SUM(C67:F67)</f>
        <v>1856</v>
      </c>
      <c r="H67" s="21">
        <f>H55-H61</f>
        <v>328</v>
      </c>
      <c r="I67" s="21">
        <f>I55-I61</f>
        <v>638</v>
      </c>
      <c r="J67" s="43">
        <f>J55-J61</f>
        <v>564.2831900000001</v>
      </c>
      <c r="K67" s="4" t="s">
        <v>181</v>
      </c>
      <c r="L67" s="3"/>
      <c r="M67" s="3"/>
    </row>
    <row r="68">
      <c r="A68" s="3"/>
      <c r="B68" s="56" t="s">
        <v>77</v>
      </c>
      <c r="C68" s="7">
        <f>IFERROR(IF(OR(C67&lt;0,C73&lt;0),"n.m.",C67/C73-1),"n/a")</f>
        <v>0.06896551724137923</v>
      </c>
      <c r="D68" s="7">
        <f>IFERROR(IF(OR(D67&lt;0,D73&lt;0),"n.m.",D67/D73-1),"n/a")</f>
        <v>0.0717131474103585</v>
      </c>
      <c r="E68" s="7">
        <f>IFERROR(IF(OR(E67&lt;0,E73&lt;0),"n.m.",E67/E73-1),"n/a")</f>
        <v>0.08033826638477803</v>
      </c>
      <c r="F68" s="7">
        <f>IFERROR(IF(OR(F67&lt;0,F73&lt;0),"n.m.",F67/F73-1),"n/a")</f>
        <v>0.11864406779661008</v>
      </c>
      <c r="G68" s="7">
        <f>IFERROR(IF(OR(G67&lt;0,G73&lt;0),"n.m.",G67/G73-1),"n/a")</f>
        <v>0.08665105386416871</v>
      </c>
      <c r="H68" s="7">
        <f>IFERROR(IF(OR(H67&lt;0,C67&lt;0),"n.m.",H67/C67-1),"n/a")</f>
        <v>0.17562724014336917</v>
      </c>
      <c r="I68" s="7">
        <f>IFERROR(IF(OR(I67&lt;0,D67&lt;0),"n.m.",I67/D67-1),"n/a")</f>
        <v>0.18587360594795532</v>
      </c>
      <c r="J68" s="25">
        <f>IFERROR(IF(OR(J67&lt;0,E67&lt;0),"n.m.",J67/E67-1),"n/a")</f>
        <v>0.10427238747553846</v>
      </c>
      <c r="K68" s="4"/>
      <c r="L68" s="3"/>
      <c r="M68" s="3"/>
    </row>
    <row r="69">
      <c r="A69" s="3"/>
      <c r="B69" s="29" t="s">
        <v>94</v>
      </c>
      <c r="C69" s="1" t="s">
        <v>44</v>
      </c>
      <c r="D69" s="1">
        <f>IFERROR(D67-C67,"n/a")</f>
        <v>259</v>
      </c>
      <c r="E69" s="1">
        <f>IFERROR(E67-D67,"n/a")</f>
        <v>-27</v>
      </c>
      <c r="F69" s="1">
        <f>IFERROR(F67-E67,"n/a")</f>
        <v>17</v>
      </c>
      <c r="G69" s="1" t="s">
        <v>44</v>
      </c>
      <c r="H69" s="1">
        <f>IFERROR(H67-F67,"n/a")</f>
        <v>-200</v>
      </c>
      <c r="I69" s="1">
        <f>IFERROR(I67-H67,"n/a")</f>
        <v>310</v>
      </c>
      <c r="J69" s="16">
        <f>IFERROR(J67-I67,"n/a")</f>
        <v>-73.7168099999999</v>
      </c>
      <c r="K69" s="4"/>
      <c r="L69" s="3"/>
      <c r="M69" s="3"/>
    </row>
    <row r="70">
      <c r="A70" s="3"/>
      <c r="B70" s="12" t="s">
        <v>182</v>
      </c>
      <c r="C70" s="7">
        <f>IFERROR(C67/C51,"n/a")</f>
        <v>0.3675889328063241</v>
      </c>
      <c r="D70" s="7">
        <f>IFERROR(D67/D51,"n/a")</f>
        <v>0.3932748538011696</v>
      </c>
      <c r="E70" s="7">
        <f>IFERROR(E67/E51,"n/a")</f>
        <v>0.3958171959721146</v>
      </c>
      <c r="F70" s="7">
        <f>IFERROR(F67/F51,"n/a")</f>
        <v>0.3343888537048765</v>
      </c>
      <c r="G70" s="7">
        <f>IFERROR(G67/G51,"n/a")</f>
        <v>0.37142285371222733</v>
      </c>
      <c r="H70" s="7">
        <f>IFERROR(H67/H51,"n/a")</f>
        <v>0.39805825242718446</v>
      </c>
      <c r="I70" s="7">
        <f>IFERROR(I67/I51,"n/a")</f>
        <v>0.4189100459619173</v>
      </c>
      <c r="J70" s="25">
        <f>IFERROR(J67/J51,"n/a")</f>
        <v>0.40099999999999997</v>
      </c>
      <c r="K70" s="4"/>
      <c r="L70" s="3"/>
      <c r="M70" s="3"/>
    </row>
    <row r="71">
      <c r="A71" s="3"/>
      <c r="B71" s="56" t="s">
        <v>109</v>
      </c>
      <c r="C71" s="77">
        <f>IFERROR((C70-C74)*10000,"n/a")</f>
        <v>144.08959869923578</v>
      </c>
      <c r="D71" s="77">
        <f>IFERROR((D70-D74)*10000,"n/a")</f>
        <v>146.92651689555746</v>
      </c>
      <c r="E71" s="77">
        <f>IFERROR((E70-E74)*10000,"n/a")</f>
        <v>291.5052930544798</v>
      </c>
      <c r="F71" s="77">
        <f>IFERROR((F70-F74)*10000,"n/a")</f>
        <v>246.77567615637608</v>
      </c>
      <c r="G71" s="77">
        <f>IFERROR((G70-G74)*10000,"n/a")</f>
        <v>213.51117700749543</v>
      </c>
      <c r="H71" s="77">
        <f>IFERROR((H70-C70)*10000,"n/a")</f>
        <v>304.6931962086036</v>
      </c>
      <c r="I71" s="77">
        <f>IFERROR((I70-D70)*10000,"n/a")</f>
        <v>256.35192160747664</v>
      </c>
      <c r="J71" s="78">
        <f>IFERROR((J70-E70)*10000,"n/a")</f>
        <v>51.82804027885346</v>
      </c>
      <c r="K71" s="4"/>
      <c r="L71" s="3"/>
      <c r="M71" s="3"/>
    </row>
    <row r="72">
      <c r="A72" s="3"/>
      <c r="B72" s="56" t="s">
        <v>110</v>
      </c>
      <c r="C72" s="77" t="s">
        <v>44</v>
      </c>
      <c r="D72" s="77">
        <f>IFERROR((D70-C70)*10000,"n/a")</f>
        <v>256.85920994845515</v>
      </c>
      <c r="E72" s="77">
        <f>IFERROR((E70-D70)*10000,"n/a")</f>
        <v>25.42342170945011</v>
      </c>
      <c r="F72" s="77">
        <f>IFERROR((F70-E70)*10000,"n/a")</f>
        <v>-614.2834226723814</v>
      </c>
      <c r="G72" s="77" t="s">
        <v>44</v>
      </c>
      <c r="H72" s="77">
        <f>IFERROR((H70-F70)*10000,"n/a")</f>
        <v>636.6939872230798</v>
      </c>
      <c r="I72" s="77">
        <f>IFERROR((I70-H70)*10000,"n/a")</f>
        <v>208.5179353473282</v>
      </c>
      <c r="J72" s="78">
        <f>IFERROR((J70-I70)*10000,"n/a")</f>
        <v>-179.10045961917308</v>
      </c>
      <c r="K72" s="4"/>
      <c r="L72" s="3"/>
      <c r="M72" s="3"/>
    </row>
    <row r="73">
      <c r="A73" s="3"/>
      <c r="B73" s="3" t="s">
        <v>183</v>
      </c>
      <c r="C73" s="19">
        <v>261</v>
      </c>
      <c r="D73" s="19">
        <v>502</v>
      </c>
      <c r="E73" s="19">
        <v>473</v>
      </c>
      <c r="F73" s="19">
        <v>472</v>
      </c>
      <c r="G73" s="1">
        <f>SUM(C73:F73)</f>
        <v>1708</v>
      </c>
      <c r="H73" s="1">
        <f>C67</f>
        <v>279</v>
      </c>
      <c r="I73" s="1">
        <f>D67</f>
        <v>538</v>
      </c>
      <c r="J73" s="16">
        <f>E67</f>
        <v>511</v>
      </c>
      <c r="K73" s="4" t="s">
        <v>184</v>
      </c>
      <c r="L73" s="3"/>
      <c r="M73" s="3"/>
    </row>
    <row r="74">
      <c r="A74" s="3"/>
      <c r="B74" s="56" t="s">
        <v>185</v>
      </c>
      <c r="C74" s="115">
        <f>IFERROR(C73/C10,"n/a")</f>
        <v>0.3531799729364005</v>
      </c>
      <c r="D74" s="115">
        <f>IFERROR(D73/D10,"n/a")</f>
        <v>0.37858220211161386</v>
      </c>
      <c r="E74" s="115">
        <f>IFERROR(E73/E10,"n/a")</f>
        <v>0.36666666666666664</v>
      </c>
      <c r="F74" s="115">
        <f>IFERROR(F73/F10,"n/a")</f>
        <v>0.30971128608923887</v>
      </c>
      <c r="G74" s="115">
        <f>IFERROR(G73/G10,"n/a")</f>
        <v>0.3500717360114778</v>
      </c>
      <c r="H74" s="7">
        <f>IFERROR(H73/H10,"n/a")</f>
        <v>0.3675889328063241</v>
      </c>
      <c r="I74" s="7">
        <f>IFERROR(I73/I10,"n/a")</f>
        <v>0.3932748538011696</v>
      </c>
      <c r="J74" s="25">
        <f>IFERROR(J73/J10,"n/a")</f>
        <v>0.3958171959721146</v>
      </c>
      <c r="K74" s="4"/>
      <c r="L74" s="3"/>
      <c r="M74" s="3"/>
    </row>
    <row r="75">
      <c r="A75" s="3"/>
      <c r="B75" s="3" t="s">
        <v>186</v>
      </c>
      <c r="C75" s="19">
        <v>-12</v>
      </c>
      <c r="D75" s="19">
        <v>-11</v>
      </c>
      <c r="E75" s="19">
        <v>3</v>
      </c>
      <c r="F75" s="19">
        <v>11</v>
      </c>
      <c r="G75" s="1">
        <f>SUM(C75:F75)</f>
        <v>-9</v>
      </c>
      <c r="H75" s="19">
        <v>11</v>
      </c>
      <c r="I75" s="19">
        <v>11</v>
      </c>
      <c r="J75" s="16">
        <f>J73*J26</f>
        <v>5.11</v>
      </c>
      <c r="K75" s="4" t="s">
        <v>187</v>
      </c>
      <c r="L75" s="3"/>
      <c r="M75" s="3"/>
    </row>
    <row r="76">
      <c r="A76" s="3"/>
      <c r="B76" s="15" t="s">
        <v>188</v>
      </c>
      <c r="C76" s="21">
        <f>C67-C75</f>
        <v>291</v>
      </c>
      <c r="D76" s="21">
        <f>D67-D75</f>
        <v>549</v>
      </c>
      <c r="E76" s="21">
        <f>E67-E75</f>
        <v>508</v>
      </c>
      <c r="F76" s="21">
        <f>F67-F75</f>
        <v>517</v>
      </c>
      <c r="G76" s="21">
        <f>G67-G75</f>
        <v>1865</v>
      </c>
      <c r="H76" s="21">
        <f>H67-H75</f>
        <v>317</v>
      </c>
      <c r="I76" s="21">
        <f>I67-I75</f>
        <v>627</v>
      </c>
      <c r="J76" s="43">
        <f>J67-J75</f>
        <v>559.1731900000001</v>
      </c>
      <c r="K76" s="4"/>
      <c r="L76" s="3"/>
      <c r="M76" s="3"/>
    </row>
    <row r="77">
      <c r="A77" s="3"/>
      <c r="B77" s="56" t="s">
        <v>189</v>
      </c>
      <c r="C77" s="7">
        <f>IFERROR(IF(OR(C76&lt;0,C73&lt;0),"n.m.",C76/C73-1),"n/a")</f>
        <v>0.11494252873563227</v>
      </c>
      <c r="D77" s="7">
        <f>IFERROR(IF(OR(D76&lt;0,D73&lt;0),"n.m.",D76/D73-1),"n/a")</f>
        <v>0.09362549800796804</v>
      </c>
      <c r="E77" s="7">
        <f>IFERROR(IF(OR(E76&lt;0,E73&lt;0),"n.m.",E76/E73-1),"n/a")</f>
        <v>0.07399577167019022</v>
      </c>
      <c r="F77" s="7">
        <f>IFERROR(IF(OR(F76&lt;0,F73&lt;0),"n.m.",F76/F73-1),"n/a")</f>
        <v>0.09533898305084754</v>
      </c>
      <c r="G77" s="7">
        <f>IFERROR(IF(OR(G76&lt;0,G73&lt;0),"n.m.",G76/G73-1),"n/a")</f>
        <v>0.09192037470725989</v>
      </c>
      <c r="H77" s="7">
        <f>IFERROR(IF(OR(H76&lt;0,H73&lt;0),"n.m.",H76/H73-1),"n/a")</f>
        <v>0.1362007168458781</v>
      </c>
      <c r="I77" s="7">
        <f>IFERROR(IF(OR(I76&lt;0,I73&lt;0),"n.m.",I76/I73-1),"n/a")</f>
        <v>0.16542750929368033</v>
      </c>
      <c r="J77" s="25">
        <f>IFERROR(IF(OR(J76&lt;0,J73&lt;0),"n.m.",J76/J73-1),"n/a")</f>
        <v>0.09427238747553823</v>
      </c>
      <c r="K77" s="4"/>
      <c r="L77" s="3"/>
      <c r="M77" s="3"/>
    </row>
    <row r="78">
      <c r="A78" s="3"/>
      <c r="B78" s="3"/>
      <c r="C78" s="1"/>
      <c r="D78" s="1"/>
      <c r="E78" s="1"/>
      <c r="F78" s="1"/>
      <c r="G78" s="1"/>
      <c r="H78" s="1"/>
      <c r="I78" s="1"/>
      <c r="J78" s="16"/>
      <c r="K78" s="4"/>
      <c r="L78" s="3"/>
      <c r="M78" s="3"/>
    </row>
    <row r="79">
      <c r="A79" s="3"/>
      <c r="B79" s="15" t="s">
        <v>190</v>
      </c>
      <c r="C79" s="5"/>
      <c r="D79" s="5"/>
      <c r="E79" s="5"/>
      <c r="F79" s="5"/>
      <c r="G79" s="5"/>
      <c r="H79" s="5"/>
      <c r="I79" s="5"/>
      <c r="J79" s="22"/>
      <c r="K79" s="4"/>
      <c r="L79" s="3"/>
      <c r="M79" s="3"/>
    </row>
    <row r="80">
      <c r="A80" s="3"/>
      <c r="B80" s="29" t="s">
        <v>191</v>
      </c>
      <c r="C80" s="19">
        <v>2</v>
      </c>
      <c r="D80" s="19">
        <v>3</v>
      </c>
      <c r="E80" s="19">
        <v>2</v>
      </c>
      <c r="F80" s="19">
        <v>7</v>
      </c>
      <c r="G80" s="1">
        <f>SUM(C80:F80)</f>
        <v>14</v>
      </c>
      <c r="H80" s="19">
        <v>7</v>
      </c>
      <c r="I80" s="19">
        <v>1</v>
      </c>
      <c r="J80" s="16">
        <f>AVERAGE(H80:I80)</f>
        <v>4</v>
      </c>
      <c r="K80" s="4" t="s">
        <v>192</v>
      </c>
      <c r="L80" s="3"/>
      <c r="M80" s="3"/>
    </row>
    <row r="81">
      <c r="A81" s="3"/>
      <c r="B81" s="49" t="s">
        <v>77</v>
      </c>
      <c r="C81" s="7" t="s">
        <v>44</v>
      </c>
      <c r="D81" s="7" t="s">
        <v>44</v>
      </c>
      <c r="E81" s="7" t="s">
        <v>44</v>
      </c>
      <c r="F81" s="7" t="s">
        <v>44</v>
      </c>
      <c r="G81" s="7" t="s">
        <v>44</v>
      </c>
      <c r="H81" s="7">
        <f>IFERROR(IF(OR(H80&lt;0,C80&lt;0),"n.m.",H80/C80-1),"n/a")</f>
        <v>2.5</v>
      </c>
      <c r="I81" s="7">
        <f>IFERROR(IF(OR(I80&lt;0,D80&lt;0),"n.m.",I80/D80-1),"n/a")</f>
        <v>-0.6666666666666667</v>
      </c>
      <c r="J81" s="25">
        <f>IFERROR(IF(OR(J80&lt;0,E80&lt;0),"n.m.",J80/E80-1),"n/a")</f>
        <v>1</v>
      </c>
      <c r="K81" s="4"/>
      <c r="L81" s="3"/>
      <c r="M81" s="3"/>
    </row>
    <row r="82">
      <c r="A82" s="3"/>
      <c r="B82" s="63" t="s">
        <v>94</v>
      </c>
      <c r="C82" s="1" t="s">
        <v>44</v>
      </c>
      <c r="D82" s="1">
        <f>IFERROR(D80-C80,"n/a")</f>
        <v>1</v>
      </c>
      <c r="E82" s="1">
        <f>IFERROR(E80-D80,"n/a")</f>
        <v>-1</v>
      </c>
      <c r="F82" s="1">
        <f>IFERROR(F80-E80,"n/a")</f>
        <v>5</v>
      </c>
      <c r="G82" s="1" t="s">
        <v>44</v>
      </c>
      <c r="H82" s="1">
        <f>IFERROR(H80-F80,"n/a")</f>
        <v>0</v>
      </c>
      <c r="I82" s="1">
        <f>IFERROR(I80-H80,"n/a")</f>
        <v>-6</v>
      </c>
      <c r="J82" s="16">
        <f>IFERROR(J80-I80,"n/a")</f>
        <v>3</v>
      </c>
      <c r="K82" s="4"/>
      <c r="L82" s="3"/>
      <c r="M82" s="3"/>
    </row>
    <row r="83">
      <c r="A83" s="3"/>
      <c r="B83" s="29" t="s">
        <v>193</v>
      </c>
      <c r="C83" s="19">
        <v>0</v>
      </c>
      <c r="D83" s="19">
        <v>0</v>
      </c>
      <c r="E83" s="19">
        <v>0</v>
      </c>
      <c r="F83" s="19">
        <v>0</v>
      </c>
      <c r="G83" s="1">
        <f>SUM(C83:F83)</f>
        <v>0</v>
      </c>
      <c r="H83" s="19">
        <v>0</v>
      </c>
      <c r="I83" s="19">
        <v>0</v>
      </c>
      <c r="J83" s="51">
        <v>0</v>
      </c>
      <c r="K83" s="4" t="s">
        <v>194</v>
      </c>
      <c r="L83" s="3"/>
      <c r="M83" s="3"/>
    </row>
    <row r="84">
      <c r="A84" s="3"/>
      <c r="B84" s="29" t="s">
        <v>195</v>
      </c>
      <c r="C84" s="19">
        <v>0</v>
      </c>
      <c r="D84" s="19">
        <v>0</v>
      </c>
      <c r="E84" s="19">
        <v>73</v>
      </c>
      <c r="F84" s="19">
        <v>0</v>
      </c>
      <c r="G84" s="1">
        <f>SUM(C84:F84)</f>
        <v>73</v>
      </c>
      <c r="H84" s="19">
        <v>0</v>
      </c>
      <c r="I84" s="19">
        <v>0</v>
      </c>
      <c r="J84" s="51">
        <v>0</v>
      </c>
      <c r="K84" s="4" t="s">
        <v>194</v>
      </c>
      <c r="L84" s="3"/>
      <c r="M84" s="3"/>
    </row>
    <row r="85">
      <c r="A85" s="3"/>
      <c r="B85" s="29" t="s">
        <v>196</v>
      </c>
      <c r="C85" s="19">
        <v>0</v>
      </c>
      <c r="D85" s="19">
        <v>0</v>
      </c>
      <c r="E85" s="19">
        <v>0</v>
      </c>
      <c r="F85" s="19">
        <v>0</v>
      </c>
      <c r="G85" s="1">
        <f>SUM(C85:F85)</f>
        <v>0</v>
      </c>
      <c r="H85" s="19">
        <v>0</v>
      </c>
      <c r="I85" s="19">
        <v>0</v>
      </c>
      <c r="J85" s="51">
        <v>0</v>
      </c>
      <c r="K85" s="4" t="s">
        <v>194</v>
      </c>
      <c r="L85" s="3"/>
      <c r="M85" s="3"/>
    </row>
    <row r="86">
      <c r="A86" s="3"/>
      <c r="B86" s="29" t="s">
        <v>197</v>
      </c>
      <c r="C86" s="19">
        <v>0</v>
      </c>
      <c r="D86" s="19">
        <v>0</v>
      </c>
      <c r="E86" s="19">
        <v>0</v>
      </c>
      <c r="F86" s="19">
        <v>0</v>
      </c>
      <c r="G86" s="1">
        <f>SUM(C86:F86)</f>
        <v>0</v>
      </c>
      <c r="H86" s="19">
        <v>0</v>
      </c>
      <c r="I86" s="19">
        <v>0</v>
      </c>
      <c r="J86" s="51">
        <v>0</v>
      </c>
      <c r="K86" s="4" t="s">
        <v>194</v>
      </c>
      <c r="L86" s="3"/>
      <c r="M86" s="3"/>
    </row>
    <row r="87">
      <c r="A87" s="3"/>
      <c r="B87" s="15" t="s">
        <v>198</v>
      </c>
      <c r="C87" s="21">
        <f>C80+C83+C84+C85+C86</f>
        <v>2</v>
      </c>
      <c r="D87" s="21">
        <f>D80+D83+D84+D85+D86</f>
        <v>3</v>
      </c>
      <c r="E87" s="21">
        <f>E80+E83+E84+E85+E86</f>
        <v>75</v>
      </c>
      <c r="F87" s="21">
        <f>F80+F83+F84+F85+F86</f>
        <v>7</v>
      </c>
      <c r="G87" s="21">
        <f>G80+G83+G84+G85+G86</f>
        <v>87</v>
      </c>
      <c r="H87" s="21">
        <f>H80+H83+H84+H85+H86</f>
        <v>7</v>
      </c>
      <c r="I87" s="21">
        <f>I80+I83+I84+I85+I86</f>
        <v>1</v>
      </c>
      <c r="J87" s="43">
        <f>J80+J83+J84+J85+J86</f>
        <v>4</v>
      </c>
      <c r="K87" s="4"/>
      <c r="L87" s="3"/>
      <c r="M87" s="3"/>
    </row>
    <row r="88">
      <c r="A88" s="3"/>
      <c r="B88" s="15" t="s">
        <v>199</v>
      </c>
      <c r="C88" s="21">
        <f>C67-C87</f>
        <v>277</v>
      </c>
      <c r="D88" s="21">
        <f>D67-D87</f>
        <v>535</v>
      </c>
      <c r="E88" s="21">
        <f>E67-E87</f>
        <v>436</v>
      </c>
      <c r="F88" s="21">
        <f>F67-F87</f>
        <v>521</v>
      </c>
      <c r="G88" s="21">
        <f>G67-G87</f>
        <v>1769</v>
      </c>
      <c r="H88" s="21">
        <f>H67-H87</f>
        <v>321</v>
      </c>
      <c r="I88" s="21">
        <f>I67-I87</f>
        <v>637</v>
      </c>
      <c r="J88" s="43">
        <f>J67-J87</f>
        <v>560.2831900000001</v>
      </c>
      <c r="K88" s="4"/>
      <c r="L88" s="3"/>
      <c r="M88" s="3"/>
    </row>
    <row r="89">
      <c r="A89" s="3"/>
      <c r="B89" s="56" t="s">
        <v>77</v>
      </c>
      <c r="C89" s="7" t="s">
        <v>44</v>
      </c>
      <c r="D89" s="7" t="s">
        <v>44</v>
      </c>
      <c r="E89" s="7" t="s">
        <v>44</v>
      </c>
      <c r="F89" s="7" t="s">
        <v>44</v>
      </c>
      <c r="G89" s="7" t="s">
        <v>44</v>
      </c>
      <c r="H89" s="7">
        <f>IFERROR(IF(OR(H88&lt;0,C88&lt;0),"n.m.",H88/C88-1),"n/a")</f>
        <v>0.15884476534296033</v>
      </c>
      <c r="I89" s="7">
        <f>IFERROR(IF(OR(I88&lt;0,D88&lt;0),"n.m.",I88/D88-1),"n/a")</f>
        <v>0.1906542056074767</v>
      </c>
      <c r="J89" s="25">
        <f>IFERROR(IF(OR(J88&lt;0,E88&lt;0),"n.m.",J88/E88-1),"n/a")</f>
        <v>0.28505318807339464</v>
      </c>
      <c r="K89" s="4"/>
      <c r="L89" s="3"/>
      <c r="M89" s="3"/>
    </row>
    <row r="90">
      <c r="A90" s="3"/>
      <c r="B90" s="29" t="s">
        <v>94</v>
      </c>
      <c r="C90" s="1" t="s">
        <v>44</v>
      </c>
      <c r="D90" s="1">
        <f>IFERROR(D88-C88,"n/a")</f>
        <v>258</v>
      </c>
      <c r="E90" s="1">
        <f>IFERROR(E88-D88,"n/a")</f>
        <v>-99</v>
      </c>
      <c r="F90" s="1">
        <f>IFERROR(F88-E88,"n/a")</f>
        <v>85</v>
      </c>
      <c r="G90" s="1" t="s">
        <v>44</v>
      </c>
      <c r="H90" s="1">
        <f>IFERROR(H88-F88,"n/a")</f>
        <v>-200</v>
      </c>
      <c r="I90" s="1">
        <f>IFERROR(I88-H88,"n/a")</f>
        <v>316</v>
      </c>
      <c r="J90" s="16">
        <f>IFERROR(J88-I88,"n/a")</f>
        <v>-76.7168099999999</v>
      </c>
      <c r="K90" s="4"/>
      <c r="L90" s="3"/>
      <c r="M90" s="3"/>
    </row>
    <row r="91">
      <c r="A91" s="3"/>
      <c r="B91" s="12" t="s">
        <v>200</v>
      </c>
      <c r="C91" s="7">
        <f>IFERROR(C88/C51,"n/a")</f>
        <v>0.36495388669301715</v>
      </c>
      <c r="D91" s="7">
        <f>IFERROR(D88/D51,"n/a")</f>
        <v>0.39108187134502925</v>
      </c>
      <c r="E91" s="7">
        <f>IFERROR(E88/E51,"n/a")</f>
        <v>0.337722695584818</v>
      </c>
      <c r="F91" s="7">
        <f>IFERROR(F88/F51,"n/a")</f>
        <v>0.3299556681443952</v>
      </c>
      <c r="G91" s="7">
        <f>IFERROR(G88/G51,"n/a")</f>
        <v>0.35401240744446666</v>
      </c>
      <c r="H91" s="7">
        <f>IFERROR(H88/H51,"n/a")</f>
        <v>0.3895631067961165</v>
      </c>
      <c r="I91" s="7">
        <f>IFERROR(I88/I51,"n/a")</f>
        <v>0.41825344714379514</v>
      </c>
      <c r="J91" s="25">
        <f>IFERROR(J88/J51,"n/a")</f>
        <v>0.39815745563854205</v>
      </c>
      <c r="K91" s="4"/>
      <c r="L91" s="3"/>
      <c r="M91" s="3"/>
    </row>
    <row r="92">
      <c r="A92" s="3"/>
      <c r="B92" s="56" t="s">
        <v>109</v>
      </c>
      <c r="C92" s="77" t="s">
        <v>44</v>
      </c>
      <c r="D92" s="77" t="s">
        <v>44</v>
      </c>
      <c r="E92" s="77" t="s">
        <v>44</v>
      </c>
      <c r="F92" s="77" t="s">
        <v>44</v>
      </c>
      <c r="G92" s="77" t="s">
        <v>44</v>
      </c>
      <c r="H92" s="77">
        <f>IFERROR((H91-C91)*10000,"n/a")</f>
        <v>246.0922010309935</v>
      </c>
      <c r="I92" s="77">
        <f>IFERROR((I91-D91)*10000,"n/a")</f>
        <v>271.7157579876589</v>
      </c>
      <c r="J92" s="78">
        <f>IFERROR((J91-E91)*10000,"n/a")</f>
        <v>604.3476005372406</v>
      </c>
      <c r="K92" s="4"/>
      <c r="L92" s="3"/>
      <c r="M92" s="3"/>
    </row>
    <row r="93">
      <c r="A93" s="3"/>
      <c r="B93" s="56" t="s">
        <v>110</v>
      </c>
      <c r="C93" s="77" t="s">
        <v>44</v>
      </c>
      <c r="D93" s="77">
        <f>IFERROR((D91-C91)*10000,"n/a")</f>
        <v>261.27984652012105</v>
      </c>
      <c r="E93" s="77">
        <f>IFERROR((E91-D91)*10000,"n/a")</f>
        <v>-533.5917576021127</v>
      </c>
      <c r="F93" s="77">
        <f>IFERROR((F91-E91)*10000,"n/a")</f>
        <v>-77.67027440422791</v>
      </c>
      <c r="G93" s="77" t="s">
        <v>44</v>
      </c>
      <c r="H93" s="77">
        <f>IFERROR((H91-F91)*10000,"n/a")</f>
        <v>596.074386517213</v>
      </c>
      <c r="I93" s="77">
        <f>IFERROR((I91-H91)*10000,"n/a")</f>
        <v>286.9034034767864</v>
      </c>
      <c r="J93" s="78">
        <f>IFERROR((J91-I91)*10000,"n/a")</f>
        <v>-200.95991505253096</v>
      </c>
      <c r="K93" s="4"/>
      <c r="L93" s="3"/>
      <c r="M93" s="3"/>
    </row>
    <row r="94">
      <c r="A94" s="3"/>
      <c r="B94" s="3" t="s">
        <v>201</v>
      </c>
      <c r="C94" s="19">
        <v>277</v>
      </c>
      <c r="D94" s="19">
        <v>535</v>
      </c>
      <c r="E94" s="19">
        <v>436</v>
      </c>
      <c r="F94" s="19">
        <v>521</v>
      </c>
      <c r="G94" s="19">
        <v>1769</v>
      </c>
      <c r="H94" s="19">
        <v>321</v>
      </c>
      <c r="I94" s="19">
        <v>637</v>
      </c>
      <c r="J94" s="16" t="s">
        <v>44</v>
      </c>
      <c r="K94" s="4" t="s">
        <v>202</v>
      </c>
      <c r="L94" s="3"/>
      <c r="M94" s="3"/>
    </row>
    <row r="95">
      <c r="A95" s="3"/>
      <c r="B95" s="12" t="s">
        <v>203</v>
      </c>
      <c r="C95" s="52">
        <f>C88-C94</f>
        <v>0</v>
      </c>
      <c r="D95" s="52">
        <f>D88-D94</f>
        <v>0</v>
      </c>
      <c r="E95" s="52">
        <f>E88-E94</f>
        <v>0</v>
      </c>
      <c r="F95" s="52">
        <f>F88-F94</f>
        <v>0</v>
      </c>
      <c r="G95" s="52">
        <f>G88-G94</f>
        <v>0</v>
      </c>
      <c r="H95" s="52">
        <f>H88-H94</f>
        <v>0</v>
      </c>
      <c r="I95" s="52">
        <f>I88-I94</f>
        <v>0</v>
      </c>
      <c r="J95" s="62" t="s">
        <v>44</v>
      </c>
      <c r="K95" s="4"/>
      <c r="L95" s="3"/>
      <c r="M95" s="3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M10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208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141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3" t="s">
        <v>142</v>
      </c>
      <c r="C10" s="19">
        <v>2433</v>
      </c>
      <c r="D10" s="19">
        <v>4183</v>
      </c>
      <c r="E10" s="19">
        <v>4612</v>
      </c>
      <c r="F10" s="19">
        <v>5430</v>
      </c>
      <c r="G10" s="1">
        <f>SUM(C10:F10)</f>
        <v>16658</v>
      </c>
      <c r="H10" s="1">
        <f>C33</f>
        <v>2388</v>
      </c>
      <c r="I10" s="1">
        <f>D33</f>
        <v>4536</v>
      </c>
      <c r="J10" s="16">
        <f>E33</f>
        <v>5022</v>
      </c>
      <c r="K10" s="4" t="s">
        <v>143</v>
      </c>
      <c r="L10" s="3"/>
      <c r="M10" s="3"/>
    </row>
    <row r="11">
      <c r="A11" s="3"/>
      <c r="B11" s="29" t="s">
        <v>144</v>
      </c>
      <c r="C11" s="19">
        <v>0</v>
      </c>
      <c r="D11" s="19">
        <v>0</v>
      </c>
      <c r="E11" s="19">
        <v>0</v>
      </c>
      <c r="F11" s="19">
        <v>0</v>
      </c>
      <c r="G11" s="1">
        <f>SUM(C11:F11)</f>
        <v>0</v>
      </c>
      <c r="H11" s="19">
        <v>0</v>
      </c>
      <c r="I11" s="19">
        <v>0</v>
      </c>
      <c r="J11" s="16">
        <f>AVERAGE(H11:I11)</f>
        <v>0</v>
      </c>
      <c r="K11" s="4" t="s">
        <v>145</v>
      </c>
      <c r="L11" s="3"/>
      <c r="M11" s="3"/>
    </row>
    <row r="12">
      <c r="A12" s="3"/>
      <c r="B12" s="15" t="s">
        <v>146</v>
      </c>
      <c r="C12" s="21">
        <f>C10+C11</f>
        <v>2433</v>
      </c>
      <c r="D12" s="21">
        <f>D10+D11</f>
        <v>4183</v>
      </c>
      <c r="E12" s="21">
        <f>E10+E11</f>
        <v>4612</v>
      </c>
      <c r="F12" s="21">
        <f>F10+F11</f>
        <v>5430</v>
      </c>
      <c r="G12" s="21">
        <f>G10+G11</f>
        <v>16658</v>
      </c>
      <c r="H12" s="21">
        <f>H10+H11</f>
        <v>2388</v>
      </c>
      <c r="I12" s="21">
        <f>I10+I11</f>
        <v>4536</v>
      </c>
      <c r="J12" s="43">
        <f>J10+J11</f>
        <v>5022</v>
      </c>
      <c r="K12" s="4"/>
      <c r="L12" s="3"/>
      <c r="M12" s="3"/>
    </row>
    <row r="13">
      <c r="A13" s="3"/>
      <c r="B13" s="12" t="s">
        <v>147</v>
      </c>
      <c r="C13" s="9">
        <v>-0.08</v>
      </c>
      <c r="D13" s="9">
        <v>-0.04</v>
      </c>
      <c r="E13" s="9">
        <v>0</v>
      </c>
      <c r="F13" s="9">
        <v>-0.03</v>
      </c>
      <c r="G13" s="9">
        <v>-0.03</v>
      </c>
      <c r="H13" s="9">
        <v>0.06</v>
      </c>
      <c r="I13" s="9">
        <v>0.03</v>
      </c>
      <c r="J13" s="79">
        <v>0.03</v>
      </c>
      <c r="K13" s="4" t="s">
        <v>148</v>
      </c>
      <c r="L13" s="3"/>
      <c r="M13" s="3"/>
    </row>
    <row r="14">
      <c r="A14" s="3"/>
      <c r="B14" s="56" t="s">
        <v>109</v>
      </c>
      <c r="C14" s="77" t="s">
        <v>44</v>
      </c>
      <c r="D14" s="77" t="s">
        <v>44</v>
      </c>
      <c r="E14" s="77" t="s">
        <v>44</v>
      </c>
      <c r="F14" s="77" t="s">
        <v>44</v>
      </c>
      <c r="G14" s="77" t="s">
        <v>44</v>
      </c>
      <c r="H14" s="77">
        <f>IFERROR((H13-C13)*10000,"n/a")</f>
        <v>1400.0000000000002</v>
      </c>
      <c r="I14" s="77">
        <f>IFERROR((I13-D13)*10000,"n/a")</f>
        <v>700.0000000000001</v>
      </c>
      <c r="J14" s="78">
        <f>IFERROR((J13-E13)*10000,"n/a")</f>
        <v>300</v>
      </c>
      <c r="K14" s="4"/>
      <c r="L14" s="3"/>
      <c r="M14" s="3"/>
    </row>
    <row r="15">
      <c r="A15" s="3"/>
      <c r="B15" s="56" t="s">
        <v>110</v>
      </c>
      <c r="C15" s="77" t="s">
        <v>44</v>
      </c>
      <c r="D15" s="77">
        <f>IFERROR((D13-C13)*10000,"n/a")</f>
        <v>400</v>
      </c>
      <c r="E15" s="77">
        <f>IFERROR((E13-D13)*10000,"n/a")</f>
        <v>400</v>
      </c>
      <c r="F15" s="77">
        <f>IFERROR((F13-E13)*10000,"n/a")</f>
        <v>-300</v>
      </c>
      <c r="G15" s="77" t="s">
        <v>44</v>
      </c>
      <c r="H15" s="77">
        <f>IFERROR((H13-F13)*10000,"n/a")</f>
        <v>900</v>
      </c>
      <c r="I15" s="77">
        <f>IFERROR((I13-H13)*10000,"n/a")</f>
        <v>-300</v>
      </c>
      <c r="J15" s="78">
        <f>IFERROR((J13-I13)*10000,"n/a")</f>
        <v>0</v>
      </c>
      <c r="K15" s="4"/>
      <c r="L15" s="3"/>
      <c r="M15" s="3"/>
    </row>
    <row r="16">
      <c r="A16" s="3"/>
      <c r="B16" s="12" t="s">
        <v>149</v>
      </c>
      <c r="C16" s="9">
        <v>0.16</v>
      </c>
      <c r="D16" s="9">
        <v>0.11</v>
      </c>
      <c r="E16" s="9">
        <v>0.06</v>
      </c>
      <c r="F16" s="9">
        <v>0.08</v>
      </c>
      <c r="G16" s="9">
        <v>0.09</v>
      </c>
      <c r="H16" s="9">
        <v>0</v>
      </c>
      <c r="I16" s="9">
        <v>0.03</v>
      </c>
      <c r="J16" s="79">
        <v>0.03</v>
      </c>
      <c r="K16" s="4" t="s">
        <v>150</v>
      </c>
      <c r="L16" s="3"/>
      <c r="M16" s="3"/>
    </row>
    <row r="17">
      <c r="A17" s="3"/>
      <c r="B17" s="56" t="s">
        <v>109</v>
      </c>
      <c r="C17" s="77" t="s">
        <v>44</v>
      </c>
      <c r="D17" s="77" t="s">
        <v>44</v>
      </c>
      <c r="E17" s="77" t="s">
        <v>44</v>
      </c>
      <c r="F17" s="77" t="s">
        <v>44</v>
      </c>
      <c r="G17" s="77" t="s">
        <v>44</v>
      </c>
      <c r="H17" s="77">
        <f>IFERROR((H16-C16)*10000,"n/a")</f>
        <v>-1600</v>
      </c>
      <c r="I17" s="77">
        <f>IFERROR((I16-D16)*10000,"n/a")</f>
        <v>-800</v>
      </c>
      <c r="J17" s="78">
        <f>IFERROR((J16-E16)*10000,"n/a")</f>
        <v>-300</v>
      </c>
      <c r="K17" s="4"/>
      <c r="L17" s="3"/>
      <c r="M17" s="3"/>
    </row>
    <row r="18">
      <c r="A18" s="3"/>
      <c r="B18" s="56" t="s">
        <v>110</v>
      </c>
      <c r="C18" s="77" t="s">
        <v>44</v>
      </c>
      <c r="D18" s="77">
        <f>IFERROR((D16-C16)*10000,"n/a")</f>
        <v>-500</v>
      </c>
      <c r="E18" s="77">
        <f>IFERROR((E16-D16)*10000,"n/a")</f>
        <v>-500</v>
      </c>
      <c r="F18" s="77">
        <f>IFERROR((F16-E16)*10000,"n/a")</f>
        <v>200.00000000000003</v>
      </c>
      <c r="G18" s="77" t="s">
        <v>44</v>
      </c>
      <c r="H18" s="77">
        <f>IFERROR((H16-F16)*10000,"n/a")</f>
        <v>-800</v>
      </c>
      <c r="I18" s="77">
        <f>IFERROR((I16-H16)*10000,"n/a")</f>
        <v>300</v>
      </c>
      <c r="J18" s="78">
        <f>IFERROR((J16-I16)*10000,"n/a")</f>
        <v>0</v>
      </c>
      <c r="K18" s="4"/>
      <c r="L18" s="3"/>
      <c r="M18" s="3"/>
    </row>
    <row r="19">
      <c r="A19" s="3"/>
      <c r="B19" s="12" t="s">
        <v>151</v>
      </c>
      <c r="C19" s="9">
        <v>0.08</v>
      </c>
      <c r="D19" s="9">
        <v>0.07</v>
      </c>
      <c r="E19" s="9">
        <v>0.055</v>
      </c>
      <c r="F19" s="9">
        <v>0.05</v>
      </c>
      <c r="G19" s="9">
        <v>0.06</v>
      </c>
      <c r="H19" s="9">
        <v>0.07</v>
      </c>
      <c r="I19" s="9">
        <v>0.06</v>
      </c>
      <c r="J19" s="25">
        <f>J13+J16</f>
        <v>0.06</v>
      </c>
      <c r="K19" s="4" t="s">
        <v>152</v>
      </c>
      <c r="L19" s="3"/>
      <c r="M19" s="3"/>
    </row>
    <row r="20">
      <c r="A20" s="3"/>
      <c r="B20" s="56" t="s">
        <v>109</v>
      </c>
      <c r="C20" s="77" t="s">
        <v>44</v>
      </c>
      <c r="D20" s="77" t="s">
        <v>44</v>
      </c>
      <c r="E20" s="77" t="s">
        <v>44</v>
      </c>
      <c r="F20" s="77" t="s">
        <v>44</v>
      </c>
      <c r="G20" s="77" t="s">
        <v>44</v>
      </c>
      <c r="H20" s="77">
        <f>IFERROR((H19-C19)*10000,"n/a")</f>
        <v>-99.99999999999994</v>
      </c>
      <c r="I20" s="77">
        <f>IFERROR((I19-D19)*10000,"n/a")</f>
        <v>-100.00000000000009</v>
      </c>
      <c r="J20" s="78">
        <f>IFERROR((J19-E19)*10000,"n/a")</f>
        <v>49.99999999999997</v>
      </c>
      <c r="K20" s="4"/>
      <c r="L20" s="3"/>
      <c r="M20" s="3"/>
    </row>
    <row r="21">
      <c r="A21" s="3"/>
      <c r="B21" s="56" t="s">
        <v>110</v>
      </c>
      <c r="C21" s="77" t="s">
        <v>44</v>
      </c>
      <c r="D21" s="77">
        <f>IFERROR((D19-C19)*10000,"n/a")</f>
        <v>-99.99999999999994</v>
      </c>
      <c r="E21" s="77">
        <f>IFERROR((E19-D19)*10000,"n/a")</f>
        <v>-150.00000000000006</v>
      </c>
      <c r="F21" s="77">
        <f>IFERROR((F19-E19)*10000,"n/a")</f>
        <v>-49.99999999999997</v>
      </c>
      <c r="G21" s="77" t="s">
        <v>44</v>
      </c>
      <c r="H21" s="77">
        <f>IFERROR((H19-F19)*10000,"n/a")</f>
        <v>200.00000000000003</v>
      </c>
      <c r="I21" s="77">
        <f>IFERROR((I19-H19)*10000,"n/a")</f>
        <v>-100.00000000000009</v>
      </c>
      <c r="J21" s="78">
        <f>IFERROR((J19-I19)*10000,"n/a")</f>
        <v>0</v>
      </c>
      <c r="K21" s="4"/>
      <c r="L21" s="3"/>
      <c r="M21" s="3"/>
    </row>
    <row r="22">
      <c r="A22" s="3"/>
      <c r="B22" s="3" t="s">
        <v>98</v>
      </c>
      <c r="C22" s="1">
        <f>C33-C25-C29</f>
        <v>2620</v>
      </c>
      <c r="D22" s="1">
        <f>D33-D25-D29</f>
        <v>4466</v>
      </c>
      <c r="E22" s="1">
        <f>E33-E25-E29</f>
        <v>4864</v>
      </c>
      <c r="F22" s="1">
        <f>F33-F25-F29</f>
        <v>5699</v>
      </c>
      <c r="G22" s="1">
        <f>SUM(C22:F22)</f>
        <v>17649</v>
      </c>
      <c r="H22" s="1">
        <f>H33-H25-H29</f>
        <v>2544</v>
      </c>
      <c r="I22" s="1">
        <f>I33-I25-I29</f>
        <v>4830</v>
      </c>
      <c r="J22" s="16">
        <f>J12*(1+J19)</f>
        <v>5323.320000000001</v>
      </c>
      <c r="K22" s="4" t="s">
        <v>153</v>
      </c>
      <c r="L22" s="3"/>
      <c r="M22" s="3"/>
    </row>
    <row r="23">
      <c r="A23" s="3"/>
      <c r="B23" s="56" t="s">
        <v>154</v>
      </c>
      <c r="C23" s="7">
        <f>IFERROR(IF(OR(C22&lt;0,C12&lt;0),"n.m.",C22/C12-1),"n/a")</f>
        <v>0.07685984381422117</v>
      </c>
      <c r="D23" s="7">
        <f>IFERROR(IF(OR(D22&lt;0,D12&lt;0),"n.m.",D22/D12-1),"n/a")</f>
        <v>0.0676547932106144</v>
      </c>
      <c r="E23" s="7">
        <f>IFERROR(IF(OR(E22&lt;0,E12&lt;0),"n.m.",E22/E12-1),"n/a")</f>
        <v>0.05464006938421506</v>
      </c>
      <c r="F23" s="7">
        <f>IFERROR(IF(OR(F22&lt;0,F12&lt;0),"n.m.",F22/F12-1),"n/a")</f>
        <v>0.049539594843462265</v>
      </c>
      <c r="G23" s="7">
        <f>IFERROR(IF(OR(G22&lt;0,G12&lt;0),"n.m.",G22/G12-1),"n/a")</f>
        <v>0.059490935286348856</v>
      </c>
      <c r="H23" s="7">
        <f>IFERROR(IF(OR(H22&lt;0,H12&lt;0),"n.m.",H22/H12-1),"n/a")</f>
        <v>0.0653266331658291</v>
      </c>
      <c r="I23" s="7">
        <f>IFERROR(IF(OR(I22&lt;0,I12&lt;0),"n.m.",I22/I12-1),"n/a")</f>
        <v>0.06481481481481488</v>
      </c>
      <c r="J23" s="25">
        <f>IFERROR(IF(OR(J22&lt;0,J12&lt;0),"n.m.",J22/J12-1),"n/a")</f>
        <v>0.06000000000000005</v>
      </c>
      <c r="K23" s="4"/>
      <c r="L23" s="3"/>
      <c r="M23" s="3"/>
    </row>
    <row r="24">
      <c r="A24" s="3"/>
      <c r="B24" s="29" t="s">
        <v>94</v>
      </c>
      <c r="C24" s="1" t="s">
        <v>44</v>
      </c>
      <c r="D24" s="1">
        <f>IFERROR(D22-C22,"n/a")</f>
        <v>1846</v>
      </c>
      <c r="E24" s="1">
        <f>IFERROR(E22-D22,"n/a")</f>
        <v>398</v>
      </c>
      <c r="F24" s="1">
        <f>IFERROR(F22-E22,"n/a")</f>
        <v>835</v>
      </c>
      <c r="G24" s="1" t="s">
        <v>44</v>
      </c>
      <c r="H24" s="1">
        <f>IFERROR(H22-F22,"n/a")</f>
        <v>-3155</v>
      </c>
      <c r="I24" s="1">
        <f>IFERROR(I22-H22,"n/a")</f>
        <v>2286</v>
      </c>
      <c r="J24" s="16">
        <f>IFERROR(J22-I22,"n/a")</f>
        <v>493.3200000000006</v>
      </c>
      <c r="K24" s="4"/>
      <c r="L24" s="3"/>
      <c r="M24" s="3"/>
    </row>
    <row r="25">
      <c r="A25" s="3"/>
      <c r="B25" s="3" t="s">
        <v>99</v>
      </c>
      <c r="C25" s="19">
        <v>-225</v>
      </c>
      <c r="D25" s="19">
        <v>82</v>
      </c>
      <c r="E25" s="19">
        <v>169</v>
      </c>
      <c r="F25" s="19">
        <v>383</v>
      </c>
      <c r="G25" s="1">
        <f>SUM(C25:F25)</f>
        <v>409</v>
      </c>
      <c r="H25" s="19">
        <v>279</v>
      </c>
      <c r="I25" s="19">
        <v>153</v>
      </c>
      <c r="J25" s="16">
        <f>J10*J26</f>
        <v>-25.11</v>
      </c>
      <c r="K25" s="4" t="s">
        <v>155</v>
      </c>
      <c r="L25" s="3"/>
      <c r="M25" s="3"/>
    </row>
    <row r="26">
      <c r="A26" s="3"/>
      <c r="B26" s="56" t="s">
        <v>156</v>
      </c>
      <c r="C26" s="7">
        <f>IFERROR(C25/C10,"n/a")</f>
        <v>-0.09247842170160296</v>
      </c>
      <c r="D26" s="7">
        <f>IFERROR(D25/D10,"n/a")</f>
        <v>0.01960315562993067</v>
      </c>
      <c r="E26" s="7">
        <f>IFERROR(E25/E10,"n/a")</f>
        <v>0.036643538594969646</v>
      </c>
      <c r="F26" s="7">
        <f>IFERROR(F25/F10,"n/a")</f>
        <v>0.07053406998158379</v>
      </c>
      <c r="G26" s="7">
        <f>IFERROR(G25/G10,"n/a")</f>
        <v>0.024552767439068316</v>
      </c>
      <c r="H26" s="7">
        <f>IFERROR(H25/H10,"n/a")</f>
        <v>0.11683417085427136</v>
      </c>
      <c r="I26" s="7">
        <f>IFERROR(I25/I10,"n/a")</f>
        <v>0.03373015873015873</v>
      </c>
      <c r="J26" s="79">
        <v>-0.005</v>
      </c>
      <c r="K26" s="4" t="s">
        <v>157</v>
      </c>
      <c r="L26" s="3"/>
      <c r="M26" s="3"/>
    </row>
    <row r="27">
      <c r="A27" s="3"/>
      <c r="B27" s="49" t="s">
        <v>109</v>
      </c>
      <c r="C27" s="77" t="s">
        <v>44</v>
      </c>
      <c r="D27" s="77" t="s">
        <v>44</v>
      </c>
      <c r="E27" s="77" t="s">
        <v>44</v>
      </c>
      <c r="F27" s="77" t="s">
        <v>44</v>
      </c>
      <c r="G27" s="77" t="s">
        <v>44</v>
      </c>
      <c r="H27" s="77">
        <f>IFERROR((H26-C26)*10000,"n/a")</f>
        <v>2093.125925558743</v>
      </c>
      <c r="I27" s="77">
        <f>IFERROR((I26-D26)*10000,"n/a")</f>
        <v>141.27003100228058</v>
      </c>
      <c r="J27" s="78">
        <f>IFERROR((J26-E26)*10000,"n/a")</f>
        <v>-416.4353859496964</v>
      </c>
      <c r="K27" s="4"/>
      <c r="L27" s="3"/>
      <c r="M27" s="3"/>
    </row>
    <row r="28">
      <c r="A28" s="3"/>
      <c r="B28" s="49" t="s">
        <v>110</v>
      </c>
      <c r="C28" s="77" t="s">
        <v>44</v>
      </c>
      <c r="D28" s="77">
        <f>IFERROR((D26-C26)*10000,"n/a")</f>
        <v>1120.8157733153364</v>
      </c>
      <c r="E28" s="77">
        <f>IFERROR((E26-D26)*10000,"n/a")</f>
        <v>170.40382965038975</v>
      </c>
      <c r="F28" s="77">
        <f>IFERROR((F26-E26)*10000,"n/a")</f>
        <v>338.90531386614146</v>
      </c>
      <c r="G28" s="77" t="s">
        <v>44</v>
      </c>
      <c r="H28" s="77">
        <f>IFERROR((H26-F26)*10000,"n/a")</f>
        <v>463.00100872687574</v>
      </c>
      <c r="I28" s="77">
        <f>IFERROR((I26-H26)*10000,"n/a")</f>
        <v>-831.0401212411264</v>
      </c>
      <c r="J28" s="78">
        <f>IFERROR((J26-I26)*10000,"n/a")</f>
        <v>-387.30158730158723</v>
      </c>
      <c r="K28" s="4"/>
      <c r="L28" s="3"/>
      <c r="M28" s="3"/>
    </row>
    <row r="29">
      <c r="A29" s="3"/>
      <c r="B29" s="3" t="s">
        <v>100</v>
      </c>
      <c r="C29" s="19">
        <v>-7</v>
      </c>
      <c r="D29" s="19">
        <v>-12</v>
      </c>
      <c r="E29" s="19">
        <v>-11</v>
      </c>
      <c r="F29" s="19">
        <v>-3</v>
      </c>
      <c r="G29" s="1">
        <f>SUM(C29:F29)</f>
        <v>-33</v>
      </c>
      <c r="H29" s="19">
        <v>0</v>
      </c>
      <c r="I29" s="19">
        <v>0</v>
      </c>
      <c r="J29" s="16">
        <f>J10*J30</f>
        <v>0</v>
      </c>
      <c r="K29" s="4" t="s">
        <v>158</v>
      </c>
      <c r="L29" s="3"/>
      <c r="M29" s="3"/>
    </row>
    <row r="30">
      <c r="A30" s="3"/>
      <c r="B30" s="56" t="s">
        <v>159</v>
      </c>
      <c r="C30" s="7">
        <f>IFERROR(C29/C10,"n/a")</f>
        <v>-0.002877106452938759</v>
      </c>
      <c r="D30" s="7">
        <f>IFERROR(D29/D10,"n/a")</f>
        <v>-0.002868754482428879</v>
      </c>
      <c r="E30" s="7">
        <f>IFERROR(E29/E10,"n/a")</f>
        <v>-0.002385082393755421</v>
      </c>
      <c r="F30" s="7">
        <f>IFERROR(F29/F10,"n/a")</f>
        <v>-0.0005524861878453039</v>
      </c>
      <c r="G30" s="7">
        <f>IFERROR(G29/G10,"n/a")</f>
        <v>-0.0019810301356705485</v>
      </c>
      <c r="H30" s="7">
        <f>IFERROR(H29/H10,"n/a")</f>
        <v>0</v>
      </c>
      <c r="I30" s="7">
        <f>IFERROR(I29/I10,"n/a")</f>
        <v>0</v>
      </c>
      <c r="J30" s="79">
        <v>0</v>
      </c>
      <c r="K30" s="4" t="s">
        <v>160</v>
      </c>
      <c r="L30" s="3"/>
      <c r="M30" s="3"/>
    </row>
    <row r="31">
      <c r="A31" s="3"/>
      <c r="B31" s="49" t="s">
        <v>109</v>
      </c>
      <c r="C31" s="77" t="s">
        <v>44</v>
      </c>
      <c r="D31" s="77" t="s">
        <v>44</v>
      </c>
      <c r="E31" s="77" t="s">
        <v>44</v>
      </c>
      <c r="F31" s="77" t="s">
        <v>44</v>
      </c>
      <c r="G31" s="77" t="s">
        <v>44</v>
      </c>
      <c r="H31" s="77">
        <f>IFERROR((H30-C30)*10000,"n/a")</f>
        <v>28.77106452938759</v>
      </c>
      <c r="I31" s="77">
        <f>IFERROR((I30-D30)*10000,"n/a")</f>
        <v>28.68754482428879</v>
      </c>
      <c r="J31" s="78">
        <f>IFERROR((J30-E30)*10000,"n/a")</f>
        <v>23.850823937554207</v>
      </c>
      <c r="K31" s="4"/>
      <c r="L31" s="3"/>
      <c r="M31" s="3"/>
    </row>
    <row r="32">
      <c r="A32" s="3"/>
      <c r="B32" s="49" t="s">
        <v>110</v>
      </c>
      <c r="C32" s="77" t="s">
        <v>44</v>
      </c>
      <c r="D32" s="77">
        <f>IFERROR((D30-C30)*10000,"n/a")</f>
        <v>0.08351970509880118</v>
      </c>
      <c r="E32" s="77">
        <f>IFERROR((E30-D30)*10000,"n/a")</f>
        <v>4.83672088673458</v>
      </c>
      <c r="F32" s="77">
        <f>IFERROR((F30-E30)*10000,"n/a")</f>
        <v>18.32596205910117</v>
      </c>
      <c r="G32" s="77" t="s">
        <v>44</v>
      </c>
      <c r="H32" s="77">
        <f>IFERROR((H30-F30)*10000,"n/a")</f>
        <v>5.524861878453039</v>
      </c>
      <c r="I32" s="77">
        <f>IFERROR((I30-H30)*10000,"n/a")</f>
        <v>0</v>
      </c>
      <c r="J32" s="78">
        <f>IFERROR((J30-I30)*10000,"n/a")</f>
        <v>0</v>
      </c>
      <c r="K32" s="4"/>
      <c r="L32" s="3"/>
      <c r="M32" s="3"/>
    </row>
    <row r="33">
      <c r="A33" s="3"/>
      <c r="B33" s="15" t="s">
        <v>161</v>
      </c>
      <c r="C33" s="32">
        <v>2388</v>
      </c>
      <c r="D33" s="32">
        <v>4536</v>
      </c>
      <c r="E33" s="32">
        <v>5022</v>
      </c>
      <c r="F33" s="32">
        <v>6079</v>
      </c>
      <c r="G33" s="21">
        <f>SUM(C33:F33)</f>
        <v>18025</v>
      </c>
      <c r="H33" s="32">
        <v>2823</v>
      </c>
      <c r="I33" s="32">
        <v>4983</v>
      </c>
      <c r="J33" s="43">
        <f>J22+J25+J29</f>
        <v>5298.210000000001</v>
      </c>
      <c r="K33" s="4" t="s">
        <v>162</v>
      </c>
      <c r="L33" s="3"/>
      <c r="M33" s="3"/>
    </row>
    <row r="34">
      <c r="A34" s="3"/>
      <c r="B34" s="56" t="s">
        <v>77</v>
      </c>
      <c r="C34" s="7">
        <f>IFERROR(IF(OR(C33&lt;0,C10&lt;0),"n.m.",C33/C10-1),"n/a")</f>
        <v>-0.018495684340320562</v>
      </c>
      <c r="D34" s="7">
        <f>IFERROR(IF(OR(D33&lt;0,D10&lt;0),"n.m.",D33/D10-1),"n/a")</f>
        <v>0.08438919435811609</v>
      </c>
      <c r="E34" s="7">
        <f>IFERROR(IF(OR(E33&lt;0,E10&lt;0),"n.m.",E33/E10-1),"n/a")</f>
        <v>0.08889852558542932</v>
      </c>
      <c r="F34" s="7">
        <f>IFERROR(IF(OR(F33&lt;0,F10&lt;0),"n.m.",F33/F10-1),"n/a")</f>
        <v>0.1195211786372008</v>
      </c>
      <c r="G34" s="7">
        <f>IFERROR(IF(OR(G33&lt;0,G10&lt;0),"n.m.",G33/G10-1),"n/a")</f>
        <v>0.08206267258974664</v>
      </c>
      <c r="H34" s="7">
        <f>IFERROR(IF(OR(H33&lt;0,C33&lt;0),"n.m.",H33/C33-1),"n/a")</f>
        <v>0.1821608040201006</v>
      </c>
      <c r="I34" s="7">
        <f>IFERROR(IF(OR(I33&lt;0,D33&lt;0),"n.m.",I33/D33-1),"n/a")</f>
        <v>0.09854497354497349</v>
      </c>
      <c r="J34" s="25">
        <f>IFERROR(IF(OR(J33&lt;0,E33&lt;0),"n.m.",J33/E33-1),"n/a")</f>
        <v>0.05500000000000016</v>
      </c>
      <c r="K34" s="4"/>
      <c r="L34" s="3"/>
      <c r="M34" s="3"/>
    </row>
    <row r="35">
      <c r="A35" s="3"/>
      <c r="B35" s="56" t="s">
        <v>78</v>
      </c>
      <c r="C35" s="7" t="s">
        <v>44</v>
      </c>
      <c r="D35" s="7">
        <f>IFERROR(IF(OR(D33&lt;0,C33&lt;0),"n.m.",D33/C33-1),"n/a")</f>
        <v>0.8994974874371859</v>
      </c>
      <c r="E35" s="7">
        <f>IFERROR(IF(OR(E33&lt;0,D33&lt;0),"n.m.",E33/D33-1),"n/a")</f>
        <v>0.1071428571428572</v>
      </c>
      <c r="F35" s="7">
        <f>IFERROR(IF(OR(F33&lt;0,E33&lt;0),"n.m.",F33/E33-1),"n/a")</f>
        <v>0.2104739147749901</v>
      </c>
      <c r="G35" s="7" t="s">
        <v>44</v>
      </c>
      <c r="H35" s="7">
        <f>IFERROR(IF(OR(H33&lt;0,F33&lt;0),"n.m.",H33/F33-1),"n/a")</f>
        <v>-0.5356144102648461</v>
      </c>
      <c r="I35" s="7">
        <f>IFERROR(IF(OR(I33&lt;0,H33&lt;0),"n.m.",I33/H33-1),"n/a")</f>
        <v>0.7651434643995749</v>
      </c>
      <c r="J35" s="25">
        <f>IFERROR(IF(OR(J33&lt;0,I33&lt;0),"n.m.",J33/I33-1),"n/a")</f>
        <v>0.06325707405177616</v>
      </c>
      <c r="K35" s="4"/>
      <c r="L35" s="3"/>
      <c r="M35" s="3"/>
    </row>
    <row r="36">
      <c r="A36" s="3"/>
      <c r="B36" s="29" t="s">
        <v>94</v>
      </c>
      <c r="C36" s="1" t="s">
        <v>44</v>
      </c>
      <c r="D36" s="1">
        <f>IFERROR(D33-C33,"n/a")</f>
        <v>2148</v>
      </c>
      <c r="E36" s="1">
        <f>IFERROR(E33-D33,"n/a")</f>
        <v>486</v>
      </c>
      <c r="F36" s="1">
        <f>IFERROR(F33-E33,"n/a")</f>
        <v>1057</v>
      </c>
      <c r="G36" s="1" t="s">
        <v>44</v>
      </c>
      <c r="H36" s="1">
        <f>IFERROR(H33-F33,"n/a")</f>
        <v>-3256</v>
      </c>
      <c r="I36" s="1">
        <f>IFERROR(I33-H33,"n/a")</f>
        <v>2160</v>
      </c>
      <c r="J36" s="16">
        <f>IFERROR(J33-I33,"n/a")</f>
        <v>315.21000000000095</v>
      </c>
      <c r="K36" s="4"/>
      <c r="L36" s="3"/>
      <c r="M36" s="3"/>
    </row>
    <row r="37">
      <c r="A37" s="3"/>
      <c r="B37" s="3"/>
      <c r="C37" s="1"/>
      <c r="D37" s="1"/>
      <c r="E37" s="1"/>
      <c r="F37" s="1"/>
      <c r="G37" s="1"/>
      <c r="H37" s="1"/>
      <c r="I37" s="1"/>
      <c r="J37" s="16"/>
      <c r="K37" s="4"/>
      <c r="L37" s="3"/>
      <c r="M37" s="3"/>
    </row>
    <row r="38">
      <c r="A38" s="3"/>
      <c r="B38" s="15" t="s">
        <v>163</v>
      </c>
      <c r="C38" s="5"/>
      <c r="D38" s="5"/>
      <c r="E38" s="5"/>
      <c r="F38" s="5"/>
      <c r="G38" s="5"/>
      <c r="H38" s="5"/>
      <c r="I38" s="5"/>
      <c r="J38" s="22"/>
      <c r="K38" s="4"/>
      <c r="L38" s="3"/>
      <c r="M38" s="3"/>
    </row>
    <row r="39">
      <c r="A39" s="3"/>
      <c r="B39" s="12" t="s">
        <v>103</v>
      </c>
      <c r="C39" s="7">
        <f>IFERROR(IF(OR(C33&lt;0,C10&lt;0),"n.m.",C33/C10-1),"n/a")</f>
        <v>-0.018495684340320562</v>
      </c>
      <c r="D39" s="7">
        <f>IFERROR(IF(OR(D33&lt;0,D10&lt;0),"n.m.",D33/D10-1),"n/a")</f>
        <v>0.08438919435811609</v>
      </c>
      <c r="E39" s="7">
        <f>IFERROR(IF(OR(E33&lt;0,E10&lt;0),"n.m.",E33/E10-1),"n/a")</f>
        <v>0.08889852558542932</v>
      </c>
      <c r="F39" s="7">
        <f>IFERROR(IF(OR(F33&lt;0,F10&lt;0),"n.m.",F33/F10-1),"n/a")</f>
        <v>0.1195211786372008</v>
      </c>
      <c r="G39" s="7">
        <f>IFERROR(IF(OR(G33&lt;0,G10&lt;0),"n.m.",G33/G10-1),"n/a")</f>
        <v>0.08206267258974664</v>
      </c>
      <c r="H39" s="7">
        <f>IFERROR(IF(OR(H33&lt;0,H10&lt;0),"n.m.",H33/H10-1),"n/a")</f>
        <v>0.1821608040201006</v>
      </c>
      <c r="I39" s="7">
        <f>IFERROR(IF(OR(I33&lt;0,I10&lt;0),"n.m.",I33/I10-1),"n/a")</f>
        <v>0.09854497354497349</v>
      </c>
      <c r="J39" s="25">
        <f>IFERROR(IF(OR(J33&lt;0,J10&lt;0),"n.m.",J33/J10-1),"n/a")</f>
        <v>0.05500000000000016</v>
      </c>
      <c r="K39" s="4"/>
      <c r="L39" s="3"/>
      <c r="M39" s="3"/>
    </row>
    <row r="40">
      <c r="A40" s="3"/>
      <c r="B40" s="12" t="s">
        <v>104</v>
      </c>
      <c r="C40" s="7">
        <f>IFERROR((C29+C11)/C10,"n/a")</f>
        <v>-0.002877106452938759</v>
      </c>
      <c r="D40" s="7">
        <f>IFERROR((D29+D11)/D10,"n/a")</f>
        <v>-0.002868754482428879</v>
      </c>
      <c r="E40" s="7">
        <f>IFERROR((E29+E11)/E10,"n/a")</f>
        <v>-0.002385082393755421</v>
      </c>
      <c r="F40" s="7">
        <f>IFERROR((F29+F11)/F10,"n/a")</f>
        <v>-0.0005524861878453039</v>
      </c>
      <c r="G40" s="7">
        <f>IFERROR((G29+G11)/G10,"n/a")</f>
        <v>-0.0019810301356705485</v>
      </c>
      <c r="H40" s="7">
        <f>IFERROR((H29+H11)/H10,"n/a")</f>
        <v>0</v>
      </c>
      <c r="I40" s="7">
        <f>IFERROR((I29+I11)/I10,"n/a")</f>
        <v>0</v>
      </c>
      <c r="J40" s="25">
        <f>IFERROR((J29+J11)/J10,"n/a")</f>
        <v>0</v>
      </c>
      <c r="K40" s="4"/>
      <c r="L40" s="3"/>
      <c r="M40" s="3"/>
    </row>
    <row r="41">
      <c r="A41" s="3"/>
      <c r="B41" s="12" t="s">
        <v>105</v>
      </c>
      <c r="C41" s="7">
        <f>IFERROR(C25/C10,"n/a")</f>
        <v>-0.09247842170160296</v>
      </c>
      <c r="D41" s="7">
        <f>IFERROR(D25/D10,"n/a")</f>
        <v>0.01960315562993067</v>
      </c>
      <c r="E41" s="7">
        <f>IFERROR(E25/E10,"n/a")</f>
        <v>0.036643538594969646</v>
      </c>
      <c r="F41" s="7">
        <f>IFERROR(F25/F10,"n/a")</f>
        <v>0.07053406998158379</v>
      </c>
      <c r="G41" s="7">
        <f>IFERROR(G25/G10,"n/a")</f>
        <v>0.024552767439068316</v>
      </c>
      <c r="H41" s="7">
        <f>IFERROR(H25/H10,"n/a")</f>
        <v>0.11683417085427136</v>
      </c>
      <c r="I41" s="7">
        <f>IFERROR(I25/I10,"n/a")</f>
        <v>0.03373015873015873</v>
      </c>
      <c r="J41" s="25">
        <f>IFERROR(J25/J10,"n/a")</f>
        <v>-0.005</v>
      </c>
      <c r="K41" s="4"/>
      <c r="L41" s="3"/>
      <c r="M41" s="3"/>
    </row>
    <row r="42">
      <c r="A42" s="3"/>
      <c r="B42" s="12" t="s">
        <v>106</v>
      </c>
      <c r="C42" s="7">
        <f>IFERROR((1+C39)/((1+C40)*(1+C41))-1,"n/a")</f>
        <v>0.08464237069429004</v>
      </c>
      <c r="D42" s="7">
        <f>IFERROR((1+D39)/((1+D40)*(1+D41))-1,"n/a")</f>
        <v>0.06660025976267203</v>
      </c>
      <c r="E42" s="7">
        <f>IFERROR((1+E39)/((1+E40)*(1+E41))-1,"n/a")</f>
        <v>0.052919163422227244</v>
      </c>
      <c r="F42" s="7">
        <f>IFERROR((1+F39)/((1+F40)*(1+F41))-1,"n/a")</f>
        <v>0.04633759162594431</v>
      </c>
      <c r="G42" s="7">
        <f>IFERROR((1+G39)/((1+G40)*(1+G41))-1,"n/a")</f>
        <v>0.058228097929830636</v>
      </c>
      <c r="H42" s="7">
        <f>IFERROR((1+H39)/((1+H40)*(1+H41))-1,"n/a")</f>
        <v>0.0584926884139485</v>
      </c>
      <c r="I42" s="7">
        <f>IFERROR((1+I39)/((1+I40)*(1+I41))-1,"n/a")</f>
        <v>0.06269993602047319</v>
      </c>
      <c r="J42" s="25">
        <f>IFERROR((1+J39)/((1+J40)*(1+J41))-1,"n/a")</f>
        <v>0.0603015075376887</v>
      </c>
      <c r="K42" s="4"/>
      <c r="L42" s="3"/>
      <c r="M42" s="3"/>
    </row>
    <row r="43">
      <c r="A43" s="3"/>
      <c r="B43" s="56" t="s">
        <v>164</v>
      </c>
      <c r="C43" s="77">
        <f>IFERROR((C42-C19)*10000,"n/a")</f>
        <v>46.42370694290035</v>
      </c>
      <c r="D43" s="77">
        <f>IFERROR((D42-D19)*10000,"n/a")</f>
        <v>-33.99740237327975</v>
      </c>
      <c r="E43" s="77">
        <f>IFERROR((E42-E19)*10000,"n/a")</f>
        <v>-20.80836577772756</v>
      </c>
      <c r="F43" s="77">
        <f>IFERROR((F42-F19)*10000,"n/a")</f>
        <v>-36.62408374055695</v>
      </c>
      <c r="G43" s="77">
        <f>IFERROR((G42-G19)*10000,"n/a")</f>
        <v>-17.719020701693623</v>
      </c>
      <c r="H43" s="77">
        <f>IFERROR((H42-H19)*10000,"n/a")</f>
        <v>-115.07311586051505</v>
      </c>
      <c r="I43" s="77">
        <f>IFERROR((I42-I19)*10000,"n/a")</f>
        <v>26.999360204731925</v>
      </c>
      <c r="J43" s="78">
        <f>IFERROR((J42-J19)*10000,"n/a")</f>
        <v>3.0150753768870553</v>
      </c>
      <c r="K43" s="4" t="s">
        <v>165</v>
      </c>
      <c r="L43" s="3"/>
      <c r="M43" s="3"/>
    </row>
    <row r="44">
      <c r="A44" s="3"/>
      <c r="B44" s="3"/>
      <c r="C44" s="1"/>
      <c r="D44" s="1"/>
      <c r="E44" s="1"/>
      <c r="F44" s="1"/>
      <c r="G44" s="1"/>
      <c r="H44" s="1"/>
      <c r="I44" s="1"/>
      <c r="J44" s="16"/>
      <c r="K44" s="4"/>
      <c r="L44" s="3"/>
      <c r="M44" s="3"/>
    </row>
    <row r="45">
      <c r="A45" s="3"/>
      <c r="B45" s="15" t="s">
        <v>166</v>
      </c>
      <c r="C45" s="5"/>
      <c r="D45" s="5"/>
      <c r="E45" s="5"/>
      <c r="F45" s="5"/>
      <c r="G45" s="5"/>
      <c r="H45" s="5"/>
      <c r="I45" s="5"/>
      <c r="J45" s="22"/>
      <c r="K45" s="4"/>
      <c r="L45" s="3"/>
      <c r="M45" s="3"/>
    </row>
    <row r="46">
      <c r="A46" s="3"/>
      <c r="B46" s="12" t="s">
        <v>167</v>
      </c>
      <c r="C46" s="9">
        <v>-0.09</v>
      </c>
      <c r="D46" s="9">
        <v>-0.06</v>
      </c>
      <c r="E46" s="9">
        <v>-0.01</v>
      </c>
      <c r="F46" s="9">
        <v>-0.05</v>
      </c>
      <c r="G46" s="9">
        <v>-0.05</v>
      </c>
      <c r="H46" s="9">
        <v>0.09</v>
      </c>
      <c r="I46" s="9">
        <v>0.04</v>
      </c>
      <c r="J46" s="25">
        <f>J13</f>
        <v>0.03</v>
      </c>
      <c r="K46" s="4" t="s">
        <v>168</v>
      </c>
      <c r="L46" s="3"/>
      <c r="M46" s="3"/>
    </row>
    <row r="47">
      <c r="A47" s="3"/>
      <c r="B47" s="56" t="s">
        <v>109</v>
      </c>
      <c r="C47" s="77" t="s">
        <v>44</v>
      </c>
      <c r="D47" s="77" t="s">
        <v>44</v>
      </c>
      <c r="E47" s="77" t="s">
        <v>44</v>
      </c>
      <c r="F47" s="77" t="s">
        <v>44</v>
      </c>
      <c r="G47" s="77" t="s">
        <v>44</v>
      </c>
      <c r="H47" s="77">
        <f>IFERROR((H46-C46)*10000,"n/a")</f>
        <v>1800</v>
      </c>
      <c r="I47" s="77">
        <f>IFERROR((I46-D46)*10000,"n/a")</f>
        <v>1000</v>
      </c>
      <c r="J47" s="78">
        <f>IFERROR((J46-E46)*10000,"n/a")</f>
        <v>400</v>
      </c>
      <c r="K47" s="4"/>
      <c r="L47" s="3"/>
      <c r="M47" s="3"/>
    </row>
    <row r="48">
      <c r="A48" s="3"/>
      <c r="B48" s="56" t="s">
        <v>110</v>
      </c>
      <c r="C48" s="77" t="s">
        <v>44</v>
      </c>
      <c r="D48" s="77">
        <f>IFERROR((D46-C46)*10000,"n/a")</f>
        <v>300</v>
      </c>
      <c r="E48" s="77">
        <f>IFERROR((E46-D46)*10000,"n/a")</f>
        <v>499.99999999999994</v>
      </c>
      <c r="F48" s="77">
        <f>IFERROR((F46-E46)*10000,"n/a")</f>
        <v>-400</v>
      </c>
      <c r="G48" s="77" t="s">
        <v>44</v>
      </c>
      <c r="H48" s="77">
        <f>IFERROR((H46-F46)*10000,"n/a")</f>
        <v>1400.0000000000002</v>
      </c>
      <c r="I48" s="77">
        <f>IFERROR((I46-H46)*10000,"n/a")</f>
        <v>-499.99999999999994</v>
      </c>
      <c r="J48" s="78">
        <f>IFERROR((J46-I46)*10000,"n/a")</f>
        <v>-100.00000000000001</v>
      </c>
      <c r="K48" s="4"/>
      <c r="L48" s="3"/>
      <c r="M48" s="3"/>
    </row>
    <row r="49">
      <c r="A49" s="3"/>
      <c r="B49" s="12" t="s">
        <v>206</v>
      </c>
      <c r="C49" s="9">
        <v>-0.04</v>
      </c>
      <c r="D49" s="9">
        <v>0.01</v>
      </c>
      <c r="E49" s="9">
        <v>0.015</v>
      </c>
      <c r="F49" s="9">
        <v>0.01</v>
      </c>
      <c r="G49" s="9">
        <v>0</v>
      </c>
      <c r="H49" s="9">
        <v>0.02</v>
      </c>
      <c r="I49" s="9">
        <v>0.01</v>
      </c>
      <c r="J49" s="25">
        <f>J13</f>
        <v>0.03</v>
      </c>
      <c r="K49" s="4" t="s">
        <v>168</v>
      </c>
      <c r="L49" s="3"/>
      <c r="M49" s="3"/>
    </row>
    <row r="50">
      <c r="A50" s="3"/>
      <c r="B50" s="56" t="s">
        <v>109</v>
      </c>
      <c r="C50" s="77" t="s">
        <v>44</v>
      </c>
      <c r="D50" s="77" t="s">
        <v>44</v>
      </c>
      <c r="E50" s="77" t="s">
        <v>44</v>
      </c>
      <c r="F50" s="77" t="s">
        <v>44</v>
      </c>
      <c r="G50" s="77" t="s">
        <v>44</v>
      </c>
      <c r="H50" s="77">
        <f>IFERROR((H49-C49)*10000,"n/a")</f>
        <v>600</v>
      </c>
      <c r="I50" s="77">
        <f>IFERROR((I49-D49)*10000,"n/a")</f>
        <v>0</v>
      </c>
      <c r="J50" s="78">
        <f>IFERROR((J49-E49)*10000,"n/a")</f>
        <v>150</v>
      </c>
      <c r="K50" s="4"/>
      <c r="L50" s="3"/>
      <c r="M50" s="3"/>
    </row>
    <row r="51">
      <c r="A51" s="3"/>
      <c r="B51" s="56" t="s">
        <v>110</v>
      </c>
      <c r="C51" s="77" t="s">
        <v>44</v>
      </c>
      <c r="D51" s="77">
        <f>IFERROR((D49-C49)*10000,"n/a")</f>
        <v>500</v>
      </c>
      <c r="E51" s="77">
        <f>IFERROR((E49-D49)*10000,"n/a")</f>
        <v>49.99999999999999</v>
      </c>
      <c r="F51" s="77">
        <f>IFERROR((F49-E49)*10000,"n/a")</f>
        <v>-49.99999999999999</v>
      </c>
      <c r="G51" s="77" t="s">
        <v>44</v>
      </c>
      <c r="H51" s="77">
        <f>IFERROR((H49-F49)*10000,"n/a")</f>
        <v>100</v>
      </c>
      <c r="I51" s="77">
        <f>IFERROR((I49-H49)*10000,"n/a")</f>
        <v>-100</v>
      </c>
      <c r="J51" s="78">
        <f>IFERROR((J49-I49)*10000,"n/a")</f>
        <v>199.99999999999997</v>
      </c>
      <c r="K51" s="4"/>
      <c r="L51" s="3"/>
      <c r="M51" s="3"/>
    </row>
    <row r="52">
      <c r="A52" s="3"/>
      <c r="B52" s="3"/>
      <c r="C52" s="1"/>
      <c r="D52" s="1"/>
      <c r="E52" s="1"/>
      <c r="F52" s="1"/>
      <c r="G52" s="1"/>
      <c r="H52" s="1"/>
      <c r="I52" s="1"/>
      <c r="J52" s="16"/>
      <c r="K52" s="4"/>
      <c r="L52" s="3"/>
      <c r="M52" s="3"/>
    </row>
    <row r="53">
      <c r="A53" s="3"/>
      <c r="B53" s="15" t="s">
        <v>209</v>
      </c>
      <c r="C53" s="5"/>
      <c r="D53" s="5"/>
      <c r="E53" s="5"/>
      <c r="F53" s="5"/>
      <c r="G53" s="5"/>
      <c r="H53" s="5"/>
      <c r="I53" s="5"/>
      <c r="J53" s="22"/>
      <c r="K53" s="4"/>
      <c r="L53" s="3"/>
      <c r="M53" s="3"/>
    </row>
    <row r="54">
      <c r="A54" s="3"/>
      <c r="B54" s="12" t="s">
        <v>210</v>
      </c>
      <c r="C54" s="9">
        <v>0.34</v>
      </c>
      <c r="D54" s="9">
        <v>0.38</v>
      </c>
      <c r="E54" s="9">
        <v>0.41</v>
      </c>
      <c r="F54" s="7">
        <f>IFERROR(F57/F33,"n/a")</f>
        <v>0.3412781707517683</v>
      </c>
      <c r="G54" s="9">
        <v>0.37</v>
      </c>
      <c r="H54" s="9">
        <v>0.34</v>
      </c>
      <c r="I54" s="9">
        <v>0.37</v>
      </c>
      <c r="J54" s="25">
        <f>E54</f>
        <v>0.41</v>
      </c>
      <c r="K54" s="4" t="s">
        <v>211</v>
      </c>
      <c r="L54" s="3"/>
      <c r="M54" s="3"/>
    </row>
    <row r="55">
      <c r="A55" s="3"/>
      <c r="B55" s="56" t="s">
        <v>109</v>
      </c>
      <c r="C55" s="77" t="s">
        <v>44</v>
      </c>
      <c r="D55" s="77" t="s">
        <v>44</v>
      </c>
      <c r="E55" s="77" t="s">
        <v>44</v>
      </c>
      <c r="F55" s="77" t="s">
        <v>44</v>
      </c>
      <c r="G55" s="77" t="s">
        <v>44</v>
      </c>
      <c r="H55" s="77">
        <f>IFERROR((H54-C54)*10000,"n/a")</f>
        <v>0</v>
      </c>
      <c r="I55" s="77">
        <f>IFERROR((I54-D54)*10000,"n/a")</f>
        <v>-100.00000000000009</v>
      </c>
      <c r="J55" s="78">
        <f>IFERROR((J54-E54)*10000,"n/a")</f>
        <v>0</v>
      </c>
      <c r="K55" s="4"/>
      <c r="L55" s="3"/>
      <c r="M55" s="3"/>
    </row>
    <row r="56">
      <c r="A56" s="3"/>
      <c r="B56" s="56" t="s">
        <v>110</v>
      </c>
      <c r="C56" s="77" t="s">
        <v>44</v>
      </c>
      <c r="D56" s="77">
        <f>IFERROR((D54-C54)*10000,"n/a")</f>
        <v>399.9999999999998</v>
      </c>
      <c r="E56" s="77">
        <f>IFERROR((E54-D54)*10000,"n/a")</f>
        <v>299.9999999999997</v>
      </c>
      <c r="F56" s="77">
        <f>IFERROR((F54-E54)*10000,"n/a")</f>
        <v>-687.2182924823167</v>
      </c>
      <c r="G56" s="77" t="s">
        <v>44</v>
      </c>
      <c r="H56" s="77">
        <f>IFERROR((H54-F54)*10000,"n/a")</f>
        <v>-12.781707517682817</v>
      </c>
      <c r="I56" s="77">
        <f>IFERROR((I54-H54)*10000,"n/a")</f>
        <v>299.9999999999997</v>
      </c>
      <c r="J56" s="78">
        <f>IFERROR((J54-I54)*10000,"n/a")</f>
        <v>399.9999999999998</v>
      </c>
      <c r="K56" s="4"/>
      <c r="L56" s="3"/>
      <c r="M56" s="3"/>
    </row>
    <row r="57">
      <c r="A57" s="3"/>
      <c r="B57" s="29" t="s">
        <v>212</v>
      </c>
      <c r="C57" s="1">
        <f>C33*C54</f>
        <v>811.9200000000001</v>
      </c>
      <c r="D57" s="1">
        <f>D33*D54</f>
        <v>1723.68</v>
      </c>
      <c r="E57" s="1">
        <f>E33*E54</f>
        <v>2059.02</v>
      </c>
      <c r="F57" s="1">
        <f>G57-C57-D57-E57</f>
        <v>2074.6299999999997</v>
      </c>
      <c r="G57" s="1">
        <f>G33*G54</f>
        <v>6669.25</v>
      </c>
      <c r="H57" s="1">
        <f>H33*H54</f>
        <v>959.82</v>
      </c>
      <c r="I57" s="1">
        <f>I33*I54</f>
        <v>1843.71</v>
      </c>
      <c r="J57" s="16">
        <f>J33*J54</f>
        <v>2172.2661000000003</v>
      </c>
      <c r="K57" s="4" t="s">
        <v>125</v>
      </c>
      <c r="L57" s="3"/>
      <c r="M57" s="3"/>
    </row>
    <row r="58">
      <c r="A58" s="3"/>
      <c r="B58" s="49" t="s">
        <v>77</v>
      </c>
      <c r="C58" s="7" t="s">
        <v>44</v>
      </c>
      <c r="D58" s="7" t="s">
        <v>44</v>
      </c>
      <c r="E58" s="7" t="s">
        <v>44</v>
      </c>
      <c r="F58" s="7" t="s">
        <v>44</v>
      </c>
      <c r="G58" s="7" t="s">
        <v>44</v>
      </c>
      <c r="H58" s="7">
        <f>IFERROR(IF(OR(H57&lt;0,C57&lt;0),"n.m.",H57/C57-1),"n/a")</f>
        <v>0.18216080402010038</v>
      </c>
      <c r="I58" s="7">
        <f>IFERROR(IF(OR(I57&lt;0,D57&lt;0),"n.m.",I57/D57-1),"n/a")</f>
        <v>0.0696358952937901</v>
      </c>
      <c r="J58" s="25">
        <f>IFERROR(IF(OR(J57&lt;0,E57&lt;0),"n.m.",J57/E57-1),"n/a")</f>
        <v>0.05500000000000016</v>
      </c>
      <c r="K58" s="4"/>
      <c r="L58" s="3"/>
      <c r="M58" s="3"/>
    </row>
    <row r="59">
      <c r="A59" s="3"/>
      <c r="B59" s="29" t="s">
        <v>213</v>
      </c>
      <c r="C59" s="1">
        <f>C33-C57</f>
        <v>1576.08</v>
      </c>
      <c r="D59" s="1">
        <f>D33-D57</f>
        <v>2812.3199999999997</v>
      </c>
      <c r="E59" s="1">
        <f>E33-E57</f>
        <v>2962.98</v>
      </c>
      <c r="F59" s="1">
        <f>F33-F57</f>
        <v>4004.3700000000003</v>
      </c>
      <c r="G59" s="1">
        <f>G33-G57</f>
        <v>11355.75</v>
      </c>
      <c r="H59" s="1">
        <f>H33-H57</f>
        <v>1863.1799999999998</v>
      </c>
      <c r="I59" s="1">
        <f>I33-I57</f>
        <v>3139.29</v>
      </c>
      <c r="J59" s="16">
        <f>J33-J57</f>
        <v>3125.9439000000007</v>
      </c>
      <c r="K59" s="4" t="s">
        <v>125</v>
      </c>
      <c r="L59" s="3"/>
      <c r="M59" s="3"/>
    </row>
    <row r="60">
      <c r="A60" s="3"/>
      <c r="B60" s="49" t="s">
        <v>77</v>
      </c>
      <c r="C60" s="7" t="s">
        <v>44</v>
      </c>
      <c r="D60" s="7" t="s">
        <v>44</v>
      </c>
      <c r="E60" s="7" t="s">
        <v>44</v>
      </c>
      <c r="F60" s="7" t="s">
        <v>44</v>
      </c>
      <c r="G60" s="7" t="s">
        <v>44</v>
      </c>
      <c r="H60" s="7">
        <f>IFERROR(IF(OR(H59&lt;0,C59&lt;0),"n.m.",H59/C59-1),"n/a")</f>
        <v>0.18216080402010038</v>
      </c>
      <c r="I60" s="7">
        <f>IFERROR(IF(OR(I59&lt;0,D59&lt;0),"n.m.",I59/D59-1),"n/a")</f>
        <v>0.11626344086021523</v>
      </c>
      <c r="J60" s="25">
        <f>IFERROR(IF(OR(J59&lt;0,E59&lt;0),"n.m.",J59/E59-1),"n/a")</f>
        <v>0.05500000000000016</v>
      </c>
      <c r="K60" s="4"/>
      <c r="L60" s="3"/>
      <c r="M60" s="3"/>
    </row>
    <row r="61">
      <c r="A61" s="3"/>
      <c r="B61" s="15" t="s">
        <v>214</v>
      </c>
      <c r="C61" s="21">
        <f>C57+C59</f>
        <v>2388</v>
      </c>
      <c r="D61" s="21">
        <f>D57+D59</f>
        <v>4536</v>
      </c>
      <c r="E61" s="21">
        <f>E57+E59</f>
        <v>5022</v>
      </c>
      <c r="F61" s="21">
        <f>F57+F59</f>
        <v>6079</v>
      </c>
      <c r="G61" s="21">
        <f>G57+G59</f>
        <v>18025</v>
      </c>
      <c r="H61" s="21">
        <f>H57+H59</f>
        <v>2823</v>
      </c>
      <c r="I61" s="21">
        <f>I57+I59</f>
        <v>4983</v>
      </c>
      <c r="J61" s="43">
        <f>J57+J59</f>
        <v>5298.210000000001</v>
      </c>
      <c r="K61" s="4"/>
      <c r="L61" s="3"/>
      <c r="M61" s="3"/>
    </row>
    <row r="62">
      <c r="A62" s="3"/>
      <c r="B62" s="3"/>
      <c r="C62" s="1"/>
      <c r="D62" s="1"/>
      <c r="E62" s="1"/>
      <c r="F62" s="1"/>
      <c r="G62" s="1"/>
      <c r="H62" s="1"/>
      <c r="I62" s="1"/>
      <c r="J62" s="16"/>
      <c r="K62" s="4"/>
      <c r="L62" s="3"/>
      <c r="M62" s="3"/>
    </row>
    <row r="63">
      <c r="A63" s="3"/>
      <c r="B63" s="15" t="s">
        <v>169</v>
      </c>
      <c r="C63" s="5"/>
      <c r="D63" s="5"/>
      <c r="E63" s="5"/>
      <c r="F63" s="5"/>
      <c r="G63" s="5"/>
      <c r="H63" s="5"/>
      <c r="I63" s="5"/>
      <c r="J63" s="22"/>
      <c r="K63" s="4"/>
      <c r="L63" s="3"/>
      <c r="M63" s="3"/>
    </row>
    <row r="64">
      <c r="A64" s="3"/>
      <c r="B64" s="3" t="s">
        <v>43</v>
      </c>
      <c r="C64" s="1">
        <f>C33</f>
        <v>2388</v>
      </c>
      <c r="D64" s="1">
        <f>D33</f>
        <v>4536</v>
      </c>
      <c r="E64" s="1">
        <f>E33</f>
        <v>5022</v>
      </c>
      <c r="F64" s="1">
        <f>F33</f>
        <v>6079</v>
      </c>
      <c r="G64" s="1">
        <f>G33</f>
        <v>18025</v>
      </c>
      <c r="H64" s="1">
        <f>H33</f>
        <v>2823</v>
      </c>
      <c r="I64" s="1">
        <f>I33</f>
        <v>4983</v>
      </c>
      <c r="J64" s="16">
        <f>J33</f>
        <v>5298.210000000001</v>
      </c>
      <c r="K64" s="4"/>
      <c r="L64" s="3"/>
      <c r="M64" s="3"/>
    </row>
    <row r="65">
      <c r="A65" s="3"/>
      <c r="B65" s="3" t="s">
        <v>170</v>
      </c>
      <c r="C65" s="19">
        <v>1407</v>
      </c>
      <c r="D65" s="19">
        <v>2638</v>
      </c>
      <c r="E65" s="19">
        <v>2864</v>
      </c>
      <c r="F65" s="19">
        <v>3528</v>
      </c>
      <c r="G65" s="1">
        <f>SUM(C65:F65)</f>
        <v>10437</v>
      </c>
      <c r="H65" s="19">
        <v>1673</v>
      </c>
      <c r="I65" s="19">
        <v>2839</v>
      </c>
      <c r="J65" s="16">
        <f>J64*(1-J71)</f>
        <v>3019.979700000001</v>
      </c>
      <c r="K65" s="4" t="s">
        <v>171</v>
      </c>
      <c r="L65" s="3"/>
      <c r="M65" s="3"/>
    </row>
    <row r="66">
      <c r="A66" s="3"/>
      <c r="B66" s="56" t="s">
        <v>77</v>
      </c>
      <c r="C66" s="7" t="s">
        <v>44</v>
      </c>
      <c r="D66" s="7" t="s">
        <v>44</v>
      </c>
      <c r="E66" s="7" t="s">
        <v>44</v>
      </c>
      <c r="F66" s="7" t="s">
        <v>44</v>
      </c>
      <c r="G66" s="7" t="s">
        <v>44</v>
      </c>
      <c r="H66" s="7">
        <f>IFERROR(IF(OR(H65&lt;0,C65&lt;0),"n.m.",H65/C65-1),"n/a")</f>
        <v>0.18905472636815923</v>
      </c>
      <c r="I66" s="7">
        <f>IFERROR(IF(OR(I65&lt;0,D65&lt;0),"n.m.",I65/D65-1),"n/a")</f>
        <v>0.07619408642911307</v>
      </c>
      <c r="J66" s="25">
        <f>IFERROR(IF(OR(J65&lt;0,E65&lt;0),"n.m.",J65/E65-1),"n/a")</f>
        <v>0.05446218575419026</v>
      </c>
      <c r="K66" s="4"/>
      <c r="L66" s="3"/>
      <c r="M66" s="3"/>
    </row>
    <row r="67">
      <c r="A67" s="3"/>
      <c r="B67" s="29" t="s">
        <v>94</v>
      </c>
      <c r="C67" s="1" t="s">
        <v>44</v>
      </c>
      <c r="D67" s="1">
        <f>IFERROR(D65-C65,"n/a")</f>
        <v>1231</v>
      </c>
      <c r="E67" s="1">
        <f>IFERROR(E65-D65,"n/a")</f>
        <v>226</v>
      </c>
      <c r="F67" s="1">
        <f>IFERROR(F65-E65,"n/a")</f>
        <v>664</v>
      </c>
      <c r="G67" s="1" t="s">
        <v>44</v>
      </c>
      <c r="H67" s="1">
        <f>IFERROR(H65-F65,"n/a")</f>
        <v>-1855</v>
      </c>
      <c r="I67" s="1">
        <f>IFERROR(I65-H65,"n/a")</f>
        <v>1166</v>
      </c>
      <c r="J67" s="16">
        <f>IFERROR(J65-I65,"n/a")</f>
        <v>180.97970000000078</v>
      </c>
      <c r="K67" s="4"/>
      <c r="L67" s="3"/>
      <c r="M67" s="3"/>
    </row>
    <row r="68">
      <c r="A68" s="3"/>
      <c r="B68" s="15" t="s">
        <v>172</v>
      </c>
      <c r="C68" s="21">
        <f>C64-C65</f>
        <v>981</v>
      </c>
      <c r="D68" s="21">
        <f>D64-D65</f>
        <v>1898</v>
      </c>
      <c r="E68" s="21">
        <f>E64-E65</f>
        <v>2158</v>
      </c>
      <c r="F68" s="21">
        <f>F64-F65</f>
        <v>2551</v>
      </c>
      <c r="G68" s="21">
        <f>G64-G65</f>
        <v>7588</v>
      </c>
      <c r="H68" s="21">
        <f>H64-H65</f>
        <v>1150</v>
      </c>
      <c r="I68" s="21">
        <f>I64-I65</f>
        <v>2144</v>
      </c>
      <c r="J68" s="43">
        <f>J64-J65</f>
        <v>2278.2303</v>
      </c>
      <c r="K68" s="4"/>
      <c r="L68" s="3"/>
      <c r="M68" s="3"/>
    </row>
    <row r="69">
      <c r="A69" s="3"/>
      <c r="B69" s="56" t="s">
        <v>77</v>
      </c>
      <c r="C69" s="7" t="s">
        <v>44</v>
      </c>
      <c r="D69" s="7" t="s">
        <v>44</v>
      </c>
      <c r="E69" s="7" t="s">
        <v>44</v>
      </c>
      <c r="F69" s="7" t="s">
        <v>44</v>
      </c>
      <c r="G69" s="7" t="s">
        <v>44</v>
      </c>
      <c r="H69" s="7">
        <f>IFERROR(IF(OR(H68&lt;0,C68&lt;0),"n.m.",H68/C68-1),"n/a")</f>
        <v>0.17227319062181445</v>
      </c>
      <c r="I69" s="7">
        <f>IFERROR(IF(OR(I68&lt;0,D68&lt;0),"n.m.",I68/D68-1),"n/a")</f>
        <v>0.12961011591148575</v>
      </c>
      <c r="J69" s="25">
        <f>IFERROR(IF(OR(J68&lt;0,E68&lt;0),"n.m.",J68/E68-1),"n/a")</f>
        <v>0.05571376274328088</v>
      </c>
      <c r="K69" s="4"/>
      <c r="L69" s="3"/>
      <c r="M69" s="3"/>
    </row>
    <row r="70">
      <c r="A70" s="3"/>
      <c r="B70" s="29" t="s">
        <v>94</v>
      </c>
      <c r="C70" s="1" t="s">
        <v>44</v>
      </c>
      <c r="D70" s="1">
        <f>IFERROR(D68-C68,"n/a")</f>
        <v>917</v>
      </c>
      <c r="E70" s="1">
        <f>IFERROR(E68-D68,"n/a")</f>
        <v>260</v>
      </c>
      <c r="F70" s="1">
        <f>IFERROR(F68-E68,"n/a")</f>
        <v>393</v>
      </c>
      <c r="G70" s="1" t="s">
        <v>44</v>
      </c>
      <c r="H70" s="1">
        <f>IFERROR(H68-F68,"n/a")</f>
        <v>-1401</v>
      </c>
      <c r="I70" s="1">
        <f>IFERROR(I68-H68,"n/a")</f>
        <v>994</v>
      </c>
      <c r="J70" s="16">
        <f>IFERROR(J68-I68,"n/a")</f>
        <v>134.23030000000017</v>
      </c>
      <c r="K70" s="4"/>
      <c r="L70" s="3"/>
      <c r="M70" s="3"/>
    </row>
    <row r="71">
      <c r="A71" s="3"/>
      <c r="B71" s="12" t="s">
        <v>173</v>
      </c>
      <c r="C71" s="7">
        <f>IFERROR(C68/C64,"n/a")</f>
        <v>0.4108040201005025</v>
      </c>
      <c r="D71" s="7">
        <f>IFERROR(D68/D64,"n/a")</f>
        <v>0.4184303350970018</v>
      </c>
      <c r="E71" s="7">
        <f>IFERROR(E68/E64,"n/a")</f>
        <v>0.42970927917164475</v>
      </c>
      <c r="F71" s="7">
        <f>IFERROR(F68/F64,"n/a")</f>
        <v>0.41964138838624776</v>
      </c>
      <c r="G71" s="7">
        <f>IFERROR(G68/G64,"n/a")</f>
        <v>0.42097087378640774</v>
      </c>
      <c r="H71" s="7">
        <f>IFERROR(H68/H64,"n/a")</f>
        <v>0.4073680481756996</v>
      </c>
      <c r="I71" s="7">
        <f>IFERROR(I68/I64,"n/a")</f>
        <v>0.4302628938390528</v>
      </c>
      <c r="J71" s="79">
        <v>0.43</v>
      </c>
      <c r="K71" s="4" t="s">
        <v>160</v>
      </c>
      <c r="L71" s="3"/>
      <c r="M71" s="3"/>
    </row>
    <row r="72">
      <c r="A72" s="3"/>
      <c r="B72" s="56" t="s">
        <v>109</v>
      </c>
      <c r="C72" s="77" t="s">
        <v>44</v>
      </c>
      <c r="D72" s="77" t="s">
        <v>44</v>
      </c>
      <c r="E72" s="77" t="s">
        <v>44</v>
      </c>
      <c r="F72" s="77" t="s">
        <v>44</v>
      </c>
      <c r="G72" s="77" t="s">
        <v>44</v>
      </c>
      <c r="H72" s="77">
        <f>IFERROR((H71-C71)*10000,"n/a")</f>
        <v>-34.35971924802883</v>
      </c>
      <c r="I72" s="77">
        <f>IFERROR((I71-D71)*10000,"n/a")</f>
        <v>118.32558742051025</v>
      </c>
      <c r="J72" s="78">
        <f>IFERROR((J71-E71)*10000,"n/a")</f>
        <v>2.9072082835523982</v>
      </c>
      <c r="K72" s="4"/>
      <c r="L72" s="3"/>
      <c r="M72" s="3"/>
    </row>
    <row r="73">
      <c r="A73" s="3"/>
      <c r="B73" s="56" t="s">
        <v>110</v>
      </c>
      <c r="C73" s="77" t="s">
        <v>44</v>
      </c>
      <c r="D73" s="77">
        <f>IFERROR((D71-C71)*10000,"n/a")</f>
        <v>76.26314996499295</v>
      </c>
      <c r="E73" s="77">
        <f>IFERROR((E71-D71)*10000,"n/a")</f>
        <v>112.78944074642972</v>
      </c>
      <c r="F73" s="77">
        <f>IFERROR((F71-E71)*10000,"n/a")</f>
        <v>-100.67890785396993</v>
      </c>
      <c r="G73" s="77" t="s">
        <v>44</v>
      </c>
      <c r="H73" s="77">
        <f>IFERROR((H71-F71)*10000,"n/a")</f>
        <v>-122.73340210548156</v>
      </c>
      <c r="I73" s="77">
        <f>IFERROR((I71-H71)*10000,"n/a")</f>
        <v>228.94845663353203</v>
      </c>
      <c r="J73" s="78">
        <f>IFERROR((J71-I71)*10000,"n/a")</f>
        <v>-2.628938390528135</v>
      </c>
      <c r="K73" s="4"/>
      <c r="L73" s="3"/>
      <c r="M73" s="3"/>
    </row>
    <row r="74">
      <c r="A74" s="3"/>
      <c r="B74" s="3" t="s">
        <v>174</v>
      </c>
      <c r="C74" s="19">
        <v>748</v>
      </c>
      <c r="D74" s="19">
        <v>1241</v>
      </c>
      <c r="E74" s="19">
        <v>1350</v>
      </c>
      <c r="F74" s="19">
        <v>1678</v>
      </c>
      <c r="G74" s="1">
        <f>SUM(C74:F74)</f>
        <v>5017</v>
      </c>
      <c r="H74" s="19">
        <v>849</v>
      </c>
      <c r="I74" s="19">
        <v>1377</v>
      </c>
      <c r="J74" s="16">
        <f>J64*J77</f>
        <v>1425.2184900000004</v>
      </c>
      <c r="K74" s="4" t="s">
        <v>171</v>
      </c>
      <c r="L74" s="3"/>
      <c r="M74" s="3"/>
    </row>
    <row r="75">
      <c r="A75" s="3"/>
      <c r="B75" s="56" t="s">
        <v>77</v>
      </c>
      <c r="C75" s="7" t="s">
        <v>44</v>
      </c>
      <c r="D75" s="7" t="s">
        <v>44</v>
      </c>
      <c r="E75" s="7" t="s">
        <v>44</v>
      </c>
      <c r="F75" s="7" t="s">
        <v>44</v>
      </c>
      <c r="G75" s="7" t="s">
        <v>44</v>
      </c>
      <c r="H75" s="7">
        <f>IFERROR(IF(OR(H74&lt;0,C74&lt;0),"n.m.",H74/C74-1),"n/a")</f>
        <v>0.13502673796791442</v>
      </c>
      <c r="I75" s="7">
        <f>IFERROR(IF(OR(I74&lt;0,D74&lt;0),"n.m.",I74/D74-1),"n/a")</f>
        <v>0.1095890410958904</v>
      </c>
      <c r="J75" s="25">
        <f>IFERROR(IF(OR(J74&lt;0,E74&lt;0),"n.m.",J74/E74-1),"n/a")</f>
        <v>0.05571740000000025</v>
      </c>
      <c r="K75" s="4"/>
      <c r="L75" s="3"/>
      <c r="M75" s="3"/>
    </row>
    <row r="76">
      <c r="A76" s="3"/>
      <c r="B76" s="29" t="s">
        <v>94</v>
      </c>
      <c r="C76" s="1" t="s">
        <v>44</v>
      </c>
      <c r="D76" s="1">
        <f>IFERROR(D74-C74,"n/a")</f>
        <v>493</v>
      </c>
      <c r="E76" s="1">
        <f>IFERROR(E74-D74,"n/a")</f>
        <v>109</v>
      </c>
      <c r="F76" s="1">
        <f>IFERROR(F74-E74,"n/a")</f>
        <v>328</v>
      </c>
      <c r="G76" s="1" t="s">
        <v>44</v>
      </c>
      <c r="H76" s="1">
        <f>IFERROR(H74-F74,"n/a")</f>
        <v>-829</v>
      </c>
      <c r="I76" s="1">
        <f>IFERROR(I74-H74,"n/a")</f>
        <v>528</v>
      </c>
      <c r="J76" s="16">
        <f>IFERROR(J74-I74,"n/a")</f>
        <v>48.21849000000043</v>
      </c>
      <c r="K76" s="4"/>
      <c r="L76" s="3"/>
      <c r="M76" s="3"/>
    </row>
    <row r="77">
      <c r="A77" s="3"/>
      <c r="B77" s="12" t="s">
        <v>175</v>
      </c>
      <c r="C77" s="7">
        <f>IFERROR(C74/C64,"n/a")</f>
        <v>0.3132328308207705</v>
      </c>
      <c r="D77" s="7">
        <f>IFERROR(D74/D64,"n/a")</f>
        <v>0.2735890652557319</v>
      </c>
      <c r="E77" s="7">
        <f>IFERROR(E74/E64,"n/a")</f>
        <v>0.26881720430107525</v>
      </c>
      <c r="F77" s="7">
        <f>IFERROR(F74/F64,"n/a")</f>
        <v>0.27603224214508965</v>
      </c>
      <c r="G77" s="7">
        <f>IFERROR(G74/G64,"n/a")</f>
        <v>0.27833564493758667</v>
      </c>
      <c r="H77" s="7">
        <f>IFERROR(H74/H64,"n/a")</f>
        <v>0.3007438894792774</v>
      </c>
      <c r="I77" s="7">
        <f>IFERROR(I74/I64,"n/a")</f>
        <v>0.2763395544852498</v>
      </c>
      <c r="J77" s="79">
        <v>0.269</v>
      </c>
      <c r="K77" s="4" t="s">
        <v>160</v>
      </c>
      <c r="L77" s="3"/>
      <c r="M77" s="3"/>
    </row>
    <row r="78">
      <c r="A78" s="3"/>
      <c r="B78" s="56" t="s">
        <v>109</v>
      </c>
      <c r="C78" s="77" t="s">
        <v>44</v>
      </c>
      <c r="D78" s="77" t="s">
        <v>44</v>
      </c>
      <c r="E78" s="77" t="s">
        <v>44</v>
      </c>
      <c r="F78" s="77" t="s">
        <v>44</v>
      </c>
      <c r="G78" s="77" t="s">
        <v>44</v>
      </c>
      <c r="H78" s="77">
        <f>IFERROR((H77-C77)*10000,"n/a")</f>
        <v>-124.88941341493143</v>
      </c>
      <c r="I78" s="77">
        <f>IFERROR((I77-D77)*10000,"n/a")</f>
        <v>27.504892295179275</v>
      </c>
      <c r="J78" s="78">
        <f>IFERROR((J77-E77)*10000,"n/a")</f>
        <v>1.8279569892476477</v>
      </c>
      <c r="K78" s="4"/>
      <c r="L78" s="3"/>
      <c r="M78" s="3"/>
    </row>
    <row r="79">
      <c r="A79" s="3"/>
      <c r="B79" s="56" t="s">
        <v>110</v>
      </c>
      <c r="C79" s="77" t="s">
        <v>44</v>
      </c>
      <c r="D79" s="77">
        <f>IFERROR((D77-C77)*10000,"n/a")</f>
        <v>-396.43765565038626</v>
      </c>
      <c r="E79" s="77">
        <f>IFERROR((E77-D77)*10000,"n/a")</f>
        <v>-47.71860954656648</v>
      </c>
      <c r="F79" s="77">
        <f>IFERROR((F77-E77)*10000,"n/a")</f>
        <v>72.15037844014394</v>
      </c>
      <c r="G79" s="77" t="s">
        <v>44</v>
      </c>
      <c r="H79" s="77">
        <f>IFERROR((H77-F77)*10000,"n/a")</f>
        <v>247.11647334187737</v>
      </c>
      <c r="I79" s="77">
        <f>IFERROR((I77-H77)*10000,"n/a")</f>
        <v>-244.04334994027553</v>
      </c>
      <c r="J79" s="78">
        <f>IFERROR((J77-I77)*10000,"n/a")</f>
        <v>-73.3955448524981</v>
      </c>
      <c r="K79" s="4"/>
      <c r="L79" s="3"/>
      <c r="M79" s="3"/>
    </row>
    <row r="80">
      <c r="A80" s="3"/>
      <c r="B80" s="15" t="s">
        <v>180</v>
      </c>
      <c r="C80" s="21">
        <f>C68-C74</f>
        <v>233</v>
      </c>
      <c r="D80" s="21">
        <f>D68-D74</f>
        <v>657</v>
      </c>
      <c r="E80" s="21">
        <f>E68-E74</f>
        <v>808</v>
      </c>
      <c r="F80" s="21">
        <f>F68-F74</f>
        <v>873</v>
      </c>
      <c r="G80" s="21">
        <f>SUM(C80:F80)</f>
        <v>2571</v>
      </c>
      <c r="H80" s="21">
        <f>H68-H74</f>
        <v>301</v>
      </c>
      <c r="I80" s="21">
        <f>I68-I74</f>
        <v>767</v>
      </c>
      <c r="J80" s="43">
        <f>J68-J74</f>
        <v>853.0118099999997</v>
      </c>
      <c r="K80" s="4" t="s">
        <v>181</v>
      </c>
      <c r="L80" s="3"/>
      <c r="M80" s="3"/>
    </row>
    <row r="81">
      <c r="A81" s="3"/>
      <c r="B81" s="56" t="s">
        <v>77</v>
      </c>
      <c r="C81" s="7">
        <f>IFERROR(IF(OR(C80&lt;0,C86&lt;0),"n.m.",C80/C86-1),"n/a")</f>
        <v>0.004310344827586299</v>
      </c>
      <c r="D81" s="7">
        <f>IFERROR(IF(OR(D80&lt;0,D86&lt;0),"n.m.",D80/D86-1),"n/a")</f>
        <v>0.08774834437086088</v>
      </c>
      <c r="E81" s="7">
        <f>IFERROR(IF(OR(E80&lt;0,E86&lt;0),"n.m.",E80/E86-1),"n/a")</f>
        <v>0.06596306068601576</v>
      </c>
      <c r="F81" s="7">
        <f>IFERROR(IF(OR(F80&lt;0,F86&lt;0),"n.m.",F80/F86-1),"n/a")</f>
        <v>0.3683385579937304</v>
      </c>
      <c r="G81" s="7">
        <f>IFERROR(IF(OR(G80&lt;0,G86&lt;0),"n.m.",G80/G86-1),"n/a")</f>
        <v>0.1518817204301075</v>
      </c>
      <c r="H81" s="7">
        <f>IFERROR(IF(OR(H80&lt;0,C80&lt;0),"n.m.",H80/C80-1),"n/a")</f>
        <v>0.29184549356223166</v>
      </c>
      <c r="I81" s="7">
        <f>IFERROR(IF(OR(I80&lt;0,D80&lt;0),"n.m.",I80/D80-1),"n/a")</f>
        <v>0.16742770167427712</v>
      </c>
      <c r="J81" s="25">
        <f>IFERROR(IF(OR(J80&lt;0,E80&lt;0),"n.m.",J80/E80-1),"n/a")</f>
        <v>0.0557076856435641</v>
      </c>
      <c r="K81" s="4"/>
      <c r="L81" s="3"/>
      <c r="M81" s="3"/>
    </row>
    <row r="82">
      <c r="A82" s="3"/>
      <c r="B82" s="29" t="s">
        <v>94</v>
      </c>
      <c r="C82" s="1" t="s">
        <v>44</v>
      </c>
      <c r="D82" s="1">
        <f>IFERROR(D80-C80,"n/a")</f>
        <v>424</v>
      </c>
      <c r="E82" s="1">
        <f>IFERROR(E80-D80,"n/a")</f>
        <v>151</v>
      </c>
      <c r="F82" s="1">
        <f>IFERROR(F80-E80,"n/a")</f>
        <v>65</v>
      </c>
      <c r="G82" s="1" t="s">
        <v>44</v>
      </c>
      <c r="H82" s="1">
        <f>IFERROR(H80-F80,"n/a")</f>
        <v>-572</v>
      </c>
      <c r="I82" s="1">
        <f>IFERROR(I80-H80,"n/a")</f>
        <v>466</v>
      </c>
      <c r="J82" s="16">
        <f>IFERROR(J80-I80,"n/a")</f>
        <v>86.01180999999974</v>
      </c>
      <c r="K82" s="4"/>
      <c r="L82" s="3"/>
      <c r="M82" s="3"/>
    </row>
    <row r="83">
      <c r="A83" s="3"/>
      <c r="B83" s="12" t="s">
        <v>182</v>
      </c>
      <c r="C83" s="7">
        <f>IFERROR(C80/C64,"n/a")</f>
        <v>0.09757118927973199</v>
      </c>
      <c r="D83" s="7">
        <f>IFERROR(D80/D64,"n/a")</f>
        <v>0.14484126984126985</v>
      </c>
      <c r="E83" s="7">
        <f>IFERROR(E80/E64,"n/a")</f>
        <v>0.1608920748705695</v>
      </c>
      <c r="F83" s="7">
        <f>IFERROR(F80/F64,"n/a")</f>
        <v>0.1436091462411581</v>
      </c>
      <c r="G83" s="7">
        <f>IFERROR(G80/G64,"n/a")</f>
        <v>0.14263522884882107</v>
      </c>
      <c r="H83" s="7">
        <f>IFERROR(H80/H64,"n/a")</f>
        <v>0.10662415869642225</v>
      </c>
      <c r="I83" s="7">
        <f>IFERROR(I80/I64,"n/a")</f>
        <v>0.15392333935380292</v>
      </c>
      <c r="J83" s="25">
        <f>IFERROR(J80/J64,"n/a")</f>
        <v>0.16099999999999992</v>
      </c>
      <c r="K83" s="4"/>
      <c r="L83" s="3"/>
      <c r="M83" s="3"/>
    </row>
    <row r="84">
      <c r="A84" s="3"/>
      <c r="B84" s="56" t="s">
        <v>109</v>
      </c>
      <c r="C84" s="77">
        <f>IFERROR((C83-C87)*10000,"n/a")</f>
        <v>22.156611251902685</v>
      </c>
      <c r="D84" s="77">
        <f>IFERROR((D83-D87)*10000,"n/a")</f>
        <v>4.472942256829593</v>
      </c>
      <c r="E84" s="77">
        <f>IFERROR((E83-E87)*10000,"n/a")</f>
        <v>-34.61784626394932</v>
      </c>
      <c r="F84" s="77">
        <f>IFERROR((F83-F87)*10000,"n/a")</f>
        <v>261.1375029272346</v>
      </c>
      <c r="G84" s="77">
        <f>IFERROR((G83-G87)*10000,"n/a")</f>
        <v>86.45554218013052</v>
      </c>
      <c r="H84" s="77">
        <f>IFERROR((H83-C83)*10000,"n/a")</f>
        <v>90.5296941669026</v>
      </c>
      <c r="I84" s="77">
        <f>IFERROR((I83-D83)*10000,"n/a")</f>
        <v>90.8206951253307</v>
      </c>
      <c r="J84" s="78">
        <f>IFERROR((J83-E83)*10000,"n/a")</f>
        <v>1.0792512943041954</v>
      </c>
      <c r="K84" s="4"/>
      <c r="L84" s="3"/>
      <c r="M84" s="3"/>
    </row>
    <row r="85">
      <c r="A85" s="3"/>
      <c r="B85" s="56" t="s">
        <v>110</v>
      </c>
      <c r="C85" s="77" t="s">
        <v>44</v>
      </c>
      <c r="D85" s="77">
        <f>IFERROR((D83-C83)*10000,"n/a")</f>
        <v>472.7008056153786</v>
      </c>
      <c r="E85" s="77">
        <f>IFERROR((E83-D83)*10000,"n/a")</f>
        <v>160.50805029299647</v>
      </c>
      <c r="F85" s="77">
        <f>IFERROR((F83-E83)*10000,"n/a")</f>
        <v>-172.82928629411415</v>
      </c>
      <c r="G85" s="77" t="s">
        <v>44</v>
      </c>
      <c r="H85" s="77">
        <f>IFERROR((H83-F83)*10000,"n/a")</f>
        <v>-369.8498754473584</v>
      </c>
      <c r="I85" s="77">
        <f>IFERROR((I83-H83)*10000,"n/a")</f>
        <v>472.99180657380674</v>
      </c>
      <c r="J85" s="78">
        <f>IFERROR((J83-I83)*10000,"n/a")</f>
        <v>70.76660646196997</v>
      </c>
      <c r="K85" s="4"/>
      <c r="L85" s="3"/>
      <c r="M85" s="3"/>
    </row>
    <row r="86">
      <c r="A86" s="3"/>
      <c r="B86" s="3" t="s">
        <v>183</v>
      </c>
      <c r="C86" s="19">
        <v>232</v>
      </c>
      <c r="D86" s="19">
        <v>604</v>
      </c>
      <c r="E86" s="19">
        <v>758</v>
      </c>
      <c r="F86" s="19">
        <v>638</v>
      </c>
      <c r="G86" s="1">
        <f>SUM(C86:F86)</f>
        <v>2232</v>
      </c>
      <c r="H86" s="1">
        <f>C80</f>
        <v>233</v>
      </c>
      <c r="I86" s="1">
        <f>D80</f>
        <v>657</v>
      </c>
      <c r="J86" s="16">
        <f>E80</f>
        <v>808</v>
      </c>
      <c r="K86" s="4" t="s">
        <v>184</v>
      </c>
      <c r="L86" s="3"/>
      <c r="M86" s="3"/>
    </row>
    <row r="87">
      <c r="A87" s="3"/>
      <c r="B87" s="56" t="s">
        <v>185</v>
      </c>
      <c r="C87" s="115">
        <f>IFERROR(C86/C10,"n/a")</f>
        <v>0.09535552815454172</v>
      </c>
      <c r="D87" s="115">
        <f>IFERROR(D86/D10,"n/a")</f>
        <v>0.1443939756155869</v>
      </c>
      <c r="E87" s="115">
        <f>IFERROR(E86/E10,"n/a")</f>
        <v>0.16435385949696443</v>
      </c>
      <c r="F87" s="115">
        <f>IFERROR(F86/F10,"n/a")</f>
        <v>0.11749539594843462</v>
      </c>
      <c r="G87" s="115">
        <f>IFERROR(G86/G10,"n/a")</f>
        <v>0.13398967463080802</v>
      </c>
      <c r="H87" s="7">
        <f>IFERROR(H86/H10,"n/a")</f>
        <v>0.09757118927973199</v>
      </c>
      <c r="I87" s="7">
        <f>IFERROR(I86/I10,"n/a")</f>
        <v>0.14484126984126985</v>
      </c>
      <c r="J87" s="25">
        <f>IFERROR(J86/J10,"n/a")</f>
        <v>0.1608920748705695</v>
      </c>
      <c r="K87" s="4"/>
      <c r="L87" s="3"/>
      <c r="M87" s="3"/>
    </row>
    <row r="88">
      <c r="A88" s="3"/>
      <c r="B88" s="3" t="s">
        <v>186</v>
      </c>
      <c r="C88" s="19">
        <v>-28</v>
      </c>
      <c r="D88" s="19">
        <v>14</v>
      </c>
      <c r="E88" s="19">
        <v>30</v>
      </c>
      <c r="F88" s="19">
        <v>88</v>
      </c>
      <c r="G88" s="1">
        <f>SUM(C88:F88)</f>
        <v>104</v>
      </c>
      <c r="H88" s="19">
        <v>29</v>
      </c>
      <c r="I88" s="19">
        <v>18</v>
      </c>
      <c r="J88" s="16">
        <f>J86*J26</f>
        <v>-4.04</v>
      </c>
      <c r="K88" s="4" t="s">
        <v>187</v>
      </c>
      <c r="L88" s="3"/>
      <c r="M88" s="3"/>
    </row>
    <row r="89">
      <c r="A89" s="3"/>
      <c r="B89" s="15" t="s">
        <v>188</v>
      </c>
      <c r="C89" s="21">
        <f>C80-C88</f>
        <v>261</v>
      </c>
      <c r="D89" s="21">
        <f>D80-D88</f>
        <v>643</v>
      </c>
      <c r="E89" s="21">
        <f>E80-E88</f>
        <v>778</v>
      </c>
      <c r="F89" s="21">
        <f>F80-F88</f>
        <v>785</v>
      </c>
      <c r="G89" s="21">
        <f>G80-G88</f>
        <v>2467</v>
      </c>
      <c r="H89" s="21">
        <f>H80-H88</f>
        <v>272</v>
      </c>
      <c r="I89" s="21">
        <f>I80-I88</f>
        <v>749</v>
      </c>
      <c r="J89" s="43">
        <f>J80-J88</f>
        <v>857.0518099999997</v>
      </c>
      <c r="K89" s="4"/>
      <c r="L89" s="3"/>
      <c r="M89" s="3"/>
    </row>
    <row r="90">
      <c r="A90" s="3"/>
      <c r="B90" s="56" t="s">
        <v>189</v>
      </c>
      <c r="C90" s="7">
        <f>IFERROR(IF(OR(C89&lt;0,C86&lt;0),"n.m.",C89/C86-1),"n/a")</f>
        <v>0.125</v>
      </c>
      <c r="D90" s="7">
        <f>IFERROR(IF(OR(D89&lt;0,D86&lt;0),"n.m.",D89/D86-1),"n/a")</f>
        <v>0.064569536423841</v>
      </c>
      <c r="E90" s="7">
        <f>IFERROR(IF(OR(E89&lt;0,E86&lt;0),"n.m.",E89/E86-1),"n/a")</f>
        <v>0.02638522427440626</v>
      </c>
      <c r="F90" s="7">
        <f>IFERROR(IF(OR(F89&lt;0,F86&lt;0),"n.m.",F89/F86-1),"n/a")</f>
        <v>0.2304075235109717</v>
      </c>
      <c r="G90" s="7">
        <f>IFERROR(IF(OR(G89&lt;0,G86&lt;0),"n.m.",G89/G86-1),"n/a")</f>
        <v>0.10528673835125457</v>
      </c>
      <c r="H90" s="7">
        <f>IFERROR(IF(OR(H89&lt;0,H86&lt;0),"n.m.",H89/H86-1),"n/a")</f>
        <v>0.1673819742489271</v>
      </c>
      <c r="I90" s="7">
        <f>IFERROR(IF(OR(I89&lt;0,I86&lt;0),"n.m.",I89/I86-1),"n/a")</f>
        <v>0.1400304414003044</v>
      </c>
      <c r="J90" s="25">
        <f>IFERROR(IF(OR(J89&lt;0,J86&lt;0),"n.m.",J89/J86-1),"n/a")</f>
        <v>0.06070768564356399</v>
      </c>
      <c r="K90" s="4"/>
      <c r="L90" s="3"/>
      <c r="M90" s="3"/>
    </row>
    <row r="91">
      <c r="A91" s="3"/>
      <c r="B91" s="3"/>
      <c r="C91" s="1"/>
      <c r="D91" s="1"/>
      <c r="E91" s="1"/>
      <c r="F91" s="1"/>
      <c r="G91" s="1"/>
      <c r="H91" s="1"/>
      <c r="I91" s="1"/>
      <c r="J91" s="16"/>
      <c r="K91" s="4"/>
      <c r="L91" s="3"/>
      <c r="M91" s="3"/>
    </row>
    <row r="92">
      <c r="A92" s="3"/>
      <c r="B92" s="15" t="s">
        <v>190</v>
      </c>
      <c r="C92" s="5"/>
      <c r="D92" s="5"/>
      <c r="E92" s="5"/>
      <c r="F92" s="5"/>
      <c r="G92" s="5"/>
      <c r="H92" s="5"/>
      <c r="I92" s="5"/>
      <c r="J92" s="22"/>
      <c r="K92" s="4"/>
      <c r="L92" s="3"/>
      <c r="M92" s="3"/>
    </row>
    <row r="93">
      <c r="A93" s="3"/>
      <c r="B93" s="29" t="s">
        <v>191</v>
      </c>
      <c r="C93" s="19">
        <v>13</v>
      </c>
      <c r="D93" s="19">
        <v>36</v>
      </c>
      <c r="E93" s="19">
        <v>69</v>
      </c>
      <c r="F93" s="19">
        <v>77</v>
      </c>
      <c r="G93" s="1">
        <f>SUM(C93:F93)</f>
        <v>195</v>
      </c>
      <c r="H93" s="19">
        <v>23</v>
      </c>
      <c r="I93" s="19">
        <v>16</v>
      </c>
      <c r="J93" s="16">
        <f>AVERAGE(H93:I93)</f>
        <v>19.5</v>
      </c>
      <c r="K93" s="4" t="s">
        <v>192</v>
      </c>
      <c r="L93" s="3"/>
      <c r="M93" s="3"/>
    </row>
    <row r="94">
      <c r="A94" s="3"/>
      <c r="B94" s="49" t="s">
        <v>77</v>
      </c>
      <c r="C94" s="7" t="s">
        <v>44</v>
      </c>
      <c r="D94" s="7" t="s">
        <v>44</v>
      </c>
      <c r="E94" s="7" t="s">
        <v>44</v>
      </c>
      <c r="F94" s="7" t="s">
        <v>44</v>
      </c>
      <c r="G94" s="7" t="s">
        <v>44</v>
      </c>
      <c r="H94" s="7">
        <f>IFERROR(IF(OR(H93&lt;0,C93&lt;0),"n.m.",H93/C93-1),"n/a")</f>
        <v>0.7692307692307692</v>
      </c>
      <c r="I94" s="7">
        <f>IFERROR(IF(OR(I93&lt;0,D93&lt;0),"n.m.",I93/D93-1),"n/a")</f>
        <v>-0.5555555555555556</v>
      </c>
      <c r="J94" s="25">
        <f>IFERROR(IF(OR(J93&lt;0,E93&lt;0),"n.m.",J93/E93-1),"n/a")</f>
        <v>-0.7173913043478262</v>
      </c>
      <c r="K94" s="4"/>
      <c r="L94" s="3"/>
      <c r="M94" s="3"/>
    </row>
    <row r="95">
      <c r="A95" s="3"/>
      <c r="B95" s="63" t="s">
        <v>94</v>
      </c>
      <c r="C95" s="1" t="s">
        <v>44</v>
      </c>
      <c r="D95" s="1">
        <f>IFERROR(D93-C93,"n/a")</f>
        <v>23</v>
      </c>
      <c r="E95" s="1">
        <f>IFERROR(E93-D93,"n/a")</f>
        <v>33</v>
      </c>
      <c r="F95" s="1">
        <f>IFERROR(F93-E93,"n/a")</f>
        <v>8</v>
      </c>
      <c r="G95" s="1" t="s">
        <v>44</v>
      </c>
      <c r="H95" s="1">
        <f>IFERROR(H93-F93,"n/a")</f>
        <v>-54</v>
      </c>
      <c r="I95" s="1">
        <f>IFERROR(I93-H93,"n/a")</f>
        <v>-7</v>
      </c>
      <c r="J95" s="16">
        <f>IFERROR(J93-I93,"n/a")</f>
        <v>3.5</v>
      </c>
      <c r="K95" s="4"/>
      <c r="L95" s="3"/>
      <c r="M95" s="3"/>
    </row>
    <row r="96">
      <c r="A96" s="3"/>
      <c r="B96" s="29" t="s">
        <v>193</v>
      </c>
      <c r="C96" s="19">
        <v>0</v>
      </c>
      <c r="D96" s="19">
        <v>0</v>
      </c>
      <c r="E96" s="19">
        <v>0</v>
      </c>
      <c r="F96" s="19">
        <v>0</v>
      </c>
      <c r="G96" s="1">
        <f>SUM(C96:F96)</f>
        <v>0</v>
      </c>
      <c r="H96" s="19">
        <v>0</v>
      </c>
      <c r="I96" s="19">
        <v>0</v>
      </c>
      <c r="J96" s="51">
        <v>0</v>
      </c>
      <c r="K96" s="4" t="s">
        <v>194</v>
      </c>
      <c r="L96" s="3"/>
      <c r="M96" s="3"/>
    </row>
    <row r="97">
      <c r="A97" s="3"/>
      <c r="B97" s="29" t="s">
        <v>195</v>
      </c>
      <c r="C97" s="19">
        <v>0</v>
      </c>
      <c r="D97" s="19">
        <v>251</v>
      </c>
      <c r="E97" s="19">
        <v>19</v>
      </c>
      <c r="F97" s="19">
        <v>0</v>
      </c>
      <c r="G97" s="1">
        <f>SUM(C97:F97)</f>
        <v>270</v>
      </c>
      <c r="H97" s="19">
        <v>0</v>
      </c>
      <c r="I97" s="19">
        <v>0</v>
      </c>
      <c r="J97" s="51">
        <v>0</v>
      </c>
      <c r="K97" s="4" t="s">
        <v>194</v>
      </c>
      <c r="L97" s="3"/>
      <c r="M97" s="3"/>
    </row>
    <row r="98">
      <c r="A98" s="3"/>
      <c r="B98" s="29" t="s">
        <v>196</v>
      </c>
      <c r="C98" s="19">
        <v>0</v>
      </c>
      <c r="D98" s="19">
        <v>0</v>
      </c>
      <c r="E98" s="19">
        <v>0</v>
      </c>
      <c r="F98" s="19">
        <v>0</v>
      </c>
      <c r="G98" s="1">
        <f>SUM(C98:F98)</f>
        <v>0</v>
      </c>
      <c r="H98" s="19">
        <v>0</v>
      </c>
      <c r="I98" s="19">
        <v>0</v>
      </c>
      <c r="J98" s="51">
        <v>0</v>
      </c>
      <c r="K98" s="4" t="s">
        <v>194</v>
      </c>
      <c r="L98" s="3"/>
      <c r="M98" s="3"/>
    </row>
    <row r="99">
      <c r="A99" s="3"/>
      <c r="B99" s="29" t="s">
        <v>197</v>
      </c>
      <c r="C99" s="19">
        <v>0</v>
      </c>
      <c r="D99" s="19">
        <v>0</v>
      </c>
      <c r="E99" s="19">
        <v>0</v>
      </c>
      <c r="F99" s="19">
        <v>0</v>
      </c>
      <c r="G99" s="1">
        <f>SUM(C99:F99)</f>
        <v>0</v>
      </c>
      <c r="H99" s="19">
        <v>0</v>
      </c>
      <c r="I99" s="19">
        <v>0</v>
      </c>
      <c r="J99" s="51">
        <v>0</v>
      </c>
      <c r="K99" s="4" t="s">
        <v>194</v>
      </c>
      <c r="L99" s="3"/>
      <c r="M99" s="3"/>
    </row>
    <row r="100">
      <c r="A100" s="3"/>
      <c r="B100" s="15" t="s">
        <v>198</v>
      </c>
      <c r="C100" s="21">
        <f>C93+C96+C97+C98+C99</f>
        <v>13</v>
      </c>
      <c r="D100" s="21">
        <f>D93+D96+D97+D98+D99</f>
        <v>287</v>
      </c>
      <c r="E100" s="21">
        <f>E93+E96+E97+E98+E99</f>
        <v>88</v>
      </c>
      <c r="F100" s="21">
        <f>F93+F96+F97+F98+F99</f>
        <v>77</v>
      </c>
      <c r="G100" s="21">
        <f>G93+G96+G97+G98+G99</f>
        <v>465</v>
      </c>
      <c r="H100" s="21">
        <f>H93+H96+H97+H98+H99</f>
        <v>23</v>
      </c>
      <c r="I100" s="21">
        <f>I93+I96+I97+I98+I99</f>
        <v>16</v>
      </c>
      <c r="J100" s="43">
        <f>J93+J96+J97+J98+J99</f>
        <v>19.5</v>
      </c>
      <c r="K100" s="4"/>
      <c r="L100" s="3"/>
      <c r="M100" s="3"/>
    </row>
    <row r="101">
      <c r="A101" s="3"/>
      <c r="B101" s="15" t="s">
        <v>199</v>
      </c>
      <c r="C101" s="21">
        <f>C80-C100</f>
        <v>220</v>
      </c>
      <c r="D101" s="21">
        <f>D80-D100</f>
        <v>370</v>
      </c>
      <c r="E101" s="21">
        <f>E80-E100</f>
        <v>720</v>
      </c>
      <c r="F101" s="21">
        <f>F80-F100</f>
        <v>796</v>
      </c>
      <c r="G101" s="21">
        <f>G80-G100</f>
        <v>2106</v>
      </c>
      <c r="H101" s="21">
        <f>H80-H100</f>
        <v>278</v>
      </c>
      <c r="I101" s="21">
        <f>I80-I100</f>
        <v>751</v>
      </c>
      <c r="J101" s="43">
        <f>J80-J100</f>
        <v>833.5118099999997</v>
      </c>
      <c r="K101" s="4"/>
      <c r="L101" s="3"/>
      <c r="M101" s="3"/>
    </row>
    <row r="102">
      <c r="A102" s="3"/>
      <c r="B102" s="56" t="s">
        <v>77</v>
      </c>
      <c r="C102" s="7" t="s">
        <v>44</v>
      </c>
      <c r="D102" s="7" t="s">
        <v>44</v>
      </c>
      <c r="E102" s="7" t="s">
        <v>44</v>
      </c>
      <c r="F102" s="7" t="s">
        <v>44</v>
      </c>
      <c r="G102" s="7" t="s">
        <v>44</v>
      </c>
      <c r="H102" s="7">
        <f>IFERROR(IF(OR(H101&lt;0,C101&lt;0),"n.m.",H101/C101-1),"n/a")</f>
        <v>0.26363636363636367</v>
      </c>
      <c r="I102" s="7">
        <f>IFERROR(IF(OR(I101&lt;0,D101&lt;0),"n.m.",I101/D101-1),"n/a")</f>
        <v>1.0297297297297296</v>
      </c>
      <c r="J102" s="25">
        <f>IFERROR(IF(OR(J101&lt;0,E101&lt;0),"n.m.",J101/E101-1),"n/a")</f>
        <v>0.15765529166666625</v>
      </c>
      <c r="K102" s="4"/>
      <c r="L102" s="3"/>
      <c r="M102" s="3"/>
    </row>
    <row r="103">
      <c r="A103" s="3"/>
      <c r="B103" s="29" t="s">
        <v>94</v>
      </c>
      <c r="C103" s="1" t="s">
        <v>44</v>
      </c>
      <c r="D103" s="1">
        <f>IFERROR(D101-C101,"n/a")</f>
        <v>150</v>
      </c>
      <c r="E103" s="1">
        <f>IFERROR(E101-D101,"n/a")</f>
        <v>350</v>
      </c>
      <c r="F103" s="1">
        <f>IFERROR(F101-E101,"n/a")</f>
        <v>76</v>
      </c>
      <c r="G103" s="1" t="s">
        <v>44</v>
      </c>
      <c r="H103" s="1">
        <f>IFERROR(H101-F101,"n/a")</f>
        <v>-518</v>
      </c>
      <c r="I103" s="1">
        <f>IFERROR(I101-H101,"n/a")</f>
        <v>473</v>
      </c>
      <c r="J103" s="16">
        <f>IFERROR(J101-I101,"n/a")</f>
        <v>82.51180999999974</v>
      </c>
      <c r="K103" s="4"/>
      <c r="L103" s="3"/>
      <c r="M103" s="3"/>
    </row>
    <row r="104">
      <c r="A104" s="3"/>
      <c r="B104" s="12" t="s">
        <v>200</v>
      </c>
      <c r="C104" s="7">
        <f>IFERROR(C101/C64,"n/a")</f>
        <v>0.09212730318257957</v>
      </c>
      <c r="D104" s="7">
        <f>IFERROR(D101/D64,"n/a")</f>
        <v>0.08156966490299823</v>
      </c>
      <c r="E104" s="7">
        <f>IFERROR(E101/E64,"n/a")</f>
        <v>0.14336917562724014</v>
      </c>
      <c r="F104" s="7">
        <f>IFERROR(F101/F64,"n/a")</f>
        <v>0.13094258924165159</v>
      </c>
      <c r="G104" s="7">
        <f>IFERROR(G101/G64,"n/a")</f>
        <v>0.1168377253814147</v>
      </c>
      <c r="H104" s="7">
        <f>IFERROR(H101/H64,"n/a")</f>
        <v>0.09847679773290825</v>
      </c>
      <c r="I104" s="7">
        <f>IFERROR(I101/I64,"n/a")</f>
        <v>0.15071242223560105</v>
      </c>
      <c r="J104" s="25">
        <f>IFERROR(J101/J64,"n/a")</f>
        <v>0.15731951168413474</v>
      </c>
      <c r="K104" s="4"/>
      <c r="L104" s="3"/>
      <c r="M104" s="3"/>
    </row>
    <row r="105">
      <c r="A105" s="3"/>
      <c r="B105" s="56" t="s">
        <v>109</v>
      </c>
      <c r="C105" s="77" t="s">
        <v>44</v>
      </c>
      <c r="D105" s="77" t="s">
        <v>44</v>
      </c>
      <c r="E105" s="77" t="s">
        <v>44</v>
      </c>
      <c r="F105" s="77" t="s">
        <v>44</v>
      </c>
      <c r="G105" s="77" t="s">
        <v>44</v>
      </c>
      <c r="H105" s="77">
        <f>IFERROR((H104-C104)*10000,"n/a")</f>
        <v>63.49494550328683</v>
      </c>
      <c r="I105" s="77">
        <f>IFERROR((I104-D104)*10000,"n/a")</f>
        <v>691.4275733260282</v>
      </c>
      <c r="J105" s="78">
        <f>IFERROR((J104-E104)*10000,"n/a")</f>
        <v>139.50336056894608</v>
      </c>
      <c r="K105" s="4"/>
      <c r="L105" s="3"/>
      <c r="M105" s="3"/>
    </row>
    <row r="106">
      <c r="A106" s="3"/>
      <c r="B106" s="56" t="s">
        <v>110</v>
      </c>
      <c r="C106" s="77" t="s">
        <v>44</v>
      </c>
      <c r="D106" s="77">
        <f>IFERROR((D104-C104)*10000,"n/a")</f>
        <v>-105.57638279581339</v>
      </c>
      <c r="E106" s="77">
        <f>IFERROR((E104-D104)*10000,"n/a")</f>
        <v>617.9951072424191</v>
      </c>
      <c r="F106" s="77">
        <f>IFERROR((F104-E104)*10000,"n/a")</f>
        <v>-124.2658638558855</v>
      </c>
      <c r="G106" s="77" t="s">
        <v>44</v>
      </c>
      <c r="H106" s="77">
        <f>IFERROR((H104-F104)*10000,"n/a")</f>
        <v>-324.6579150874333</v>
      </c>
      <c r="I106" s="77">
        <f>IFERROR((I104-H104)*10000,"n/a")</f>
        <v>522.356245026928</v>
      </c>
      <c r="J106" s="78">
        <f>IFERROR((J104-I104)*10000,"n/a")</f>
        <v>66.07089448533692</v>
      </c>
      <c r="K106" s="4"/>
      <c r="L106" s="3"/>
      <c r="M106" s="3"/>
    </row>
    <row r="107">
      <c r="A107" s="3"/>
      <c r="B107" s="3" t="s">
        <v>201</v>
      </c>
      <c r="C107" s="19">
        <v>220</v>
      </c>
      <c r="D107" s="19">
        <v>370</v>
      </c>
      <c r="E107" s="19">
        <v>720</v>
      </c>
      <c r="F107" s="19">
        <v>796</v>
      </c>
      <c r="G107" s="19">
        <v>2106</v>
      </c>
      <c r="H107" s="19">
        <v>278</v>
      </c>
      <c r="I107" s="19">
        <v>751</v>
      </c>
      <c r="J107" s="16" t="s">
        <v>44</v>
      </c>
      <c r="K107" s="4" t="s">
        <v>202</v>
      </c>
      <c r="L107" s="3"/>
      <c r="M107" s="3"/>
    </row>
    <row r="108">
      <c r="A108" s="3"/>
      <c r="B108" s="12" t="s">
        <v>203</v>
      </c>
      <c r="C108" s="52">
        <f>C101-C107</f>
        <v>0</v>
      </c>
      <c r="D108" s="52">
        <f>D101-D107</f>
        <v>0</v>
      </c>
      <c r="E108" s="52">
        <f>E101-E107</f>
        <v>0</v>
      </c>
      <c r="F108" s="52">
        <f>F101-F107</f>
        <v>0</v>
      </c>
      <c r="G108" s="52">
        <f>G101-G107</f>
        <v>0</v>
      </c>
      <c r="H108" s="52">
        <f>H101-H107</f>
        <v>0</v>
      </c>
      <c r="I108" s="52">
        <f>I101-I107</f>
        <v>0</v>
      </c>
      <c r="J108" s="62" t="s">
        <v>44</v>
      </c>
      <c r="K108" s="4"/>
      <c r="L108" s="3"/>
      <c r="M108" s="3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M9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215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141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3" t="s">
        <v>142</v>
      </c>
      <c r="C10" s="19">
        <v>1890</v>
      </c>
      <c r="D10" s="19">
        <v>2749</v>
      </c>
      <c r="E10" s="19">
        <v>2615</v>
      </c>
      <c r="F10" s="19">
        <v>3314</v>
      </c>
      <c r="G10" s="1">
        <f>SUM(C10:F10)</f>
        <v>10568</v>
      </c>
      <c r="H10" s="1">
        <f>C33</f>
        <v>1661</v>
      </c>
      <c r="I10" s="1">
        <f>D33</f>
        <v>2548</v>
      </c>
      <c r="J10" s="16">
        <f>E33</f>
        <v>2656</v>
      </c>
      <c r="K10" s="4" t="s">
        <v>143</v>
      </c>
      <c r="L10" s="3"/>
      <c r="M10" s="3"/>
    </row>
    <row r="11">
      <c r="A11" s="3"/>
      <c r="B11" s="29" t="s">
        <v>144</v>
      </c>
      <c r="C11" s="19">
        <v>0</v>
      </c>
      <c r="D11" s="19">
        <v>0</v>
      </c>
      <c r="E11" s="19">
        <v>0</v>
      </c>
      <c r="F11" s="19">
        <v>0</v>
      </c>
      <c r="G11" s="1">
        <f>SUM(C11:F11)</f>
        <v>0</v>
      </c>
      <c r="H11" s="19">
        <v>0</v>
      </c>
      <c r="I11" s="19">
        <v>0</v>
      </c>
      <c r="J11" s="16">
        <f>AVERAGE(H11:I11)</f>
        <v>0</v>
      </c>
      <c r="K11" s="4" t="s">
        <v>145</v>
      </c>
      <c r="L11" s="3"/>
      <c r="M11" s="3"/>
    </row>
    <row r="12">
      <c r="A12" s="3"/>
      <c r="B12" s="15" t="s">
        <v>146</v>
      </c>
      <c r="C12" s="21">
        <f>C10+C11</f>
        <v>1890</v>
      </c>
      <c r="D12" s="21">
        <f>D10+D11</f>
        <v>2749</v>
      </c>
      <c r="E12" s="21">
        <f>E10+E11</f>
        <v>2615</v>
      </c>
      <c r="F12" s="21">
        <f>F10+F11</f>
        <v>3314</v>
      </c>
      <c r="G12" s="21">
        <f>G10+G11</f>
        <v>10568</v>
      </c>
      <c r="H12" s="21">
        <f>H10+H11</f>
        <v>1661</v>
      </c>
      <c r="I12" s="21">
        <f>I10+I11</f>
        <v>2548</v>
      </c>
      <c r="J12" s="43">
        <f>J10+J11</f>
        <v>2656</v>
      </c>
      <c r="K12" s="4"/>
      <c r="L12" s="3"/>
      <c r="M12" s="3"/>
    </row>
    <row r="13">
      <c r="A13" s="3"/>
      <c r="B13" s="12" t="s">
        <v>147</v>
      </c>
      <c r="C13" s="9">
        <v>-0.005</v>
      </c>
      <c r="D13" s="9">
        <v>0.04</v>
      </c>
      <c r="E13" s="9">
        <v>0</v>
      </c>
      <c r="F13" s="9">
        <v>-0.01</v>
      </c>
      <c r="G13" s="9">
        <v>0</v>
      </c>
      <c r="H13" s="9">
        <v>-0.02</v>
      </c>
      <c r="I13" s="9">
        <v>0</v>
      </c>
      <c r="J13" s="79">
        <v>0.01</v>
      </c>
      <c r="K13" s="4" t="s">
        <v>148</v>
      </c>
      <c r="L13" s="3"/>
      <c r="M13" s="3"/>
    </row>
    <row r="14">
      <c r="A14" s="3"/>
      <c r="B14" s="56" t="s">
        <v>109</v>
      </c>
      <c r="C14" s="77" t="s">
        <v>44</v>
      </c>
      <c r="D14" s="77" t="s">
        <v>44</v>
      </c>
      <c r="E14" s="77" t="s">
        <v>44</v>
      </c>
      <c r="F14" s="77" t="s">
        <v>44</v>
      </c>
      <c r="G14" s="77" t="s">
        <v>44</v>
      </c>
      <c r="H14" s="77">
        <f>IFERROR((H13-C13)*10000,"n/a")</f>
        <v>-150</v>
      </c>
      <c r="I14" s="77">
        <f>IFERROR((I13-D13)*10000,"n/a")</f>
        <v>-400</v>
      </c>
      <c r="J14" s="78">
        <f>IFERROR((J13-E13)*10000,"n/a")</f>
        <v>100</v>
      </c>
      <c r="K14" s="4"/>
      <c r="L14" s="3"/>
      <c r="M14" s="3"/>
    </row>
    <row r="15">
      <c r="A15" s="3"/>
      <c r="B15" s="56" t="s">
        <v>110</v>
      </c>
      <c r="C15" s="77" t="s">
        <v>44</v>
      </c>
      <c r="D15" s="77">
        <f>IFERROR((D13-C13)*10000,"n/a")</f>
        <v>450</v>
      </c>
      <c r="E15" s="77">
        <f>IFERROR((E13-D13)*10000,"n/a")</f>
        <v>-400</v>
      </c>
      <c r="F15" s="77">
        <f>IFERROR((F13-E13)*10000,"n/a")</f>
        <v>-100</v>
      </c>
      <c r="G15" s="77" t="s">
        <v>44</v>
      </c>
      <c r="H15" s="77">
        <f>IFERROR((H13-F13)*10000,"n/a")</f>
        <v>-100</v>
      </c>
      <c r="I15" s="77">
        <f>IFERROR((I13-H13)*10000,"n/a")</f>
        <v>200</v>
      </c>
      <c r="J15" s="78">
        <f>IFERROR((J13-I13)*10000,"n/a")</f>
        <v>100</v>
      </c>
      <c r="K15" s="4"/>
      <c r="L15" s="3"/>
      <c r="M15" s="3"/>
    </row>
    <row r="16">
      <c r="A16" s="3"/>
      <c r="B16" s="12" t="s">
        <v>149</v>
      </c>
      <c r="C16" s="9">
        <v>0.03</v>
      </c>
      <c r="D16" s="9">
        <v>0.02</v>
      </c>
      <c r="E16" s="9">
        <v>0.04</v>
      </c>
      <c r="F16" s="9">
        <v>0.06</v>
      </c>
      <c r="G16" s="9">
        <v>0.04</v>
      </c>
      <c r="H16" s="9">
        <v>0.055</v>
      </c>
      <c r="I16" s="9">
        <v>0.04</v>
      </c>
      <c r="J16" s="79">
        <v>0.04</v>
      </c>
      <c r="K16" s="4" t="s">
        <v>150</v>
      </c>
      <c r="L16" s="3"/>
      <c r="M16" s="3"/>
    </row>
    <row r="17">
      <c r="A17" s="3"/>
      <c r="B17" s="56" t="s">
        <v>109</v>
      </c>
      <c r="C17" s="77" t="s">
        <v>44</v>
      </c>
      <c r="D17" s="77" t="s">
        <v>44</v>
      </c>
      <c r="E17" s="77" t="s">
        <v>44</v>
      </c>
      <c r="F17" s="77" t="s">
        <v>44</v>
      </c>
      <c r="G17" s="77" t="s">
        <v>44</v>
      </c>
      <c r="H17" s="77">
        <f>IFERROR((H16-C16)*10000,"n/a")</f>
        <v>250</v>
      </c>
      <c r="I17" s="77">
        <f>IFERROR((I16-D16)*10000,"n/a")</f>
        <v>200</v>
      </c>
      <c r="J17" s="78">
        <f>IFERROR((J16-E16)*10000,"n/a")</f>
        <v>0</v>
      </c>
      <c r="K17" s="4"/>
      <c r="L17" s="3"/>
      <c r="M17" s="3"/>
    </row>
    <row r="18">
      <c r="A18" s="3"/>
      <c r="B18" s="56" t="s">
        <v>110</v>
      </c>
      <c r="C18" s="77" t="s">
        <v>44</v>
      </c>
      <c r="D18" s="77">
        <f>IFERROR((D16-C16)*10000,"n/a")</f>
        <v>-99.99999999999999</v>
      </c>
      <c r="E18" s="77">
        <f>IFERROR((E16-D16)*10000,"n/a")</f>
        <v>200</v>
      </c>
      <c r="F18" s="77">
        <f>IFERROR((F16-E16)*10000,"n/a")</f>
        <v>199.99999999999997</v>
      </c>
      <c r="G18" s="77" t="s">
        <v>44</v>
      </c>
      <c r="H18" s="77">
        <f>IFERROR((H16-F16)*10000,"n/a")</f>
        <v>-49.99999999999997</v>
      </c>
      <c r="I18" s="77">
        <f>IFERROR((I16-H16)*10000,"n/a")</f>
        <v>-150</v>
      </c>
      <c r="J18" s="78">
        <f>IFERROR((J16-I16)*10000,"n/a")</f>
        <v>0</v>
      </c>
      <c r="K18" s="4"/>
      <c r="L18" s="3"/>
      <c r="M18" s="3"/>
    </row>
    <row r="19">
      <c r="A19" s="3"/>
      <c r="B19" s="12" t="s">
        <v>151</v>
      </c>
      <c r="C19" s="9">
        <v>0.03</v>
      </c>
      <c r="D19" s="9">
        <v>0.06</v>
      </c>
      <c r="E19" s="9">
        <v>0.04</v>
      </c>
      <c r="F19" s="9">
        <v>0.05</v>
      </c>
      <c r="G19" s="9">
        <v>0.045</v>
      </c>
      <c r="H19" s="9">
        <v>0.03</v>
      </c>
      <c r="I19" s="9">
        <v>0.04</v>
      </c>
      <c r="J19" s="25">
        <f>J13+J16</f>
        <v>0.05</v>
      </c>
      <c r="K19" s="4" t="s">
        <v>152</v>
      </c>
      <c r="L19" s="3"/>
      <c r="M19" s="3"/>
    </row>
    <row r="20">
      <c r="A20" s="3"/>
      <c r="B20" s="56" t="s">
        <v>109</v>
      </c>
      <c r="C20" s="77" t="s">
        <v>44</v>
      </c>
      <c r="D20" s="77" t="s">
        <v>44</v>
      </c>
      <c r="E20" s="77" t="s">
        <v>44</v>
      </c>
      <c r="F20" s="77" t="s">
        <v>44</v>
      </c>
      <c r="G20" s="77" t="s">
        <v>44</v>
      </c>
      <c r="H20" s="77">
        <f>IFERROR((H19-C19)*10000,"n/a")</f>
        <v>0</v>
      </c>
      <c r="I20" s="77">
        <f>IFERROR((I19-D19)*10000,"n/a")</f>
        <v>-199.99999999999997</v>
      </c>
      <c r="J20" s="78">
        <f>IFERROR((J19-E19)*10000,"n/a")</f>
        <v>100.00000000000001</v>
      </c>
      <c r="K20" s="4"/>
      <c r="L20" s="3"/>
      <c r="M20" s="3"/>
    </row>
    <row r="21">
      <c r="A21" s="3"/>
      <c r="B21" s="56" t="s">
        <v>110</v>
      </c>
      <c r="C21" s="77" t="s">
        <v>44</v>
      </c>
      <c r="D21" s="77">
        <f>IFERROR((D19-C19)*10000,"n/a")</f>
        <v>300</v>
      </c>
      <c r="E21" s="77">
        <f>IFERROR((E19-D19)*10000,"n/a")</f>
        <v>-199.99999999999997</v>
      </c>
      <c r="F21" s="77">
        <f>IFERROR((F19-E19)*10000,"n/a")</f>
        <v>100.00000000000001</v>
      </c>
      <c r="G21" s="77" t="s">
        <v>44</v>
      </c>
      <c r="H21" s="77">
        <f>IFERROR((H19-F19)*10000,"n/a")</f>
        <v>-200.00000000000003</v>
      </c>
      <c r="I21" s="77">
        <f>IFERROR((I19-H19)*10000,"n/a")</f>
        <v>100.00000000000001</v>
      </c>
      <c r="J21" s="78">
        <f>IFERROR((J19-I19)*10000,"n/a")</f>
        <v>100.00000000000001</v>
      </c>
      <c r="K21" s="4"/>
      <c r="L21" s="3"/>
      <c r="M21" s="3"/>
    </row>
    <row r="22">
      <c r="A22" s="3"/>
      <c r="B22" s="3" t="s">
        <v>98</v>
      </c>
      <c r="C22" s="1">
        <f>C33-C25-C29</f>
        <v>1940</v>
      </c>
      <c r="D22" s="1">
        <f>D33-D25-D29</f>
        <v>2920</v>
      </c>
      <c r="E22" s="1">
        <f>E33-E25-E29</f>
        <v>2710</v>
      </c>
      <c r="F22" s="1">
        <f>F33-F25-F29</f>
        <v>3470</v>
      </c>
      <c r="G22" s="1">
        <f>SUM(C22:F22)</f>
        <v>11040</v>
      </c>
      <c r="H22" s="1">
        <f>H33-H25-H29</f>
        <v>1713</v>
      </c>
      <c r="I22" s="1">
        <f>I33-I25-I29</f>
        <v>2654</v>
      </c>
      <c r="J22" s="16">
        <f>J12*(1+J19)</f>
        <v>2788.8</v>
      </c>
      <c r="K22" s="4" t="s">
        <v>153</v>
      </c>
      <c r="L22" s="3"/>
      <c r="M22" s="3"/>
    </row>
    <row r="23">
      <c r="A23" s="3"/>
      <c r="B23" s="56" t="s">
        <v>154</v>
      </c>
      <c r="C23" s="7">
        <f>IFERROR(IF(OR(C22&lt;0,C12&lt;0),"n.m.",C22/C12-1),"n/a")</f>
        <v>0.02645502645502651</v>
      </c>
      <c r="D23" s="7">
        <f>IFERROR(IF(OR(D22&lt;0,D12&lt;0),"n.m.",D22/D12-1),"n/a")</f>
        <v>0.062204437977446236</v>
      </c>
      <c r="E23" s="7">
        <f>IFERROR(IF(OR(E22&lt;0,E12&lt;0),"n.m.",E22/E12-1),"n/a")</f>
        <v>0.03632887189292533</v>
      </c>
      <c r="F23" s="7">
        <f>IFERROR(IF(OR(F22&lt;0,F12&lt;0),"n.m.",F22/F12-1),"n/a")</f>
        <v>0.04707302353651177</v>
      </c>
      <c r="G23" s="7">
        <f>IFERROR(IF(OR(G22&lt;0,G12&lt;0),"n.m.",G22/G12-1),"n/a")</f>
        <v>0.044663133989401915</v>
      </c>
      <c r="H23" s="7">
        <f>IFERROR(IF(OR(H22&lt;0,H12&lt;0),"n.m.",H22/H12-1),"n/a")</f>
        <v>0.03130644190246845</v>
      </c>
      <c r="I23" s="7">
        <f>IFERROR(IF(OR(I22&lt;0,I12&lt;0),"n.m.",I22/I12-1),"n/a")</f>
        <v>0.04160125588697028</v>
      </c>
      <c r="J23" s="25">
        <f>IFERROR(IF(OR(J22&lt;0,J12&lt;0),"n.m.",J22/J12-1),"n/a")</f>
        <v>0.050000000000000044</v>
      </c>
      <c r="K23" s="4"/>
      <c r="L23" s="3"/>
      <c r="M23" s="3"/>
    </row>
    <row r="24">
      <c r="A24" s="3"/>
      <c r="B24" s="29" t="s">
        <v>94</v>
      </c>
      <c r="C24" s="1" t="s">
        <v>44</v>
      </c>
      <c r="D24" s="1">
        <f>IFERROR(D22-C22,"n/a")</f>
        <v>980</v>
      </c>
      <c r="E24" s="1">
        <f>IFERROR(E22-D22,"n/a")</f>
        <v>-210</v>
      </c>
      <c r="F24" s="1">
        <f>IFERROR(F22-E22,"n/a")</f>
        <v>760</v>
      </c>
      <c r="G24" s="1" t="s">
        <v>44</v>
      </c>
      <c r="H24" s="1">
        <f>IFERROR(H22-F22,"n/a")</f>
        <v>-1757</v>
      </c>
      <c r="I24" s="1">
        <f>IFERROR(I22-H22,"n/a")</f>
        <v>941</v>
      </c>
      <c r="J24" s="16">
        <f>IFERROR(J22-I22,"n/a")</f>
        <v>134.80000000000018</v>
      </c>
      <c r="K24" s="4"/>
      <c r="L24" s="3"/>
      <c r="M24" s="3"/>
    </row>
    <row r="25">
      <c r="A25" s="3"/>
      <c r="B25" s="3" t="s">
        <v>99</v>
      </c>
      <c r="C25" s="19">
        <v>-279</v>
      </c>
      <c r="D25" s="19">
        <v>-372</v>
      </c>
      <c r="E25" s="19">
        <v>-54</v>
      </c>
      <c r="F25" s="19">
        <v>214</v>
      </c>
      <c r="G25" s="1">
        <f>SUM(C25:F25)</f>
        <v>-491</v>
      </c>
      <c r="H25" s="19">
        <v>221</v>
      </c>
      <c r="I25" s="19">
        <v>286</v>
      </c>
      <c r="J25" s="16">
        <f>J10*J26</f>
        <v>146.08</v>
      </c>
      <c r="K25" s="4" t="s">
        <v>155</v>
      </c>
      <c r="L25" s="3"/>
      <c r="M25" s="3"/>
    </row>
    <row r="26">
      <c r="A26" s="3"/>
      <c r="B26" s="56" t="s">
        <v>156</v>
      </c>
      <c r="C26" s="7">
        <f>IFERROR(C25/C10,"n/a")</f>
        <v>-0.14761904761904762</v>
      </c>
      <c r="D26" s="7">
        <f>IFERROR(D25/D10,"n/a")</f>
        <v>-0.1353219352491815</v>
      </c>
      <c r="E26" s="7">
        <f>IFERROR(E25/E10,"n/a")</f>
        <v>-0.020650095602294454</v>
      </c>
      <c r="F26" s="7">
        <f>IFERROR(F25/F10,"n/a")</f>
        <v>0.06457453228726615</v>
      </c>
      <c r="G26" s="7">
        <f>IFERROR(G25/G10,"n/a")</f>
        <v>-0.04646101438304315</v>
      </c>
      <c r="H26" s="7">
        <f>IFERROR(H25/H10,"n/a")</f>
        <v>0.13305237808549067</v>
      </c>
      <c r="I26" s="7">
        <f>IFERROR(I25/I10,"n/a")</f>
        <v>0.11224489795918367</v>
      </c>
      <c r="J26" s="79">
        <v>0.055</v>
      </c>
      <c r="K26" s="4" t="s">
        <v>157</v>
      </c>
      <c r="L26" s="3"/>
      <c r="M26" s="3"/>
    </row>
    <row r="27">
      <c r="A27" s="3"/>
      <c r="B27" s="49" t="s">
        <v>109</v>
      </c>
      <c r="C27" s="77" t="s">
        <v>44</v>
      </c>
      <c r="D27" s="77" t="s">
        <v>44</v>
      </c>
      <c r="E27" s="77" t="s">
        <v>44</v>
      </c>
      <c r="F27" s="77" t="s">
        <v>44</v>
      </c>
      <c r="G27" s="77" t="s">
        <v>44</v>
      </c>
      <c r="H27" s="77">
        <f>IFERROR((H26-C26)*10000,"n/a")</f>
        <v>2806.714257045383</v>
      </c>
      <c r="I27" s="77">
        <f>IFERROR((I26-D26)*10000,"n/a")</f>
        <v>2475.668332083652</v>
      </c>
      <c r="J27" s="78">
        <f>IFERROR((J26-E26)*10000,"n/a")</f>
        <v>756.5009560229445</v>
      </c>
      <c r="K27" s="4"/>
      <c r="L27" s="3"/>
      <c r="M27" s="3"/>
    </row>
    <row r="28">
      <c r="A28" s="3"/>
      <c r="B28" s="49" t="s">
        <v>110</v>
      </c>
      <c r="C28" s="77" t="s">
        <v>44</v>
      </c>
      <c r="D28" s="77">
        <f>IFERROR((D26-C26)*10000,"n/a")</f>
        <v>122.97112369866109</v>
      </c>
      <c r="E28" s="77">
        <f>IFERROR((E26-D26)*10000,"n/a")</f>
        <v>1146.7183964688707</v>
      </c>
      <c r="F28" s="77">
        <f>IFERROR((F26-E26)*10000,"n/a")</f>
        <v>852.246278895606</v>
      </c>
      <c r="G28" s="77" t="s">
        <v>44</v>
      </c>
      <c r="H28" s="77">
        <f>IFERROR((H26-F26)*10000,"n/a")</f>
        <v>684.7784579822452</v>
      </c>
      <c r="I28" s="77">
        <f>IFERROR((I26-H26)*10000,"n/a")</f>
        <v>-208.07480126306996</v>
      </c>
      <c r="J28" s="78">
        <f>IFERROR((J26-I26)*10000,"n/a")</f>
        <v>-572.4489795918367</v>
      </c>
      <c r="K28" s="4"/>
      <c r="L28" s="3"/>
      <c r="M28" s="3"/>
    </row>
    <row r="29">
      <c r="A29" s="3"/>
      <c r="B29" s="3" t="s">
        <v>100</v>
      </c>
      <c r="C29" s="19">
        <v>0</v>
      </c>
      <c r="D29" s="19">
        <v>0</v>
      </c>
      <c r="E29" s="19">
        <v>0</v>
      </c>
      <c r="F29" s="19">
        <v>0</v>
      </c>
      <c r="G29" s="1">
        <f>SUM(C29:F29)</f>
        <v>0</v>
      </c>
      <c r="H29" s="19">
        <v>0</v>
      </c>
      <c r="I29" s="19">
        <v>0</v>
      </c>
      <c r="J29" s="16">
        <f>J10*J30</f>
        <v>0</v>
      </c>
      <c r="K29" s="4" t="s">
        <v>158</v>
      </c>
      <c r="L29" s="3"/>
      <c r="M29" s="3"/>
    </row>
    <row r="30">
      <c r="A30" s="3"/>
      <c r="B30" s="56" t="s">
        <v>159</v>
      </c>
      <c r="C30" s="7">
        <f>IFERROR(C29/C10,"n/a")</f>
        <v>0</v>
      </c>
      <c r="D30" s="7">
        <f>IFERROR(D29/D10,"n/a")</f>
        <v>0</v>
      </c>
      <c r="E30" s="7">
        <f>IFERROR(E29/E10,"n/a")</f>
        <v>0</v>
      </c>
      <c r="F30" s="7">
        <f>IFERROR(F29/F10,"n/a")</f>
        <v>0</v>
      </c>
      <c r="G30" s="7">
        <f>IFERROR(G29/G10,"n/a")</f>
        <v>0</v>
      </c>
      <c r="H30" s="7">
        <f>IFERROR(H29/H10,"n/a")</f>
        <v>0</v>
      </c>
      <c r="I30" s="7">
        <f>IFERROR(I29/I10,"n/a")</f>
        <v>0</v>
      </c>
      <c r="J30" s="79">
        <v>0</v>
      </c>
      <c r="K30" s="4" t="s">
        <v>160</v>
      </c>
      <c r="L30" s="3"/>
      <c r="M30" s="3"/>
    </row>
    <row r="31">
      <c r="A31" s="3"/>
      <c r="B31" s="49" t="s">
        <v>109</v>
      </c>
      <c r="C31" s="77" t="s">
        <v>44</v>
      </c>
      <c r="D31" s="77" t="s">
        <v>44</v>
      </c>
      <c r="E31" s="77" t="s">
        <v>44</v>
      </c>
      <c r="F31" s="77" t="s">
        <v>44</v>
      </c>
      <c r="G31" s="77" t="s">
        <v>44</v>
      </c>
      <c r="H31" s="77">
        <f>IFERROR((H30-C30)*10000,"n/a")</f>
        <v>0</v>
      </c>
      <c r="I31" s="77">
        <f>IFERROR((I30-D30)*10000,"n/a")</f>
        <v>0</v>
      </c>
      <c r="J31" s="78">
        <f>IFERROR((J30-E30)*10000,"n/a")</f>
        <v>0</v>
      </c>
      <c r="K31" s="4"/>
      <c r="L31" s="3"/>
      <c r="M31" s="3"/>
    </row>
    <row r="32">
      <c r="A32" s="3"/>
      <c r="B32" s="49" t="s">
        <v>110</v>
      </c>
      <c r="C32" s="77" t="s">
        <v>44</v>
      </c>
      <c r="D32" s="77">
        <f>IFERROR((D30-C30)*10000,"n/a")</f>
        <v>0</v>
      </c>
      <c r="E32" s="77">
        <f>IFERROR((E30-D30)*10000,"n/a")</f>
        <v>0</v>
      </c>
      <c r="F32" s="77">
        <f>IFERROR((F30-E30)*10000,"n/a")</f>
        <v>0</v>
      </c>
      <c r="G32" s="77" t="s">
        <v>44</v>
      </c>
      <c r="H32" s="77">
        <f>IFERROR((H30-F30)*10000,"n/a")</f>
        <v>0</v>
      </c>
      <c r="I32" s="77">
        <f>IFERROR((I30-H30)*10000,"n/a")</f>
        <v>0</v>
      </c>
      <c r="J32" s="78">
        <f>IFERROR((J30-I30)*10000,"n/a")</f>
        <v>0</v>
      </c>
      <c r="K32" s="4"/>
      <c r="L32" s="3"/>
      <c r="M32" s="3"/>
    </row>
    <row r="33">
      <c r="A33" s="3"/>
      <c r="B33" s="15" t="s">
        <v>161</v>
      </c>
      <c r="C33" s="32">
        <v>1661</v>
      </c>
      <c r="D33" s="32">
        <v>2548</v>
      </c>
      <c r="E33" s="32">
        <v>2656</v>
      </c>
      <c r="F33" s="32">
        <v>3684</v>
      </c>
      <c r="G33" s="21">
        <f>SUM(C33:F33)</f>
        <v>10549</v>
      </c>
      <c r="H33" s="32">
        <v>1934</v>
      </c>
      <c r="I33" s="32">
        <v>2940</v>
      </c>
      <c r="J33" s="43">
        <f>J22+J25+J29</f>
        <v>2934.88</v>
      </c>
      <c r="K33" s="4" t="s">
        <v>162</v>
      </c>
      <c r="L33" s="3"/>
      <c r="M33" s="3"/>
    </row>
    <row r="34">
      <c r="A34" s="3"/>
      <c r="B34" s="56" t="s">
        <v>77</v>
      </c>
      <c r="C34" s="7">
        <f>IFERROR(IF(OR(C33&lt;0,C10&lt;0),"n.m.",C33/C10-1),"n/a")</f>
        <v>-0.12116402116402114</v>
      </c>
      <c r="D34" s="7">
        <f>IFERROR(IF(OR(D33&lt;0,D10&lt;0),"n.m.",D33/D10-1),"n/a")</f>
        <v>-0.07311749727173522</v>
      </c>
      <c r="E34" s="7">
        <f>IFERROR(IF(OR(E33&lt;0,E10&lt;0),"n.m.",E33/E10-1),"n/a")</f>
        <v>0.01567877629063097</v>
      </c>
      <c r="F34" s="7">
        <f>IFERROR(IF(OR(F33&lt;0,F10&lt;0),"n.m.",F33/F10-1),"n/a")</f>
        <v>0.11164755582377794</v>
      </c>
      <c r="G34" s="7">
        <f>IFERROR(IF(OR(G33&lt;0,G10&lt;0),"n.m.",G33/G10-1),"n/a")</f>
        <v>-0.0017978803936411492</v>
      </c>
      <c r="H34" s="7">
        <f>IFERROR(IF(OR(H33&lt;0,C33&lt;0),"n.m.",H33/C33-1),"n/a")</f>
        <v>0.1643588199879591</v>
      </c>
      <c r="I34" s="7">
        <f>IFERROR(IF(OR(I33&lt;0,D33&lt;0),"n.m.",I33/D33-1),"n/a")</f>
        <v>0.15384615384615374</v>
      </c>
      <c r="J34" s="25">
        <f>IFERROR(IF(OR(J33&lt;0,E33&lt;0),"n.m.",J33/E33-1),"n/a")</f>
        <v>0.10499999999999998</v>
      </c>
      <c r="K34" s="4"/>
      <c r="L34" s="3"/>
      <c r="M34" s="3"/>
    </row>
    <row r="35">
      <c r="A35" s="3"/>
      <c r="B35" s="56" t="s">
        <v>78</v>
      </c>
      <c r="C35" s="7" t="s">
        <v>44</v>
      </c>
      <c r="D35" s="7">
        <f>IFERROR(IF(OR(D33&lt;0,C33&lt;0),"n.m.",D33/C33-1),"n/a")</f>
        <v>0.5340156532209512</v>
      </c>
      <c r="E35" s="7">
        <f>IFERROR(IF(OR(E33&lt;0,D33&lt;0),"n.m.",E33/D33-1),"n/a")</f>
        <v>0.042386185243328045</v>
      </c>
      <c r="F35" s="7">
        <f>IFERROR(IF(OR(F33&lt;0,E33&lt;0),"n.m.",F33/E33-1),"n/a")</f>
        <v>0.38704819277108427</v>
      </c>
      <c r="G35" s="7" t="s">
        <v>44</v>
      </c>
      <c r="H35" s="7">
        <f>IFERROR(IF(OR(H33&lt;0,F33&lt;0),"n.m.",H33/F33-1),"n/a")</f>
        <v>-0.4750271444082519</v>
      </c>
      <c r="I35" s="7">
        <f>IFERROR(IF(OR(I33&lt;0,H33&lt;0),"n.m.",I33/H33-1),"n/a")</f>
        <v>0.5201654601861427</v>
      </c>
      <c r="J35" s="25">
        <f>IFERROR(IF(OR(J33&lt;0,I33&lt;0),"n.m.",J33/I33-1),"n/a")</f>
        <v>-0.0017414965986394249</v>
      </c>
      <c r="K35" s="4"/>
      <c r="L35" s="3"/>
      <c r="M35" s="3"/>
    </row>
    <row r="36">
      <c r="A36" s="3"/>
      <c r="B36" s="29" t="s">
        <v>94</v>
      </c>
      <c r="C36" s="1" t="s">
        <v>44</v>
      </c>
      <c r="D36" s="1">
        <f>IFERROR(D33-C33,"n/a")</f>
        <v>887</v>
      </c>
      <c r="E36" s="1">
        <f>IFERROR(E33-D33,"n/a")</f>
        <v>108</v>
      </c>
      <c r="F36" s="1">
        <f>IFERROR(F33-E33,"n/a")</f>
        <v>1028</v>
      </c>
      <c r="G36" s="1" t="s">
        <v>44</v>
      </c>
      <c r="H36" s="1">
        <f>IFERROR(H33-F33,"n/a")</f>
        <v>-1750</v>
      </c>
      <c r="I36" s="1">
        <f>IFERROR(I33-H33,"n/a")</f>
        <v>1006</v>
      </c>
      <c r="J36" s="16">
        <f>IFERROR(J33-I33,"n/a")</f>
        <v>-5.119999999999891</v>
      </c>
      <c r="K36" s="4"/>
      <c r="L36" s="3"/>
      <c r="M36" s="3"/>
    </row>
    <row r="37">
      <c r="A37" s="3"/>
      <c r="B37" s="3"/>
      <c r="C37" s="1"/>
      <c r="D37" s="1"/>
      <c r="E37" s="1"/>
      <c r="F37" s="1"/>
      <c r="G37" s="1"/>
      <c r="H37" s="1"/>
      <c r="I37" s="1"/>
      <c r="J37" s="16"/>
      <c r="K37" s="4"/>
      <c r="L37" s="3"/>
      <c r="M37" s="3"/>
    </row>
    <row r="38">
      <c r="A38" s="3"/>
      <c r="B38" s="15" t="s">
        <v>163</v>
      </c>
      <c r="C38" s="5"/>
      <c r="D38" s="5"/>
      <c r="E38" s="5"/>
      <c r="F38" s="5"/>
      <c r="G38" s="5"/>
      <c r="H38" s="5"/>
      <c r="I38" s="5"/>
      <c r="J38" s="22"/>
      <c r="K38" s="4"/>
      <c r="L38" s="3"/>
      <c r="M38" s="3"/>
    </row>
    <row r="39">
      <c r="A39" s="3"/>
      <c r="B39" s="12" t="s">
        <v>103</v>
      </c>
      <c r="C39" s="7">
        <f>IFERROR(IF(OR(C33&lt;0,C10&lt;0),"n.m.",C33/C10-1),"n/a")</f>
        <v>-0.12116402116402114</v>
      </c>
      <c r="D39" s="7">
        <f>IFERROR(IF(OR(D33&lt;0,D10&lt;0),"n.m.",D33/D10-1),"n/a")</f>
        <v>-0.07311749727173522</v>
      </c>
      <c r="E39" s="7">
        <f>IFERROR(IF(OR(E33&lt;0,E10&lt;0),"n.m.",E33/E10-1),"n/a")</f>
        <v>0.01567877629063097</v>
      </c>
      <c r="F39" s="7">
        <f>IFERROR(IF(OR(F33&lt;0,F10&lt;0),"n.m.",F33/F10-1),"n/a")</f>
        <v>0.11164755582377794</v>
      </c>
      <c r="G39" s="7">
        <f>IFERROR(IF(OR(G33&lt;0,G10&lt;0),"n.m.",G33/G10-1),"n/a")</f>
        <v>-0.0017978803936411492</v>
      </c>
      <c r="H39" s="7">
        <f>IFERROR(IF(OR(H33&lt;0,H10&lt;0),"n.m.",H33/H10-1),"n/a")</f>
        <v>0.1643588199879591</v>
      </c>
      <c r="I39" s="7">
        <f>IFERROR(IF(OR(I33&lt;0,I10&lt;0),"n.m.",I33/I10-1),"n/a")</f>
        <v>0.15384615384615374</v>
      </c>
      <c r="J39" s="25">
        <f>IFERROR(IF(OR(J33&lt;0,J10&lt;0),"n.m.",J33/J10-1),"n/a")</f>
        <v>0.10499999999999998</v>
      </c>
      <c r="K39" s="4"/>
      <c r="L39" s="3"/>
      <c r="M39" s="3"/>
    </row>
    <row r="40">
      <c r="A40" s="3"/>
      <c r="B40" s="12" t="s">
        <v>104</v>
      </c>
      <c r="C40" s="7">
        <f>IFERROR((C29+C11)/C10,"n/a")</f>
        <v>0</v>
      </c>
      <c r="D40" s="7">
        <f>IFERROR((D29+D11)/D10,"n/a")</f>
        <v>0</v>
      </c>
      <c r="E40" s="7">
        <f>IFERROR((E29+E11)/E10,"n/a")</f>
        <v>0</v>
      </c>
      <c r="F40" s="7">
        <f>IFERROR((F29+F11)/F10,"n/a")</f>
        <v>0</v>
      </c>
      <c r="G40" s="7">
        <f>IFERROR((G29+G11)/G10,"n/a")</f>
        <v>0</v>
      </c>
      <c r="H40" s="7">
        <f>IFERROR((H29+H11)/H10,"n/a")</f>
        <v>0</v>
      </c>
      <c r="I40" s="7">
        <f>IFERROR((I29+I11)/I10,"n/a")</f>
        <v>0</v>
      </c>
      <c r="J40" s="25">
        <f>IFERROR((J29+J11)/J10,"n/a")</f>
        <v>0</v>
      </c>
      <c r="K40" s="4"/>
      <c r="L40" s="3"/>
      <c r="M40" s="3"/>
    </row>
    <row r="41">
      <c r="A41" s="3"/>
      <c r="B41" s="12" t="s">
        <v>105</v>
      </c>
      <c r="C41" s="7">
        <f>IFERROR(C25/C10,"n/a")</f>
        <v>-0.14761904761904762</v>
      </c>
      <c r="D41" s="7">
        <f>IFERROR(D25/D10,"n/a")</f>
        <v>-0.1353219352491815</v>
      </c>
      <c r="E41" s="7">
        <f>IFERROR(E25/E10,"n/a")</f>
        <v>-0.020650095602294454</v>
      </c>
      <c r="F41" s="7">
        <f>IFERROR(F25/F10,"n/a")</f>
        <v>0.06457453228726615</v>
      </c>
      <c r="G41" s="7">
        <f>IFERROR(G25/G10,"n/a")</f>
        <v>-0.04646101438304315</v>
      </c>
      <c r="H41" s="7">
        <f>IFERROR(H25/H10,"n/a")</f>
        <v>0.13305237808549067</v>
      </c>
      <c r="I41" s="7">
        <f>IFERROR(I25/I10,"n/a")</f>
        <v>0.11224489795918367</v>
      </c>
      <c r="J41" s="25">
        <f>IFERROR(J25/J10,"n/a")</f>
        <v>0.05500000000000001</v>
      </c>
      <c r="K41" s="4"/>
      <c r="L41" s="3"/>
      <c r="M41" s="3"/>
    </row>
    <row r="42">
      <c r="A42" s="3"/>
      <c r="B42" s="12" t="s">
        <v>106</v>
      </c>
      <c r="C42" s="7">
        <f>IFERROR((1+C39)/((1+C40)*(1+C41))-1,"n/a")</f>
        <v>0.031036623215394243</v>
      </c>
      <c r="D42" s="7">
        <f>IFERROR((1+D39)/((1+D40)*(1+D41))-1,"n/a")</f>
        <v>0.07193941943626414</v>
      </c>
      <c r="E42" s="7">
        <f>IFERROR((1+E39)/((1+E40)*(1+E41))-1,"n/a")</f>
        <v>0.037094884810620954</v>
      </c>
      <c r="F42" s="7">
        <f>IFERROR((1+F39)/((1+F40)*(1+F41))-1,"n/a")</f>
        <v>0.04421768707482987</v>
      </c>
      <c r="G42" s="7">
        <f>IFERROR((1+G39)/((1+G40)*(1+G41))-1,"n/a")</f>
        <v>0.046839337104296996</v>
      </c>
      <c r="H42" s="7">
        <f>IFERROR((1+H39)/((1+H40)*(1+H41))-1,"n/a")</f>
        <v>0.027630180658873682</v>
      </c>
      <c r="I42" s="7">
        <f>IFERROR((1+I39)/((1+I40)*(1+I41))-1,"n/a")</f>
        <v>0.03740296400846854</v>
      </c>
      <c r="J42" s="25">
        <f>IFERROR((1+J39)/((1+J40)*(1+J41))-1,"n/a")</f>
        <v>0.04739336492891</v>
      </c>
      <c r="K42" s="4"/>
      <c r="L42" s="3"/>
      <c r="M42" s="3"/>
    </row>
    <row r="43">
      <c r="A43" s="3"/>
      <c r="B43" s="56" t="s">
        <v>164</v>
      </c>
      <c r="C43" s="77">
        <f>IFERROR((C42-C19)*10000,"n/a")</f>
        <v>10.366232153942445</v>
      </c>
      <c r="D43" s="77">
        <f>IFERROR((D42-D19)*10000,"n/a")</f>
        <v>119.39419436264143</v>
      </c>
      <c r="E43" s="77">
        <f>IFERROR((E42-E19)*10000,"n/a")</f>
        <v>-29.05115189379047</v>
      </c>
      <c r="F43" s="77">
        <f>IFERROR((F42-F19)*10000,"n/a")</f>
        <v>-57.823129251701324</v>
      </c>
      <c r="G43" s="77">
        <f>IFERROR((G42-G19)*10000,"n/a")</f>
        <v>18.39337104296998</v>
      </c>
      <c r="H43" s="77">
        <f>IFERROR((H42-H19)*10000,"n/a")</f>
        <v>-23.69819341126317</v>
      </c>
      <c r="I43" s="77">
        <f>IFERROR((I42-I19)*10000,"n/a")</f>
        <v>-25.970359915314585</v>
      </c>
      <c r="J43" s="78">
        <f>IFERROR((J42-J19)*10000,"n/a")</f>
        <v>-26.06635071090005</v>
      </c>
      <c r="K43" s="4" t="s">
        <v>165</v>
      </c>
      <c r="L43" s="3"/>
      <c r="M43" s="3"/>
    </row>
    <row r="44">
      <c r="A44" s="3"/>
      <c r="B44" s="3"/>
      <c r="C44" s="1"/>
      <c r="D44" s="1"/>
      <c r="E44" s="1"/>
      <c r="F44" s="1"/>
      <c r="G44" s="1"/>
      <c r="H44" s="1"/>
      <c r="I44" s="1"/>
      <c r="J44" s="16"/>
      <c r="K44" s="4"/>
      <c r="L44" s="3"/>
      <c r="M44" s="3"/>
    </row>
    <row r="45">
      <c r="A45" s="3"/>
      <c r="B45" s="15" t="s">
        <v>166</v>
      </c>
      <c r="C45" s="5"/>
      <c r="D45" s="5"/>
      <c r="E45" s="5"/>
      <c r="F45" s="5"/>
      <c r="G45" s="5"/>
      <c r="H45" s="5"/>
      <c r="I45" s="5"/>
      <c r="J45" s="22"/>
      <c r="K45" s="4"/>
      <c r="L45" s="3"/>
      <c r="M45" s="3"/>
    </row>
    <row r="46">
      <c r="A46" s="3"/>
      <c r="B46" s="12" t="s">
        <v>167</v>
      </c>
      <c r="C46" s="9">
        <v>-0.005</v>
      </c>
      <c r="D46" s="9">
        <v>0.04</v>
      </c>
      <c r="E46" s="9">
        <v>0</v>
      </c>
      <c r="F46" s="9">
        <v>-0.01</v>
      </c>
      <c r="G46" s="9">
        <v>0.01</v>
      </c>
      <c r="H46" s="9">
        <v>-0.02</v>
      </c>
      <c r="I46" s="9">
        <v>0</v>
      </c>
      <c r="J46" s="25">
        <f>J13</f>
        <v>0.01</v>
      </c>
      <c r="K46" s="4" t="s">
        <v>168</v>
      </c>
      <c r="L46" s="3"/>
      <c r="M46" s="3"/>
    </row>
    <row r="47">
      <c r="A47" s="3"/>
      <c r="B47" s="56" t="s">
        <v>109</v>
      </c>
      <c r="C47" s="77" t="s">
        <v>44</v>
      </c>
      <c r="D47" s="77" t="s">
        <v>44</v>
      </c>
      <c r="E47" s="77" t="s">
        <v>44</v>
      </c>
      <c r="F47" s="77" t="s">
        <v>44</v>
      </c>
      <c r="G47" s="77" t="s">
        <v>44</v>
      </c>
      <c r="H47" s="77">
        <f>IFERROR((H46-C46)*10000,"n/a")</f>
        <v>-150</v>
      </c>
      <c r="I47" s="77">
        <f>IFERROR((I46-D46)*10000,"n/a")</f>
        <v>-400</v>
      </c>
      <c r="J47" s="78">
        <f>IFERROR((J46-E46)*10000,"n/a")</f>
        <v>100</v>
      </c>
      <c r="K47" s="4"/>
      <c r="L47" s="3"/>
      <c r="M47" s="3"/>
    </row>
    <row r="48">
      <c r="A48" s="3"/>
      <c r="B48" s="56" t="s">
        <v>110</v>
      </c>
      <c r="C48" s="77" t="s">
        <v>44</v>
      </c>
      <c r="D48" s="77">
        <f>IFERROR((D46-C46)*10000,"n/a")</f>
        <v>450</v>
      </c>
      <c r="E48" s="77">
        <f>IFERROR((E46-D46)*10000,"n/a")</f>
        <v>-400</v>
      </c>
      <c r="F48" s="77">
        <f>IFERROR((F46-E46)*10000,"n/a")</f>
        <v>-100</v>
      </c>
      <c r="G48" s="77" t="s">
        <v>44</v>
      </c>
      <c r="H48" s="77">
        <f>IFERROR((H46-F46)*10000,"n/a")</f>
        <v>-100</v>
      </c>
      <c r="I48" s="77">
        <f>IFERROR((I46-H46)*10000,"n/a")</f>
        <v>200</v>
      </c>
      <c r="J48" s="78">
        <f>IFERROR((J46-I46)*10000,"n/a")</f>
        <v>100</v>
      </c>
      <c r="K48" s="4"/>
      <c r="L48" s="3"/>
      <c r="M48" s="3"/>
    </row>
    <row r="49">
      <c r="A49" s="3"/>
      <c r="B49" s="3"/>
      <c r="C49" s="1"/>
      <c r="D49" s="1"/>
      <c r="E49" s="1"/>
      <c r="F49" s="1"/>
      <c r="G49" s="1"/>
      <c r="H49" s="1"/>
      <c r="I49" s="1"/>
      <c r="J49" s="16"/>
      <c r="K49" s="4"/>
      <c r="L49" s="3"/>
      <c r="M49" s="3"/>
    </row>
    <row r="50">
      <c r="A50" s="3"/>
      <c r="B50" s="15" t="s">
        <v>169</v>
      </c>
      <c r="C50" s="5"/>
      <c r="D50" s="5"/>
      <c r="E50" s="5"/>
      <c r="F50" s="5"/>
      <c r="G50" s="5"/>
      <c r="H50" s="5"/>
      <c r="I50" s="5"/>
      <c r="J50" s="22"/>
      <c r="K50" s="4"/>
      <c r="L50" s="3"/>
      <c r="M50" s="3"/>
    </row>
    <row r="51">
      <c r="A51" s="3"/>
      <c r="B51" s="3" t="s">
        <v>43</v>
      </c>
      <c r="C51" s="1">
        <f>C33</f>
        <v>1661</v>
      </c>
      <c r="D51" s="1">
        <f>D33</f>
        <v>2548</v>
      </c>
      <c r="E51" s="1">
        <f>E33</f>
        <v>2656</v>
      </c>
      <c r="F51" s="1">
        <f>F33</f>
        <v>3684</v>
      </c>
      <c r="G51" s="1">
        <f>G33</f>
        <v>10549</v>
      </c>
      <c r="H51" s="1">
        <f>H33</f>
        <v>1934</v>
      </c>
      <c r="I51" s="1">
        <f>I33</f>
        <v>2940</v>
      </c>
      <c r="J51" s="16">
        <f>J33</f>
        <v>2934.88</v>
      </c>
      <c r="K51" s="4"/>
      <c r="L51" s="3"/>
      <c r="M51" s="3"/>
    </row>
    <row r="52">
      <c r="A52" s="3"/>
      <c r="B52" s="3" t="s">
        <v>170</v>
      </c>
      <c r="C52" s="19">
        <v>698</v>
      </c>
      <c r="D52" s="19">
        <v>1074</v>
      </c>
      <c r="E52" s="19">
        <v>1134</v>
      </c>
      <c r="F52" s="19">
        <v>1574</v>
      </c>
      <c r="G52" s="1">
        <f>SUM(C52:F52)</f>
        <v>4480</v>
      </c>
      <c r="H52" s="19">
        <v>780</v>
      </c>
      <c r="I52" s="19">
        <v>1179</v>
      </c>
      <c r="J52" s="16">
        <f>J51*(1-J58)</f>
        <v>1209.1705600000003</v>
      </c>
      <c r="K52" s="4" t="s">
        <v>171</v>
      </c>
      <c r="L52" s="3"/>
      <c r="M52" s="3"/>
    </row>
    <row r="53">
      <c r="A53" s="3"/>
      <c r="B53" s="56" t="s">
        <v>77</v>
      </c>
      <c r="C53" s="7" t="s">
        <v>44</v>
      </c>
      <c r="D53" s="7" t="s">
        <v>44</v>
      </c>
      <c r="E53" s="7" t="s">
        <v>44</v>
      </c>
      <c r="F53" s="7" t="s">
        <v>44</v>
      </c>
      <c r="G53" s="7" t="s">
        <v>44</v>
      </c>
      <c r="H53" s="7">
        <f>IFERROR(IF(OR(H52&lt;0,C52&lt;0),"n.m.",H52/C52-1),"n/a")</f>
        <v>0.11747851002865328</v>
      </c>
      <c r="I53" s="7">
        <f>IFERROR(IF(OR(I52&lt;0,D52&lt;0),"n.m.",I52/D52-1),"n/a")</f>
        <v>0.0977653631284916</v>
      </c>
      <c r="J53" s="25">
        <f>IFERROR(IF(OR(J52&lt;0,E52&lt;0),"n.m.",J52/E52-1),"n/a")</f>
        <v>0.06628797178130541</v>
      </c>
      <c r="K53" s="4"/>
      <c r="L53" s="3"/>
      <c r="M53" s="3"/>
    </row>
    <row r="54">
      <c r="A54" s="3"/>
      <c r="B54" s="29" t="s">
        <v>94</v>
      </c>
      <c r="C54" s="1" t="s">
        <v>44</v>
      </c>
      <c r="D54" s="1">
        <f>IFERROR(D52-C52,"n/a")</f>
        <v>376</v>
      </c>
      <c r="E54" s="1">
        <f>IFERROR(E52-D52,"n/a")</f>
        <v>60</v>
      </c>
      <c r="F54" s="1">
        <f>IFERROR(F52-E52,"n/a")</f>
        <v>440</v>
      </c>
      <c r="G54" s="1" t="s">
        <v>44</v>
      </c>
      <c r="H54" s="1">
        <f>IFERROR(H52-F52,"n/a")</f>
        <v>-794</v>
      </c>
      <c r="I54" s="1">
        <f>IFERROR(I52-H52,"n/a")</f>
        <v>399</v>
      </c>
      <c r="J54" s="16">
        <f>IFERROR(J52-I52,"n/a")</f>
        <v>30.17056000000025</v>
      </c>
      <c r="K54" s="4"/>
      <c r="L54" s="3"/>
      <c r="M54" s="3"/>
    </row>
    <row r="55">
      <c r="A55" s="3"/>
      <c r="B55" s="15" t="s">
        <v>172</v>
      </c>
      <c r="C55" s="21">
        <f>C51-C52</f>
        <v>963</v>
      </c>
      <c r="D55" s="21">
        <f>D51-D52</f>
        <v>1474</v>
      </c>
      <c r="E55" s="21">
        <f>E51-E52</f>
        <v>1522</v>
      </c>
      <c r="F55" s="21">
        <f>F51-F52</f>
        <v>2110</v>
      </c>
      <c r="G55" s="21">
        <f>G51-G52</f>
        <v>6069</v>
      </c>
      <c r="H55" s="21">
        <f>H51-H52</f>
        <v>1154</v>
      </c>
      <c r="I55" s="21">
        <f>I51-I52</f>
        <v>1761</v>
      </c>
      <c r="J55" s="43">
        <f>J51-J52</f>
        <v>1725.7094399999999</v>
      </c>
      <c r="K55" s="4"/>
      <c r="L55" s="3"/>
      <c r="M55" s="3"/>
    </row>
    <row r="56">
      <c r="A56" s="3"/>
      <c r="B56" s="56" t="s">
        <v>77</v>
      </c>
      <c r="C56" s="7" t="s">
        <v>44</v>
      </c>
      <c r="D56" s="7" t="s">
        <v>44</v>
      </c>
      <c r="E56" s="7" t="s">
        <v>44</v>
      </c>
      <c r="F56" s="7" t="s">
        <v>44</v>
      </c>
      <c r="G56" s="7" t="s">
        <v>44</v>
      </c>
      <c r="H56" s="7">
        <f>IFERROR(IF(OR(H55&lt;0,C55&lt;0),"n.m.",H55/C55-1),"n/a")</f>
        <v>0.19833852544132924</v>
      </c>
      <c r="I56" s="7">
        <f>IFERROR(IF(OR(I55&lt;0,D55&lt;0),"n.m.",I55/D55-1),"n/a")</f>
        <v>0.19470827679782898</v>
      </c>
      <c r="J56" s="25">
        <f>IFERROR(IF(OR(J55&lt;0,E55&lt;0),"n.m.",J55/E55-1),"n/a")</f>
        <v>0.1338432588699079</v>
      </c>
      <c r="K56" s="4"/>
      <c r="L56" s="3"/>
      <c r="M56" s="3"/>
    </row>
    <row r="57">
      <c r="A57" s="3"/>
      <c r="B57" s="29" t="s">
        <v>94</v>
      </c>
      <c r="C57" s="1" t="s">
        <v>44</v>
      </c>
      <c r="D57" s="1">
        <f>IFERROR(D55-C55,"n/a")</f>
        <v>511</v>
      </c>
      <c r="E57" s="1">
        <f>IFERROR(E55-D55,"n/a")</f>
        <v>48</v>
      </c>
      <c r="F57" s="1">
        <f>IFERROR(F55-E55,"n/a")</f>
        <v>588</v>
      </c>
      <c r="G57" s="1" t="s">
        <v>44</v>
      </c>
      <c r="H57" s="1">
        <f>IFERROR(H55-F55,"n/a")</f>
        <v>-956</v>
      </c>
      <c r="I57" s="1">
        <f>IFERROR(I55-H55,"n/a")</f>
        <v>607</v>
      </c>
      <c r="J57" s="16">
        <f>IFERROR(J55-I55,"n/a")</f>
        <v>-35.29056000000014</v>
      </c>
      <c r="K57" s="4"/>
      <c r="L57" s="3"/>
      <c r="M57" s="3"/>
    </row>
    <row r="58">
      <c r="A58" s="3"/>
      <c r="B58" s="12" t="s">
        <v>173</v>
      </c>
      <c r="C58" s="7">
        <f>IFERROR(C55/C51,"n/a")</f>
        <v>0.5797712221553282</v>
      </c>
      <c r="D58" s="7">
        <f>IFERROR(D55/D51,"n/a")</f>
        <v>0.5784929356357927</v>
      </c>
      <c r="E58" s="7">
        <f>IFERROR(E55/E51,"n/a")</f>
        <v>0.5730421686746988</v>
      </c>
      <c r="F58" s="7">
        <f>IFERROR(F55/F51,"n/a")</f>
        <v>0.5727470141150923</v>
      </c>
      <c r="G58" s="7">
        <f>IFERROR(G55/G51,"n/a")</f>
        <v>0.5753151957531519</v>
      </c>
      <c r="H58" s="7">
        <f>IFERROR(H55/H51,"n/a")</f>
        <v>0.5966907962771458</v>
      </c>
      <c r="I58" s="7">
        <f>IFERROR(I55/I51,"n/a")</f>
        <v>0.5989795918367347</v>
      </c>
      <c r="J58" s="79">
        <v>0.588</v>
      </c>
      <c r="K58" s="4" t="s">
        <v>160</v>
      </c>
      <c r="L58" s="3"/>
      <c r="M58" s="3"/>
    </row>
    <row r="59">
      <c r="A59" s="3"/>
      <c r="B59" s="56" t="s">
        <v>109</v>
      </c>
      <c r="C59" s="77" t="s">
        <v>44</v>
      </c>
      <c r="D59" s="77" t="s">
        <v>44</v>
      </c>
      <c r="E59" s="77" t="s">
        <v>44</v>
      </c>
      <c r="F59" s="77" t="s">
        <v>44</v>
      </c>
      <c r="G59" s="77" t="s">
        <v>44</v>
      </c>
      <c r="H59" s="77">
        <f>IFERROR((H58-C58)*10000,"n/a")</f>
        <v>169.1957412181766</v>
      </c>
      <c r="I59" s="77">
        <f>IFERROR((I58-D58)*10000,"n/a")</f>
        <v>204.86656200941923</v>
      </c>
      <c r="J59" s="78">
        <f>IFERROR((J58-E58)*10000,"n/a")</f>
        <v>149.57831325301152</v>
      </c>
      <c r="K59" s="4"/>
      <c r="L59" s="3"/>
      <c r="M59" s="3"/>
    </row>
    <row r="60">
      <c r="A60" s="3"/>
      <c r="B60" s="56" t="s">
        <v>110</v>
      </c>
      <c r="C60" s="77" t="s">
        <v>44</v>
      </c>
      <c r="D60" s="77">
        <f>IFERROR((D58-C58)*10000,"n/a")</f>
        <v>-12.78286519535432</v>
      </c>
      <c r="E60" s="77">
        <f>IFERROR((E58-D58)*10000,"n/a")</f>
        <v>-54.507669610939224</v>
      </c>
      <c r="F60" s="77">
        <f>IFERROR((F58-E58)*10000,"n/a")</f>
        <v>-2.9515455960649195</v>
      </c>
      <c r="G60" s="77" t="s">
        <v>44</v>
      </c>
      <c r="H60" s="77">
        <f>IFERROR((H58-F58)*10000,"n/a")</f>
        <v>239.43782162053506</v>
      </c>
      <c r="I60" s="77">
        <f>IFERROR((I58-H58)*10000,"n/a")</f>
        <v>22.8879555958883</v>
      </c>
      <c r="J60" s="78">
        <f>IFERROR((J58-I58)*10000,"n/a")</f>
        <v>-109.79591836734693</v>
      </c>
      <c r="K60" s="4"/>
      <c r="L60" s="3"/>
      <c r="M60" s="3"/>
    </row>
    <row r="61">
      <c r="A61" s="3"/>
      <c r="B61" s="3" t="s">
        <v>174</v>
      </c>
      <c r="C61" s="19">
        <v>612</v>
      </c>
      <c r="D61" s="19">
        <v>929</v>
      </c>
      <c r="E61" s="19">
        <v>999</v>
      </c>
      <c r="F61" s="19">
        <v>1385</v>
      </c>
      <c r="G61" s="1">
        <f>SUM(C61:F61)</f>
        <v>3925</v>
      </c>
      <c r="H61" s="19">
        <v>723</v>
      </c>
      <c r="I61" s="19">
        <v>1141</v>
      </c>
      <c r="J61" s="16">
        <f>J51*J64</f>
        <v>1138.73344</v>
      </c>
      <c r="K61" s="4" t="s">
        <v>171</v>
      </c>
      <c r="L61" s="3"/>
      <c r="M61" s="3"/>
    </row>
    <row r="62">
      <c r="A62" s="3"/>
      <c r="B62" s="56" t="s">
        <v>77</v>
      </c>
      <c r="C62" s="7" t="s">
        <v>44</v>
      </c>
      <c r="D62" s="7" t="s">
        <v>44</v>
      </c>
      <c r="E62" s="7" t="s">
        <v>44</v>
      </c>
      <c r="F62" s="7" t="s">
        <v>44</v>
      </c>
      <c r="G62" s="7" t="s">
        <v>44</v>
      </c>
      <c r="H62" s="7">
        <f>IFERROR(IF(OR(H61&lt;0,C61&lt;0),"n.m.",H61/C61-1),"n/a")</f>
        <v>0.18137254901960786</v>
      </c>
      <c r="I62" s="7">
        <f>IFERROR(IF(OR(I61&lt;0,D61&lt;0),"n.m.",I61/D61-1),"n/a")</f>
        <v>0.2282023681377825</v>
      </c>
      <c r="J62" s="25">
        <f>IFERROR(IF(OR(J61&lt;0,E61&lt;0),"n.m.",J61/E61-1),"n/a")</f>
        <v>0.1398733133133132</v>
      </c>
      <c r="K62" s="4"/>
      <c r="L62" s="3"/>
      <c r="M62" s="3"/>
    </row>
    <row r="63">
      <c r="A63" s="3"/>
      <c r="B63" s="29" t="s">
        <v>94</v>
      </c>
      <c r="C63" s="1" t="s">
        <v>44</v>
      </c>
      <c r="D63" s="1">
        <f>IFERROR(D61-C61,"n/a")</f>
        <v>317</v>
      </c>
      <c r="E63" s="1">
        <f>IFERROR(E61-D61,"n/a")</f>
        <v>70</v>
      </c>
      <c r="F63" s="1">
        <f>IFERROR(F61-E61,"n/a")</f>
        <v>386</v>
      </c>
      <c r="G63" s="1" t="s">
        <v>44</v>
      </c>
      <c r="H63" s="1">
        <f>IFERROR(H61-F61,"n/a")</f>
        <v>-662</v>
      </c>
      <c r="I63" s="1">
        <f>IFERROR(I61-H61,"n/a")</f>
        <v>418</v>
      </c>
      <c r="J63" s="16">
        <f>IFERROR(J61-I61,"n/a")</f>
        <v>-2.2665600000000268</v>
      </c>
      <c r="K63" s="4"/>
      <c r="L63" s="3"/>
      <c r="M63" s="3"/>
    </row>
    <row r="64">
      <c r="A64" s="3"/>
      <c r="B64" s="12" t="s">
        <v>175</v>
      </c>
      <c r="C64" s="7">
        <f>IFERROR(C61/C51,"n/a")</f>
        <v>0.36845273931366646</v>
      </c>
      <c r="D64" s="7">
        <f>IFERROR(D61/D51,"n/a")</f>
        <v>0.36459968602825743</v>
      </c>
      <c r="E64" s="7">
        <f>IFERROR(E61/E51,"n/a")</f>
        <v>0.37612951807228917</v>
      </c>
      <c r="F64" s="7">
        <f>IFERROR(F61/F51,"n/a")</f>
        <v>0.3759500542888165</v>
      </c>
      <c r="G64" s="7">
        <f>IFERROR(G61/G51,"n/a")</f>
        <v>0.3720731822921604</v>
      </c>
      <c r="H64" s="7">
        <f>IFERROR(H61/H51,"n/a")</f>
        <v>0.3738366080661841</v>
      </c>
      <c r="I64" s="7">
        <f>IFERROR(I61/I51,"n/a")</f>
        <v>0.3880952380952381</v>
      </c>
      <c r="J64" s="79">
        <v>0.388</v>
      </c>
      <c r="K64" s="4" t="s">
        <v>160</v>
      </c>
      <c r="L64" s="3"/>
      <c r="M64" s="3"/>
    </row>
    <row r="65">
      <c r="A65" s="3"/>
      <c r="B65" s="56" t="s">
        <v>109</v>
      </c>
      <c r="C65" s="77" t="s">
        <v>44</v>
      </c>
      <c r="D65" s="77" t="s">
        <v>44</v>
      </c>
      <c r="E65" s="77" t="s">
        <v>44</v>
      </c>
      <c r="F65" s="77" t="s">
        <v>44</v>
      </c>
      <c r="G65" s="77" t="s">
        <v>44</v>
      </c>
      <c r="H65" s="77">
        <f>IFERROR((H64-C64)*10000,"n/a")</f>
        <v>53.83868752517618</v>
      </c>
      <c r="I65" s="77">
        <f>IFERROR((I64-D64)*10000,"n/a")</f>
        <v>234.95552066980673</v>
      </c>
      <c r="J65" s="78">
        <f>IFERROR((J64-E64)*10000,"n/a")</f>
        <v>118.70481927710841</v>
      </c>
      <c r="K65" s="4"/>
      <c r="L65" s="3"/>
      <c r="M65" s="3"/>
    </row>
    <row r="66">
      <c r="A66" s="3"/>
      <c r="B66" s="56" t="s">
        <v>110</v>
      </c>
      <c r="C66" s="77" t="s">
        <v>44</v>
      </c>
      <c r="D66" s="77">
        <f>IFERROR((D64-C64)*10000,"n/a")</f>
        <v>-38.53053285409025</v>
      </c>
      <c r="E66" s="77">
        <f>IFERROR((E64-D64)*10000,"n/a")</f>
        <v>115.2983204403174</v>
      </c>
      <c r="F66" s="77">
        <f>IFERROR((F64-E64)*10000,"n/a")</f>
        <v>-1.7946378347266645</v>
      </c>
      <c r="G66" s="77" t="s">
        <v>44</v>
      </c>
      <c r="H66" s="77">
        <f>IFERROR((H64-F64)*10000,"n/a")</f>
        <v>-21.134462226324313</v>
      </c>
      <c r="I66" s="77">
        <f>IFERROR((I64-H64)*10000,"n/a")</f>
        <v>142.58630029054032</v>
      </c>
      <c r="J66" s="78">
        <f>IFERROR((J64-I64)*10000,"n/a")</f>
        <v>-0.9523809523809268</v>
      </c>
      <c r="K66" s="4"/>
      <c r="L66" s="3"/>
      <c r="M66" s="3"/>
    </row>
    <row r="67">
      <c r="A67" s="3"/>
      <c r="B67" s="15" t="s">
        <v>180</v>
      </c>
      <c r="C67" s="21">
        <f>C55-C61</f>
        <v>351</v>
      </c>
      <c r="D67" s="21">
        <f>D55-D61</f>
        <v>545</v>
      </c>
      <c r="E67" s="21">
        <f>E55-E61</f>
        <v>523</v>
      </c>
      <c r="F67" s="21">
        <f>F55-F61</f>
        <v>725</v>
      </c>
      <c r="G67" s="21">
        <f>SUM(C67:F67)</f>
        <v>2144</v>
      </c>
      <c r="H67" s="21">
        <f>H55-H61</f>
        <v>431</v>
      </c>
      <c r="I67" s="21">
        <f>I55-I61</f>
        <v>620</v>
      </c>
      <c r="J67" s="43">
        <f>J55-J61</f>
        <v>586.9759999999999</v>
      </c>
      <c r="K67" s="4" t="s">
        <v>181</v>
      </c>
      <c r="L67" s="3"/>
      <c r="M67" s="3"/>
    </row>
    <row r="68">
      <c r="A68" s="3"/>
      <c r="B68" s="56" t="s">
        <v>77</v>
      </c>
      <c r="C68" s="7">
        <f>IFERROR(IF(OR(C67&lt;0,C73&lt;0),"n.m.",C67/C73-1),"n/a")</f>
        <v>-0.17798594847775173</v>
      </c>
      <c r="D68" s="7">
        <f>IFERROR(IF(OR(D67&lt;0,D73&lt;0),"n.m.",D67/D73-1),"n/a")</f>
        <v>-0.009090909090909038</v>
      </c>
      <c r="E68" s="7">
        <f>IFERROR(IF(OR(E67&lt;0,E73&lt;0),"n.m.",E67/E73-1),"n/a")</f>
        <v>0.06517311608961296</v>
      </c>
      <c r="F68" s="7">
        <f>IFERROR(IF(OR(F67&lt;0,F73&lt;0),"n.m.",F67/F73-1),"n/a")</f>
        <v>0.1453396524486572</v>
      </c>
      <c r="G68" s="7">
        <f>IFERROR(IF(OR(G67&lt;0,G73&lt;0),"n.m.",G67/G73-1),"n/a")</f>
        <v>0.02046644455021429</v>
      </c>
      <c r="H68" s="7">
        <f>IFERROR(IF(OR(H67&lt;0,C67&lt;0),"n.m.",H67/C67-1),"n/a")</f>
        <v>0.22792022792022792</v>
      </c>
      <c r="I68" s="7">
        <f>IFERROR(IF(OR(I67&lt;0,D67&lt;0),"n.m.",I67/D67-1),"n/a")</f>
        <v>0.13761467889908263</v>
      </c>
      <c r="J68" s="25">
        <f>IFERROR(IF(OR(J67&lt;0,E67&lt;0),"n.m.",J67/E67-1),"n/a")</f>
        <v>0.12232504780114706</v>
      </c>
      <c r="K68" s="4"/>
      <c r="L68" s="3"/>
      <c r="M68" s="3"/>
    </row>
    <row r="69">
      <c r="A69" s="3"/>
      <c r="B69" s="29" t="s">
        <v>94</v>
      </c>
      <c r="C69" s="1" t="s">
        <v>44</v>
      </c>
      <c r="D69" s="1">
        <f>IFERROR(D67-C67,"n/a")</f>
        <v>194</v>
      </c>
      <c r="E69" s="1">
        <f>IFERROR(E67-D67,"n/a")</f>
        <v>-22</v>
      </c>
      <c r="F69" s="1">
        <f>IFERROR(F67-E67,"n/a")</f>
        <v>202</v>
      </c>
      <c r="G69" s="1" t="s">
        <v>44</v>
      </c>
      <c r="H69" s="1">
        <f>IFERROR(H67-F67,"n/a")</f>
        <v>-294</v>
      </c>
      <c r="I69" s="1">
        <f>IFERROR(I67-H67,"n/a")</f>
        <v>189</v>
      </c>
      <c r="J69" s="16">
        <f>IFERROR(J67-I67,"n/a")</f>
        <v>-33.024000000000115</v>
      </c>
      <c r="K69" s="4"/>
      <c r="L69" s="3"/>
      <c r="M69" s="3"/>
    </row>
    <row r="70">
      <c r="A70" s="3"/>
      <c r="B70" s="12" t="s">
        <v>182</v>
      </c>
      <c r="C70" s="7">
        <f>IFERROR(C67/C51,"n/a")</f>
        <v>0.21131848284166166</v>
      </c>
      <c r="D70" s="7">
        <f>IFERROR(D67/D51,"n/a")</f>
        <v>0.21389324960753534</v>
      </c>
      <c r="E70" s="7">
        <f>IFERROR(E67/E51,"n/a")</f>
        <v>0.19691265060240964</v>
      </c>
      <c r="F70" s="7">
        <f>IFERROR(F67/F51,"n/a")</f>
        <v>0.1967969598262758</v>
      </c>
      <c r="G70" s="7">
        <f>IFERROR(G67/G51,"n/a")</f>
        <v>0.20324201346099155</v>
      </c>
      <c r="H70" s="7">
        <f>IFERROR(H67/H51,"n/a")</f>
        <v>0.22285418821096173</v>
      </c>
      <c r="I70" s="7">
        <f>IFERROR(I67/I51,"n/a")</f>
        <v>0.2108843537414966</v>
      </c>
      <c r="J70" s="25">
        <f>IFERROR(J67/J51,"n/a")</f>
        <v>0.19999999999999996</v>
      </c>
      <c r="K70" s="4"/>
      <c r="L70" s="3"/>
      <c r="M70" s="3"/>
    </row>
    <row r="71">
      <c r="A71" s="3"/>
      <c r="B71" s="56" t="s">
        <v>109</v>
      </c>
      <c r="C71" s="77">
        <f>IFERROR((C70-C74)*10000,"n/a")</f>
        <v>-146.0744308426426</v>
      </c>
      <c r="D71" s="77">
        <f>IFERROR((D70-D74)*10000,"n/a")</f>
        <v>138.2049587890674</v>
      </c>
      <c r="E71" s="77">
        <f>IFERROR((E70-E74)*10000,"n/a")</f>
        <v>91.49744292658218</v>
      </c>
      <c r="F71" s="77">
        <f>IFERROR((F70-F74)*10000,"n/a")</f>
        <v>57.89114322353045</v>
      </c>
      <c r="G71" s="77">
        <f>IFERROR((G70-G74)*10000,"n/a")</f>
        <v>44.34292037827275</v>
      </c>
      <c r="H71" s="77">
        <f>IFERROR((H70-C70)*10000,"n/a")</f>
        <v>115.3570536930007</v>
      </c>
      <c r="I71" s="77">
        <f>IFERROR((I70-D70)*10000,"n/a")</f>
        <v>-30.088958660387245</v>
      </c>
      <c r="J71" s="78">
        <f>IFERROR((J70-E70)*10000,"n/a")</f>
        <v>30.87349397590311</v>
      </c>
      <c r="K71" s="4"/>
      <c r="L71" s="3"/>
      <c r="M71" s="3"/>
    </row>
    <row r="72">
      <c r="A72" s="3"/>
      <c r="B72" s="56" t="s">
        <v>110</v>
      </c>
      <c r="C72" s="77" t="s">
        <v>44</v>
      </c>
      <c r="D72" s="77">
        <f>IFERROR((D70-C70)*10000,"n/a")</f>
        <v>25.747667658736763</v>
      </c>
      <c r="E72" s="77">
        <f>IFERROR((E70-D70)*10000,"n/a")</f>
        <v>-169.8059900512569</v>
      </c>
      <c r="F72" s="77">
        <f>IFERROR((F70-E70)*10000,"n/a")</f>
        <v>-1.1569077613385326</v>
      </c>
      <c r="G72" s="77" t="s">
        <v>44</v>
      </c>
      <c r="H72" s="77">
        <f>IFERROR((H70-F70)*10000,"n/a")</f>
        <v>260.57228384685936</v>
      </c>
      <c r="I72" s="77">
        <f>IFERROR((I70-H70)*10000,"n/a")</f>
        <v>-119.69834469465118</v>
      </c>
      <c r="J72" s="78">
        <f>IFERROR((J70-I70)*10000,"n/a")</f>
        <v>-108.84353741496655</v>
      </c>
      <c r="K72" s="4"/>
      <c r="L72" s="3"/>
      <c r="M72" s="3"/>
    </row>
    <row r="73">
      <c r="A73" s="3"/>
      <c r="B73" s="3" t="s">
        <v>183</v>
      </c>
      <c r="C73" s="19">
        <v>427</v>
      </c>
      <c r="D73" s="19">
        <v>550</v>
      </c>
      <c r="E73" s="19">
        <v>491</v>
      </c>
      <c r="F73" s="19">
        <v>633</v>
      </c>
      <c r="G73" s="1">
        <f>SUM(C73:F73)</f>
        <v>2101</v>
      </c>
      <c r="H73" s="1">
        <f>C67</f>
        <v>351</v>
      </c>
      <c r="I73" s="1">
        <f>D67</f>
        <v>545</v>
      </c>
      <c r="J73" s="16">
        <f>E67</f>
        <v>523</v>
      </c>
      <c r="K73" s="4" t="s">
        <v>184</v>
      </c>
      <c r="L73" s="3"/>
      <c r="M73" s="3"/>
    </row>
    <row r="74">
      <c r="A74" s="3"/>
      <c r="B74" s="56" t="s">
        <v>185</v>
      </c>
      <c r="C74" s="115">
        <f>IFERROR(C73/C10,"n/a")</f>
        <v>0.22592592592592592</v>
      </c>
      <c r="D74" s="115">
        <f>IFERROR(D73/D10,"n/a")</f>
        <v>0.2000727537286286</v>
      </c>
      <c r="E74" s="115">
        <f>IFERROR(E73/E10,"n/a")</f>
        <v>0.18776290630975143</v>
      </c>
      <c r="F74" s="115">
        <f>IFERROR(F73/F10,"n/a")</f>
        <v>0.19100784550392275</v>
      </c>
      <c r="G74" s="115">
        <f>IFERROR(G73/G10,"n/a")</f>
        <v>0.19880772142316427</v>
      </c>
      <c r="H74" s="7">
        <f>IFERROR(H73/H10,"n/a")</f>
        <v>0.21131848284166166</v>
      </c>
      <c r="I74" s="7">
        <f>IFERROR(I73/I10,"n/a")</f>
        <v>0.21389324960753534</v>
      </c>
      <c r="J74" s="25">
        <f>IFERROR(J73/J10,"n/a")</f>
        <v>0.19691265060240964</v>
      </c>
      <c r="K74" s="4"/>
      <c r="L74" s="3"/>
      <c r="M74" s="3"/>
    </row>
    <row r="75">
      <c r="A75" s="3"/>
      <c r="B75" s="3" t="s">
        <v>186</v>
      </c>
      <c r="C75" s="19">
        <v>-66</v>
      </c>
      <c r="D75" s="19">
        <v>-93</v>
      </c>
      <c r="E75" s="19">
        <v>-11</v>
      </c>
      <c r="F75" s="19">
        <v>53</v>
      </c>
      <c r="G75" s="1">
        <f>SUM(C75:F75)</f>
        <v>-117</v>
      </c>
      <c r="H75" s="19">
        <v>56</v>
      </c>
      <c r="I75" s="19">
        <v>70</v>
      </c>
      <c r="J75" s="16">
        <f>J73*J26</f>
        <v>28.765</v>
      </c>
      <c r="K75" s="4" t="s">
        <v>187</v>
      </c>
      <c r="L75" s="3"/>
      <c r="M75" s="3"/>
    </row>
    <row r="76">
      <c r="A76" s="3"/>
      <c r="B76" s="15" t="s">
        <v>188</v>
      </c>
      <c r="C76" s="21">
        <f>C67-C75</f>
        <v>417</v>
      </c>
      <c r="D76" s="21">
        <f>D67-D75</f>
        <v>638</v>
      </c>
      <c r="E76" s="21">
        <f>E67-E75</f>
        <v>534</v>
      </c>
      <c r="F76" s="21">
        <f>F67-F75</f>
        <v>672</v>
      </c>
      <c r="G76" s="21">
        <f>G67-G75</f>
        <v>2261</v>
      </c>
      <c r="H76" s="21">
        <f>H67-H75</f>
        <v>375</v>
      </c>
      <c r="I76" s="21">
        <f>I67-I75</f>
        <v>550</v>
      </c>
      <c r="J76" s="43">
        <f>J67-J75</f>
        <v>558.2109999999999</v>
      </c>
      <c r="K76" s="4"/>
      <c r="L76" s="3"/>
      <c r="M76" s="3"/>
    </row>
    <row r="77">
      <c r="A77" s="3"/>
      <c r="B77" s="56" t="s">
        <v>189</v>
      </c>
      <c r="C77" s="7">
        <f>IFERROR(IF(OR(C76&lt;0,C73&lt;0),"n.m.",C76/C73-1),"n/a")</f>
        <v>-0.023419203747072626</v>
      </c>
      <c r="D77" s="7">
        <f>IFERROR(IF(OR(D76&lt;0,D73&lt;0),"n.m.",D76/D73-1),"n/a")</f>
        <v>0.15999999999999992</v>
      </c>
      <c r="E77" s="7">
        <f>IFERROR(IF(OR(E76&lt;0,E73&lt;0),"n.m.",E76/E73-1),"n/a")</f>
        <v>0.08757637474541746</v>
      </c>
      <c r="F77" s="7">
        <f>IFERROR(IF(OR(F76&lt;0,F73&lt;0),"n.m.",F76/F73-1),"n/a")</f>
        <v>0.06161137440758302</v>
      </c>
      <c r="G77" s="7">
        <f>IFERROR(IF(OR(G76&lt;0,G73&lt;0),"n.m.",G76/G73-1),"n/a")</f>
        <v>0.07615421227986663</v>
      </c>
      <c r="H77" s="7">
        <f>IFERROR(IF(OR(H76&lt;0,H73&lt;0),"n.m.",H76/H73-1),"n/a")</f>
        <v>0.06837606837606836</v>
      </c>
      <c r="I77" s="7">
        <f>IFERROR(IF(OR(I76&lt;0,I73&lt;0),"n.m.",I76/I73-1),"n/a")</f>
        <v>0.00917431192660545</v>
      </c>
      <c r="J77" s="25">
        <f>IFERROR(IF(OR(J76&lt;0,J73&lt;0),"n.m.",J76/J73-1),"n/a")</f>
        <v>0.06732504780114712</v>
      </c>
      <c r="K77" s="4"/>
      <c r="L77" s="3"/>
      <c r="M77" s="3"/>
    </row>
    <row r="78">
      <c r="A78" s="3"/>
      <c r="B78" s="3"/>
      <c r="C78" s="1"/>
      <c r="D78" s="1"/>
      <c r="E78" s="1"/>
      <c r="F78" s="1"/>
      <c r="G78" s="1"/>
      <c r="H78" s="1"/>
      <c r="I78" s="1"/>
      <c r="J78" s="16"/>
      <c r="K78" s="4"/>
      <c r="L78" s="3"/>
      <c r="M78" s="3"/>
    </row>
    <row r="79">
      <c r="A79" s="3"/>
      <c r="B79" s="15" t="s">
        <v>190</v>
      </c>
      <c r="C79" s="5"/>
      <c r="D79" s="5"/>
      <c r="E79" s="5"/>
      <c r="F79" s="5"/>
      <c r="G79" s="5"/>
      <c r="H79" s="5"/>
      <c r="I79" s="5"/>
      <c r="J79" s="22"/>
      <c r="K79" s="4"/>
      <c r="L79" s="3"/>
      <c r="M79" s="3"/>
    </row>
    <row r="80">
      <c r="A80" s="3"/>
      <c r="B80" s="29" t="s">
        <v>191</v>
      </c>
      <c r="C80" s="19">
        <v>7</v>
      </c>
      <c r="D80" s="19">
        <v>12</v>
      </c>
      <c r="E80" s="19">
        <v>17</v>
      </c>
      <c r="F80" s="19">
        <v>16</v>
      </c>
      <c r="G80" s="1">
        <f>SUM(C80:F80)</f>
        <v>52</v>
      </c>
      <c r="H80" s="19">
        <v>3</v>
      </c>
      <c r="I80" s="19">
        <v>4</v>
      </c>
      <c r="J80" s="16">
        <f>AVERAGE(H80:I80)</f>
        <v>3.5</v>
      </c>
      <c r="K80" s="4" t="s">
        <v>192</v>
      </c>
      <c r="L80" s="3"/>
      <c r="M80" s="3"/>
    </row>
    <row r="81">
      <c r="A81" s="3"/>
      <c r="B81" s="49" t="s">
        <v>77</v>
      </c>
      <c r="C81" s="7" t="s">
        <v>44</v>
      </c>
      <c r="D81" s="7" t="s">
        <v>44</v>
      </c>
      <c r="E81" s="7" t="s">
        <v>44</v>
      </c>
      <c r="F81" s="7" t="s">
        <v>44</v>
      </c>
      <c r="G81" s="7" t="s">
        <v>44</v>
      </c>
      <c r="H81" s="7">
        <f>IFERROR(IF(OR(H80&lt;0,C80&lt;0),"n.m.",H80/C80-1),"n/a")</f>
        <v>-0.5714285714285714</v>
      </c>
      <c r="I81" s="7">
        <f>IFERROR(IF(OR(I80&lt;0,D80&lt;0),"n.m.",I80/D80-1),"n/a")</f>
        <v>-0.6666666666666667</v>
      </c>
      <c r="J81" s="25">
        <f>IFERROR(IF(OR(J80&lt;0,E80&lt;0),"n.m.",J80/E80-1),"n/a")</f>
        <v>-0.7941176470588236</v>
      </c>
      <c r="K81" s="4"/>
      <c r="L81" s="3"/>
      <c r="M81" s="3"/>
    </row>
    <row r="82">
      <c r="A82" s="3"/>
      <c r="B82" s="63" t="s">
        <v>94</v>
      </c>
      <c r="C82" s="1" t="s">
        <v>44</v>
      </c>
      <c r="D82" s="1">
        <f>IFERROR(D80-C80,"n/a")</f>
        <v>5</v>
      </c>
      <c r="E82" s="1">
        <f>IFERROR(E80-D80,"n/a")</f>
        <v>5</v>
      </c>
      <c r="F82" s="1">
        <f>IFERROR(F80-E80,"n/a")</f>
        <v>-1</v>
      </c>
      <c r="G82" s="1" t="s">
        <v>44</v>
      </c>
      <c r="H82" s="1">
        <f>IFERROR(H80-F80,"n/a")</f>
        <v>-13</v>
      </c>
      <c r="I82" s="1">
        <f>IFERROR(I80-H80,"n/a")</f>
        <v>1</v>
      </c>
      <c r="J82" s="16">
        <f>IFERROR(J80-I80,"n/a")</f>
        <v>-0.5</v>
      </c>
      <c r="K82" s="4"/>
      <c r="L82" s="3"/>
      <c r="M82" s="3"/>
    </row>
    <row r="83">
      <c r="A83" s="3"/>
      <c r="B83" s="29" t="s">
        <v>193</v>
      </c>
      <c r="C83" s="19">
        <v>0</v>
      </c>
      <c r="D83" s="19">
        <v>0</v>
      </c>
      <c r="E83" s="19">
        <v>0</v>
      </c>
      <c r="F83" s="19">
        <v>0</v>
      </c>
      <c r="G83" s="1">
        <f>SUM(C83:F83)</f>
        <v>0</v>
      </c>
      <c r="H83" s="19">
        <v>0</v>
      </c>
      <c r="I83" s="19">
        <v>0</v>
      </c>
      <c r="J83" s="51">
        <v>0</v>
      </c>
      <c r="K83" s="4" t="s">
        <v>194</v>
      </c>
      <c r="L83" s="3"/>
      <c r="M83" s="3"/>
    </row>
    <row r="84">
      <c r="A84" s="3"/>
      <c r="B84" s="29" t="s">
        <v>195</v>
      </c>
      <c r="C84" s="19">
        <v>0</v>
      </c>
      <c r="D84" s="19">
        <v>0</v>
      </c>
      <c r="E84" s="19">
        <v>0</v>
      </c>
      <c r="F84" s="19">
        <v>0</v>
      </c>
      <c r="G84" s="1">
        <f>SUM(C84:F84)</f>
        <v>0</v>
      </c>
      <c r="H84" s="19">
        <v>0</v>
      </c>
      <c r="I84" s="19">
        <v>0</v>
      </c>
      <c r="J84" s="51">
        <v>0</v>
      </c>
      <c r="K84" s="4" t="s">
        <v>194</v>
      </c>
      <c r="L84" s="3"/>
      <c r="M84" s="3"/>
    </row>
    <row r="85">
      <c r="A85" s="3"/>
      <c r="B85" s="29" t="s">
        <v>196</v>
      </c>
      <c r="C85" s="19">
        <v>0</v>
      </c>
      <c r="D85" s="19">
        <v>0</v>
      </c>
      <c r="E85" s="19">
        <v>82</v>
      </c>
      <c r="F85" s="19">
        <v>0</v>
      </c>
      <c r="G85" s="1">
        <f>SUM(C85:F85)</f>
        <v>82</v>
      </c>
      <c r="H85" s="19">
        <v>0</v>
      </c>
      <c r="I85" s="19">
        <v>0</v>
      </c>
      <c r="J85" s="51">
        <v>0</v>
      </c>
      <c r="K85" s="4" t="s">
        <v>194</v>
      </c>
      <c r="L85" s="3"/>
      <c r="M85" s="3"/>
    </row>
    <row r="86">
      <c r="A86" s="3"/>
      <c r="B86" s="29" t="s">
        <v>197</v>
      </c>
      <c r="C86" s="19">
        <v>0</v>
      </c>
      <c r="D86" s="19">
        <v>0</v>
      </c>
      <c r="E86" s="19">
        <v>0</v>
      </c>
      <c r="F86" s="19">
        <v>0</v>
      </c>
      <c r="G86" s="1">
        <f>SUM(C86:F86)</f>
        <v>0</v>
      </c>
      <c r="H86" s="19">
        <v>0</v>
      </c>
      <c r="I86" s="19">
        <v>0</v>
      </c>
      <c r="J86" s="51">
        <v>0</v>
      </c>
      <c r="K86" s="4" t="s">
        <v>194</v>
      </c>
      <c r="L86" s="3"/>
      <c r="M86" s="3"/>
    </row>
    <row r="87">
      <c r="A87" s="3"/>
      <c r="B87" s="15" t="s">
        <v>198</v>
      </c>
      <c r="C87" s="21">
        <f>C80+C83+C84+C85+C86</f>
        <v>7</v>
      </c>
      <c r="D87" s="21">
        <f>D80+D83+D84+D85+D86</f>
        <v>12</v>
      </c>
      <c r="E87" s="21">
        <f>E80+E83+E84+E85+E86</f>
        <v>99</v>
      </c>
      <c r="F87" s="21">
        <f>F80+F83+F84+F85+F86</f>
        <v>16</v>
      </c>
      <c r="G87" s="21">
        <f>G80+G83+G84+G85+G86</f>
        <v>134</v>
      </c>
      <c r="H87" s="21">
        <f>H80+H83+H84+H85+H86</f>
        <v>3</v>
      </c>
      <c r="I87" s="21">
        <f>I80+I83+I84+I85+I86</f>
        <v>4</v>
      </c>
      <c r="J87" s="43">
        <f>J80+J83+J84+J85+J86</f>
        <v>3.5</v>
      </c>
      <c r="K87" s="4"/>
      <c r="L87" s="3"/>
      <c r="M87" s="3"/>
    </row>
    <row r="88">
      <c r="A88" s="3"/>
      <c r="B88" s="15" t="s">
        <v>199</v>
      </c>
      <c r="C88" s="21">
        <f>C67-C87</f>
        <v>344</v>
      </c>
      <c r="D88" s="21">
        <f>D67-D87</f>
        <v>533</v>
      </c>
      <c r="E88" s="21">
        <f>E67-E87</f>
        <v>424</v>
      </c>
      <c r="F88" s="21">
        <f>F67-F87</f>
        <v>709</v>
      </c>
      <c r="G88" s="21">
        <f>G67-G87</f>
        <v>2010</v>
      </c>
      <c r="H88" s="21">
        <f>H67-H87</f>
        <v>428</v>
      </c>
      <c r="I88" s="21">
        <f>I67-I87</f>
        <v>616</v>
      </c>
      <c r="J88" s="43">
        <f>J67-J87</f>
        <v>583.4759999999999</v>
      </c>
      <c r="K88" s="4"/>
      <c r="L88" s="3"/>
      <c r="M88" s="3"/>
    </row>
    <row r="89">
      <c r="A89" s="3"/>
      <c r="B89" s="56" t="s">
        <v>77</v>
      </c>
      <c r="C89" s="7" t="s">
        <v>44</v>
      </c>
      <c r="D89" s="7" t="s">
        <v>44</v>
      </c>
      <c r="E89" s="7" t="s">
        <v>44</v>
      </c>
      <c r="F89" s="7" t="s">
        <v>44</v>
      </c>
      <c r="G89" s="7" t="s">
        <v>44</v>
      </c>
      <c r="H89" s="7">
        <f>IFERROR(IF(OR(H88&lt;0,C88&lt;0),"n.m.",H88/C88-1),"n/a")</f>
        <v>0.2441860465116279</v>
      </c>
      <c r="I89" s="7">
        <f>IFERROR(IF(OR(I88&lt;0,D88&lt;0),"n.m.",I88/D88-1),"n/a")</f>
        <v>0.15572232645403372</v>
      </c>
      <c r="J89" s="25">
        <f>IFERROR(IF(OR(J88&lt;0,E88&lt;0),"n.m.",J88/E88-1),"n/a")</f>
        <v>0.37612264150943364</v>
      </c>
      <c r="K89" s="4"/>
      <c r="L89" s="3"/>
      <c r="M89" s="3"/>
    </row>
    <row r="90">
      <c r="A90" s="3"/>
      <c r="B90" s="29" t="s">
        <v>94</v>
      </c>
      <c r="C90" s="1" t="s">
        <v>44</v>
      </c>
      <c r="D90" s="1">
        <f>IFERROR(D88-C88,"n/a")</f>
        <v>189</v>
      </c>
      <c r="E90" s="1">
        <f>IFERROR(E88-D88,"n/a")</f>
        <v>-109</v>
      </c>
      <c r="F90" s="1">
        <f>IFERROR(F88-E88,"n/a")</f>
        <v>285</v>
      </c>
      <c r="G90" s="1" t="s">
        <v>44</v>
      </c>
      <c r="H90" s="1">
        <f>IFERROR(H88-F88,"n/a")</f>
        <v>-281</v>
      </c>
      <c r="I90" s="1">
        <f>IFERROR(I88-H88,"n/a")</f>
        <v>188</v>
      </c>
      <c r="J90" s="16">
        <f>IFERROR(J88-I88,"n/a")</f>
        <v>-32.524000000000115</v>
      </c>
      <c r="K90" s="4"/>
      <c r="L90" s="3"/>
      <c r="M90" s="3"/>
    </row>
    <row r="91">
      <c r="A91" s="3"/>
      <c r="B91" s="12" t="s">
        <v>200</v>
      </c>
      <c r="C91" s="7">
        <f>IFERROR(C88/C51,"n/a")</f>
        <v>0.20710415412402167</v>
      </c>
      <c r="D91" s="7">
        <f>IFERROR(D88/D51,"n/a")</f>
        <v>0.20918367346938777</v>
      </c>
      <c r="E91" s="7">
        <f>IFERROR(E88/E51,"n/a")</f>
        <v>0.15963855421686746</v>
      </c>
      <c r="F91" s="7">
        <f>IFERROR(F88/F51,"n/a")</f>
        <v>0.19245385450597177</v>
      </c>
      <c r="G91" s="7">
        <f>IFERROR(G88/G51,"n/a")</f>
        <v>0.1905393876196796</v>
      </c>
      <c r="H91" s="7">
        <f>IFERROR(H88/H51,"n/a")</f>
        <v>0.22130299896587383</v>
      </c>
      <c r="I91" s="7">
        <f>IFERROR(I88/I51,"n/a")</f>
        <v>0.20952380952380953</v>
      </c>
      <c r="J91" s="25">
        <f>IFERROR(J88/J51,"n/a")</f>
        <v>0.19880744698250008</v>
      </c>
      <c r="K91" s="4"/>
      <c r="L91" s="3"/>
      <c r="M91" s="3"/>
    </row>
    <row r="92">
      <c r="A92" s="3"/>
      <c r="B92" s="56" t="s">
        <v>109</v>
      </c>
      <c r="C92" s="77" t="s">
        <v>44</v>
      </c>
      <c r="D92" s="77" t="s">
        <v>44</v>
      </c>
      <c r="E92" s="77" t="s">
        <v>44</v>
      </c>
      <c r="F92" s="77" t="s">
        <v>44</v>
      </c>
      <c r="G92" s="77" t="s">
        <v>44</v>
      </c>
      <c r="H92" s="77">
        <f>IFERROR((H91-C91)*10000,"n/a")</f>
        <v>141.98844841852159</v>
      </c>
      <c r="I92" s="77">
        <f>IFERROR((I91-D91)*10000,"n/a")</f>
        <v>3.4013605442176353</v>
      </c>
      <c r="J92" s="78">
        <f>IFERROR((J91-E91)*10000,"n/a")</f>
        <v>391.68892765632626</v>
      </c>
      <c r="K92" s="4"/>
      <c r="L92" s="3"/>
      <c r="M92" s="3"/>
    </row>
    <row r="93">
      <c r="A93" s="3"/>
      <c r="B93" s="56" t="s">
        <v>110</v>
      </c>
      <c r="C93" s="77" t="s">
        <v>44</v>
      </c>
      <c r="D93" s="77">
        <f>IFERROR((D91-C91)*10000,"n/a")</f>
        <v>20.795193453660985</v>
      </c>
      <c r="E93" s="77">
        <f>IFERROR((E91-D91)*10000,"n/a")</f>
        <v>-495.4511925252031</v>
      </c>
      <c r="F93" s="77">
        <f>IFERROR((F91-E91)*10000,"n/a")</f>
        <v>328.1530028910432</v>
      </c>
      <c r="G93" s="77" t="s">
        <v>44</v>
      </c>
      <c r="H93" s="77">
        <f>IFERROR((H91-F91)*10000,"n/a")</f>
        <v>288.49144459902055</v>
      </c>
      <c r="I93" s="77">
        <f>IFERROR((I91-H91)*10000,"n/a")</f>
        <v>-117.79189442064298</v>
      </c>
      <c r="J93" s="78">
        <f>IFERROR((J91-I91)*10000,"n/a")</f>
        <v>-107.1636254130945</v>
      </c>
      <c r="K93" s="4"/>
      <c r="L93" s="3"/>
      <c r="M93" s="3"/>
    </row>
    <row r="94">
      <c r="A94" s="3"/>
      <c r="B94" s="3" t="s">
        <v>201</v>
      </c>
      <c r="C94" s="19">
        <v>344</v>
      </c>
      <c r="D94" s="19">
        <v>533</v>
      </c>
      <c r="E94" s="19">
        <v>424</v>
      </c>
      <c r="F94" s="19">
        <v>709</v>
      </c>
      <c r="G94" s="19">
        <v>2010</v>
      </c>
      <c r="H94" s="19">
        <v>428</v>
      </c>
      <c r="I94" s="19">
        <v>616</v>
      </c>
      <c r="J94" s="16" t="s">
        <v>44</v>
      </c>
      <c r="K94" s="4" t="s">
        <v>202</v>
      </c>
      <c r="L94" s="3"/>
      <c r="M94" s="3"/>
    </row>
    <row r="95">
      <c r="A95" s="3"/>
      <c r="B95" s="12" t="s">
        <v>203</v>
      </c>
      <c r="C95" s="52">
        <f>C88-C94</f>
        <v>0</v>
      </c>
      <c r="D95" s="52">
        <f>D88-D94</f>
        <v>0</v>
      </c>
      <c r="E95" s="52">
        <f>E88-E94</f>
        <v>0</v>
      </c>
      <c r="F95" s="52">
        <f>F88-F94</f>
        <v>0</v>
      </c>
      <c r="G95" s="52">
        <f>G88-G94</f>
        <v>0</v>
      </c>
      <c r="H95" s="52">
        <f>H88-H94</f>
        <v>0</v>
      </c>
      <c r="I95" s="52">
        <f>I88-I94</f>
        <v>0</v>
      </c>
      <c r="J95" s="62" t="s">
        <v>44</v>
      </c>
      <c r="K95" s="4"/>
      <c r="L95" s="3"/>
      <c r="M95" s="3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M95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216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141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3" t="s">
        <v>142</v>
      </c>
      <c r="C10" s="19">
        <v>1045</v>
      </c>
      <c r="D10" s="19">
        <v>997</v>
      </c>
      <c r="E10" s="19">
        <v>1091</v>
      </c>
      <c r="F10" s="19">
        <v>1416</v>
      </c>
      <c r="G10" s="1">
        <f>SUM(C10:F10)</f>
        <v>4549</v>
      </c>
      <c r="H10" s="1">
        <f>C33</f>
        <v>1022</v>
      </c>
      <c r="I10" s="1">
        <f>D33</f>
        <v>1002</v>
      </c>
      <c r="J10" s="16">
        <f>E33</f>
        <v>1115</v>
      </c>
      <c r="K10" s="4" t="s">
        <v>143</v>
      </c>
      <c r="L10" s="3"/>
      <c r="M10" s="3"/>
    </row>
    <row r="11">
      <c r="A11" s="3"/>
      <c r="B11" s="29" t="s">
        <v>144</v>
      </c>
      <c r="C11" s="19">
        <v>0</v>
      </c>
      <c r="D11" s="19">
        <v>0</v>
      </c>
      <c r="E11" s="19">
        <v>0</v>
      </c>
      <c r="F11" s="19">
        <v>0</v>
      </c>
      <c r="G11" s="1">
        <f>SUM(C11:F11)</f>
        <v>0</v>
      </c>
      <c r="H11" s="19">
        <v>0</v>
      </c>
      <c r="I11" s="19">
        <v>0</v>
      </c>
      <c r="J11" s="16">
        <f>AVERAGE(H11:I11)</f>
        <v>0</v>
      </c>
      <c r="K11" s="4" t="s">
        <v>145</v>
      </c>
      <c r="L11" s="3"/>
      <c r="M11" s="3"/>
    </row>
    <row r="12">
      <c r="A12" s="3"/>
      <c r="B12" s="15" t="s">
        <v>146</v>
      </c>
      <c r="C12" s="21">
        <f>C10+C11</f>
        <v>1045</v>
      </c>
      <c r="D12" s="21">
        <f>D10+D11</f>
        <v>997</v>
      </c>
      <c r="E12" s="21">
        <f>E10+E11</f>
        <v>1091</v>
      </c>
      <c r="F12" s="21">
        <f>F10+F11</f>
        <v>1416</v>
      </c>
      <c r="G12" s="21">
        <f>G10+G11</f>
        <v>4549</v>
      </c>
      <c r="H12" s="21">
        <f>H10+H11</f>
        <v>1022</v>
      </c>
      <c r="I12" s="21">
        <f>I10+I11</f>
        <v>1002</v>
      </c>
      <c r="J12" s="43">
        <f>J10+J11</f>
        <v>1115</v>
      </c>
      <c r="K12" s="4"/>
      <c r="L12" s="3"/>
      <c r="M12" s="3"/>
    </row>
    <row r="13">
      <c r="A13" s="3"/>
      <c r="B13" s="12" t="s">
        <v>147</v>
      </c>
      <c r="C13" s="9">
        <v>0.035</v>
      </c>
      <c r="D13" s="9">
        <v>0.06</v>
      </c>
      <c r="E13" s="9">
        <v>0.04</v>
      </c>
      <c r="F13" s="9">
        <v>0.05</v>
      </c>
      <c r="G13" s="9">
        <v>0.05</v>
      </c>
      <c r="H13" s="9">
        <v>0.1</v>
      </c>
      <c r="I13" s="9">
        <v>0.1</v>
      </c>
      <c r="J13" s="79">
        <v>0.07</v>
      </c>
      <c r="K13" s="4" t="s">
        <v>148</v>
      </c>
      <c r="L13" s="3"/>
      <c r="M13" s="3"/>
    </row>
    <row r="14">
      <c r="A14" s="3"/>
      <c r="B14" s="56" t="s">
        <v>109</v>
      </c>
      <c r="C14" s="77" t="s">
        <v>44</v>
      </c>
      <c r="D14" s="77" t="s">
        <v>44</v>
      </c>
      <c r="E14" s="77" t="s">
        <v>44</v>
      </c>
      <c r="F14" s="77" t="s">
        <v>44</v>
      </c>
      <c r="G14" s="77" t="s">
        <v>44</v>
      </c>
      <c r="H14" s="77">
        <f>IFERROR((H13-C13)*10000,"n/a")</f>
        <v>650</v>
      </c>
      <c r="I14" s="77">
        <f>IFERROR((I13-D13)*10000,"n/a")</f>
        <v>400.00000000000006</v>
      </c>
      <c r="J14" s="78">
        <f>IFERROR((J13-E13)*10000,"n/a")</f>
        <v>300.00000000000006</v>
      </c>
      <c r="K14" s="4"/>
      <c r="L14" s="3"/>
      <c r="M14" s="3"/>
    </row>
    <row r="15">
      <c r="A15" s="3"/>
      <c r="B15" s="56" t="s">
        <v>110</v>
      </c>
      <c r="C15" s="77" t="s">
        <v>44</v>
      </c>
      <c r="D15" s="77">
        <f>IFERROR((D13-C13)*10000,"n/a")</f>
        <v>249.99999999999994</v>
      </c>
      <c r="E15" s="77">
        <f>IFERROR((E13-D13)*10000,"n/a")</f>
        <v>-199.99999999999997</v>
      </c>
      <c r="F15" s="77">
        <f>IFERROR((F13-E13)*10000,"n/a")</f>
        <v>100.00000000000001</v>
      </c>
      <c r="G15" s="77" t="s">
        <v>44</v>
      </c>
      <c r="H15" s="77">
        <f>IFERROR((H13-F13)*10000,"n/a")</f>
        <v>500</v>
      </c>
      <c r="I15" s="77">
        <f>IFERROR((I13-H13)*10000,"n/a")</f>
        <v>0</v>
      </c>
      <c r="J15" s="78">
        <f>IFERROR((J13-I13)*10000,"n/a")</f>
        <v>-300</v>
      </c>
      <c r="K15" s="4"/>
      <c r="L15" s="3"/>
      <c r="M15" s="3"/>
    </row>
    <row r="16">
      <c r="A16" s="3"/>
      <c r="B16" s="12" t="s">
        <v>149</v>
      </c>
      <c r="C16" s="9">
        <v>-0.04</v>
      </c>
      <c r="D16" s="9">
        <v>-0.06</v>
      </c>
      <c r="E16" s="9">
        <v>-0.03</v>
      </c>
      <c r="F16" s="9">
        <v>0</v>
      </c>
      <c r="G16" s="9">
        <v>-0.03</v>
      </c>
      <c r="H16" s="9">
        <v>-0.02</v>
      </c>
      <c r="I16" s="9">
        <v>-0.01</v>
      </c>
      <c r="J16" s="79">
        <v>-0.01</v>
      </c>
      <c r="K16" s="4" t="s">
        <v>150</v>
      </c>
      <c r="L16" s="3"/>
      <c r="M16" s="3"/>
    </row>
    <row r="17">
      <c r="A17" s="3"/>
      <c r="B17" s="56" t="s">
        <v>109</v>
      </c>
      <c r="C17" s="77" t="s">
        <v>44</v>
      </c>
      <c r="D17" s="77" t="s">
        <v>44</v>
      </c>
      <c r="E17" s="77" t="s">
        <v>44</v>
      </c>
      <c r="F17" s="77" t="s">
        <v>44</v>
      </c>
      <c r="G17" s="77" t="s">
        <v>44</v>
      </c>
      <c r="H17" s="77">
        <f>IFERROR((H16-C16)*10000,"n/a")</f>
        <v>200</v>
      </c>
      <c r="I17" s="77">
        <f>IFERROR((I16-D16)*10000,"n/a")</f>
        <v>499.99999999999994</v>
      </c>
      <c r="J17" s="78">
        <f>IFERROR((J16-E16)*10000,"n/a")</f>
        <v>199.99999999999997</v>
      </c>
      <c r="K17" s="4"/>
      <c r="L17" s="3"/>
      <c r="M17" s="3"/>
    </row>
    <row r="18">
      <c r="A18" s="3"/>
      <c r="B18" s="56" t="s">
        <v>110</v>
      </c>
      <c r="C18" s="77" t="s">
        <v>44</v>
      </c>
      <c r="D18" s="77">
        <f>IFERROR((D16-C16)*10000,"n/a")</f>
        <v>-199.99999999999997</v>
      </c>
      <c r="E18" s="77">
        <f>IFERROR((E16-D16)*10000,"n/a")</f>
        <v>300</v>
      </c>
      <c r="F18" s="77">
        <f>IFERROR((F16-E16)*10000,"n/a")</f>
        <v>300</v>
      </c>
      <c r="G18" s="77" t="s">
        <v>44</v>
      </c>
      <c r="H18" s="77">
        <f>IFERROR((H16-F16)*10000,"n/a")</f>
        <v>-200</v>
      </c>
      <c r="I18" s="77">
        <f>IFERROR((I16-H16)*10000,"n/a")</f>
        <v>100</v>
      </c>
      <c r="J18" s="78">
        <f>IFERROR((J16-I16)*10000,"n/a")</f>
        <v>0</v>
      </c>
      <c r="K18" s="4"/>
      <c r="L18" s="3"/>
      <c r="M18" s="3"/>
    </row>
    <row r="19">
      <c r="A19" s="3"/>
      <c r="B19" s="12" t="s">
        <v>151</v>
      </c>
      <c r="C19" s="9">
        <v>-0.01</v>
      </c>
      <c r="D19" s="9">
        <v>0</v>
      </c>
      <c r="E19" s="9">
        <v>0.01</v>
      </c>
      <c r="F19" s="9">
        <v>0.04</v>
      </c>
      <c r="G19" s="9">
        <v>0.015</v>
      </c>
      <c r="H19" s="9">
        <v>0.07</v>
      </c>
      <c r="I19" s="9">
        <v>0.09</v>
      </c>
      <c r="J19" s="25">
        <f>J13+J16</f>
        <v>0.060000000000000005</v>
      </c>
      <c r="K19" s="4" t="s">
        <v>152</v>
      </c>
      <c r="L19" s="3"/>
      <c r="M19" s="3"/>
    </row>
    <row r="20">
      <c r="A20" s="3"/>
      <c r="B20" s="56" t="s">
        <v>109</v>
      </c>
      <c r="C20" s="77" t="s">
        <v>44</v>
      </c>
      <c r="D20" s="77" t="s">
        <v>44</v>
      </c>
      <c r="E20" s="77" t="s">
        <v>44</v>
      </c>
      <c r="F20" s="77" t="s">
        <v>44</v>
      </c>
      <c r="G20" s="77" t="s">
        <v>44</v>
      </c>
      <c r="H20" s="77">
        <f>IFERROR((H19-C19)*10000,"n/a")</f>
        <v>800</v>
      </c>
      <c r="I20" s="77">
        <f>IFERROR((I19-D19)*10000,"n/a")</f>
        <v>900</v>
      </c>
      <c r="J20" s="78">
        <f>IFERROR((J19-E19)*10000,"n/a")</f>
        <v>500</v>
      </c>
      <c r="K20" s="4"/>
      <c r="L20" s="3"/>
      <c r="M20" s="3"/>
    </row>
    <row r="21">
      <c r="A21" s="3"/>
      <c r="B21" s="56" t="s">
        <v>110</v>
      </c>
      <c r="C21" s="77" t="s">
        <v>44</v>
      </c>
      <c r="D21" s="77">
        <f>IFERROR((D19-C19)*10000,"n/a")</f>
        <v>100</v>
      </c>
      <c r="E21" s="77">
        <f>IFERROR((E19-D19)*10000,"n/a")</f>
        <v>100</v>
      </c>
      <c r="F21" s="77">
        <f>IFERROR((F19-E19)*10000,"n/a")</f>
        <v>300</v>
      </c>
      <c r="G21" s="77" t="s">
        <v>44</v>
      </c>
      <c r="H21" s="77">
        <f>IFERROR((H19-F19)*10000,"n/a")</f>
        <v>300.00000000000006</v>
      </c>
      <c r="I21" s="77">
        <f>IFERROR((I19-H19)*10000,"n/a")</f>
        <v>199.9999999999999</v>
      </c>
      <c r="J21" s="78">
        <f>IFERROR((J19-I19)*10000,"n/a")</f>
        <v>-299.99999999999994</v>
      </c>
      <c r="K21" s="4"/>
      <c r="L21" s="3"/>
      <c r="M21" s="3"/>
    </row>
    <row r="22">
      <c r="A22" s="3"/>
      <c r="B22" s="3" t="s">
        <v>98</v>
      </c>
      <c r="C22" s="1">
        <f>C33-C25-C29</f>
        <v>1037</v>
      </c>
      <c r="D22" s="1">
        <f>D33-D25-D29</f>
        <v>999</v>
      </c>
      <c r="E22" s="1">
        <f>E33-E25-E29</f>
        <v>1104</v>
      </c>
      <c r="F22" s="1">
        <f>F33-F25-F29</f>
        <v>1478</v>
      </c>
      <c r="G22" s="1">
        <f>SUM(C22:F22)</f>
        <v>4618</v>
      </c>
      <c r="H22" s="1">
        <f>H33-H25-H29</f>
        <v>1096</v>
      </c>
      <c r="I22" s="1">
        <f>I33-I25-I29</f>
        <v>1097</v>
      </c>
      <c r="J22" s="16">
        <f>J12*(1+J19)</f>
        <v>1181.9</v>
      </c>
      <c r="K22" s="4" t="s">
        <v>153</v>
      </c>
      <c r="L22" s="3"/>
      <c r="M22" s="3"/>
    </row>
    <row r="23">
      <c r="A23" s="3"/>
      <c r="B23" s="56" t="s">
        <v>154</v>
      </c>
      <c r="C23" s="7">
        <f>IFERROR(IF(OR(C22&lt;0,C12&lt;0),"n.m.",C22/C12-1),"n/a")</f>
        <v>-0.007655502392344471</v>
      </c>
      <c r="D23" s="7">
        <f>IFERROR(IF(OR(D22&lt;0,D12&lt;0),"n.m.",D22/D12-1),"n/a")</f>
        <v>0.0020060180541625616</v>
      </c>
      <c r="E23" s="7">
        <f>IFERROR(IF(OR(E22&lt;0,E12&lt;0),"n.m.",E22/E12-1),"n/a")</f>
        <v>0.01191567369385882</v>
      </c>
      <c r="F23" s="7">
        <f>IFERROR(IF(OR(F22&lt;0,F12&lt;0),"n.m.",F22/F12-1),"n/a")</f>
        <v>0.043785310734463234</v>
      </c>
      <c r="G23" s="7">
        <f>IFERROR(IF(OR(G22&lt;0,G12&lt;0),"n.m.",G22/G12-1),"n/a")</f>
        <v>0.015168168828313844</v>
      </c>
      <c r="H23" s="7">
        <f>IFERROR(IF(OR(H22&lt;0,H12&lt;0),"n.m.",H22/H12-1),"n/a")</f>
        <v>0.07240704500978468</v>
      </c>
      <c r="I23" s="7">
        <f>IFERROR(IF(OR(I22&lt;0,I12&lt;0),"n.m.",I22/I12-1),"n/a")</f>
        <v>0.09481037924151692</v>
      </c>
      <c r="J23" s="25">
        <f>IFERROR(IF(OR(J22&lt;0,J12&lt;0),"n.m.",J22/J12-1),"n/a")</f>
        <v>0.06000000000000005</v>
      </c>
      <c r="K23" s="4"/>
      <c r="L23" s="3"/>
      <c r="M23" s="3"/>
    </row>
    <row r="24">
      <c r="A24" s="3"/>
      <c r="B24" s="29" t="s">
        <v>94</v>
      </c>
      <c r="C24" s="1" t="s">
        <v>44</v>
      </c>
      <c r="D24" s="1">
        <f>IFERROR(D22-C22,"n/a")</f>
        <v>-38</v>
      </c>
      <c r="E24" s="1">
        <f>IFERROR(E22-D22,"n/a")</f>
        <v>105</v>
      </c>
      <c r="F24" s="1">
        <f>IFERROR(F22-E22,"n/a")</f>
        <v>374</v>
      </c>
      <c r="G24" s="1" t="s">
        <v>44</v>
      </c>
      <c r="H24" s="1">
        <f>IFERROR(H22-F22,"n/a")</f>
        <v>-382</v>
      </c>
      <c r="I24" s="1">
        <f>IFERROR(I22-H22,"n/a")</f>
        <v>1</v>
      </c>
      <c r="J24" s="16">
        <f>IFERROR(J22-I22,"n/a")</f>
        <v>84.90000000000009</v>
      </c>
      <c r="K24" s="4"/>
      <c r="L24" s="3"/>
      <c r="M24" s="3"/>
    </row>
    <row r="25">
      <c r="A25" s="3"/>
      <c r="B25" s="3" t="s">
        <v>99</v>
      </c>
      <c r="C25" s="19">
        <v>-23</v>
      </c>
      <c r="D25" s="19">
        <v>-6</v>
      </c>
      <c r="E25" s="19">
        <v>3</v>
      </c>
      <c r="F25" s="19">
        <v>-6</v>
      </c>
      <c r="G25" s="1">
        <f>SUM(C25:F25)</f>
        <v>-32</v>
      </c>
      <c r="H25" s="19">
        <v>43</v>
      </c>
      <c r="I25" s="19">
        <v>27</v>
      </c>
      <c r="J25" s="16">
        <f>J10*J26</f>
        <v>22.3</v>
      </c>
      <c r="K25" s="4" t="s">
        <v>155</v>
      </c>
      <c r="L25" s="3"/>
      <c r="M25" s="3"/>
    </row>
    <row r="26">
      <c r="A26" s="3"/>
      <c r="B26" s="56" t="s">
        <v>156</v>
      </c>
      <c r="C26" s="7">
        <f>IFERROR(C25/C10,"n/a")</f>
        <v>-0.02200956937799043</v>
      </c>
      <c r="D26" s="7">
        <f>IFERROR(D25/D10,"n/a")</f>
        <v>-0.006018054162487462</v>
      </c>
      <c r="E26" s="7">
        <f>IFERROR(E25/E10,"n/a")</f>
        <v>0.002749770852428964</v>
      </c>
      <c r="F26" s="7">
        <f>IFERROR(F25/F10,"n/a")</f>
        <v>-0.00423728813559322</v>
      </c>
      <c r="G26" s="7">
        <f>IFERROR(G25/G10,"n/a")</f>
        <v>-0.007034513079797758</v>
      </c>
      <c r="H26" s="7">
        <f>IFERROR(H25/H10,"n/a")</f>
        <v>0.04207436399217221</v>
      </c>
      <c r="I26" s="7">
        <f>IFERROR(I25/I10,"n/a")</f>
        <v>0.02694610778443114</v>
      </c>
      <c r="J26" s="79">
        <v>0.02</v>
      </c>
      <c r="K26" s="4" t="s">
        <v>157</v>
      </c>
      <c r="L26" s="3"/>
      <c r="M26" s="3"/>
    </row>
    <row r="27">
      <c r="A27" s="3"/>
      <c r="B27" s="49" t="s">
        <v>109</v>
      </c>
      <c r="C27" s="77" t="s">
        <v>44</v>
      </c>
      <c r="D27" s="77" t="s">
        <v>44</v>
      </c>
      <c r="E27" s="77" t="s">
        <v>44</v>
      </c>
      <c r="F27" s="77" t="s">
        <v>44</v>
      </c>
      <c r="G27" s="77" t="s">
        <v>44</v>
      </c>
      <c r="H27" s="77">
        <f>IFERROR((H26-C26)*10000,"n/a")</f>
        <v>640.8393337016263</v>
      </c>
      <c r="I27" s="77">
        <f>IFERROR((I26-D26)*10000,"n/a")</f>
        <v>329.64161946918597</v>
      </c>
      <c r="J27" s="78">
        <f>IFERROR((J26-E26)*10000,"n/a")</f>
        <v>172.50229147571036</v>
      </c>
      <c r="K27" s="4"/>
      <c r="L27" s="3"/>
      <c r="M27" s="3"/>
    </row>
    <row r="28">
      <c r="A28" s="3"/>
      <c r="B28" s="49" t="s">
        <v>110</v>
      </c>
      <c r="C28" s="77" t="s">
        <v>44</v>
      </c>
      <c r="D28" s="77">
        <f>IFERROR((D26-C26)*10000,"n/a")</f>
        <v>159.9151521550297</v>
      </c>
      <c r="E28" s="77">
        <f>IFERROR((E26-D26)*10000,"n/a")</f>
        <v>87.67825014916426</v>
      </c>
      <c r="F28" s="77">
        <f>IFERROR((F26-E26)*10000,"n/a")</f>
        <v>-69.87058988022184</v>
      </c>
      <c r="G28" s="77" t="s">
        <v>44</v>
      </c>
      <c r="H28" s="77">
        <f>IFERROR((H26-F26)*10000,"n/a")</f>
        <v>463.11652127765433</v>
      </c>
      <c r="I28" s="77">
        <f>IFERROR((I26-H26)*10000,"n/a")</f>
        <v>-151.28256207741072</v>
      </c>
      <c r="J28" s="78">
        <f>IFERROR((J26-I26)*10000,"n/a")</f>
        <v>-69.46107784431138</v>
      </c>
      <c r="K28" s="4"/>
      <c r="L28" s="3"/>
      <c r="M28" s="3"/>
    </row>
    <row r="29">
      <c r="A29" s="3"/>
      <c r="B29" s="3" t="s">
        <v>100</v>
      </c>
      <c r="C29" s="19">
        <v>8</v>
      </c>
      <c r="D29" s="19">
        <v>9</v>
      </c>
      <c r="E29" s="19">
        <v>8</v>
      </c>
      <c r="F29" s="19">
        <v>18</v>
      </c>
      <c r="G29" s="1">
        <f>SUM(C29:F29)</f>
        <v>43</v>
      </c>
      <c r="H29" s="19">
        <v>0</v>
      </c>
      <c r="I29" s="19">
        <v>0</v>
      </c>
      <c r="J29" s="16">
        <f>J10*J30</f>
        <v>0</v>
      </c>
      <c r="K29" s="4" t="s">
        <v>158</v>
      </c>
      <c r="L29" s="3"/>
      <c r="M29" s="3"/>
    </row>
    <row r="30">
      <c r="A30" s="3"/>
      <c r="B30" s="56" t="s">
        <v>159</v>
      </c>
      <c r="C30" s="7">
        <f>IFERROR(C29/C10,"n/a")</f>
        <v>0.007655502392344498</v>
      </c>
      <c r="D30" s="7">
        <f>IFERROR(D29/D10,"n/a")</f>
        <v>0.009027081243731194</v>
      </c>
      <c r="E30" s="7">
        <f>IFERROR(E29/E10,"n/a")</f>
        <v>0.007332722273143905</v>
      </c>
      <c r="F30" s="7">
        <f>IFERROR(F29/F10,"n/a")</f>
        <v>0.012711864406779662</v>
      </c>
      <c r="G30" s="7">
        <f>IFERROR(G29/G10,"n/a")</f>
        <v>0.009452626950978238</v>
      </c>
      <c r="H30" s="7">
        <f>IFERROR(H29/H10,"n/a")</f>
        <v>0</v>
      </c>
      <c r="I30" s="7">
        <f>IFERROR(I29/I10,"n/a")</f>
        <v>0</v>
      </c>
      <c r="J30" s="79">
        <v>0</v>
      </c>
      <c r="K30" s="4" t="s">
        <v>160</v>
      </c>
      <c r="L30" s="3"/>
      <c r="M30" s="3"/>
    </row>
    <row r="31">
      <c r="A31" s="3"/>
      <c r="B31" s="49" t="s">
        <v>109</v>
      </c>
      <c r="C31" s="77" t="s">
        <v>44</v>
      </c>
      <c r="D31" s="77" t="s">
        <v>44</v>
      </c>
      <c r="E31" s="77" t="s">
        <v>44</v>
      </c>
      <c r="F31" s="77" t="s">
        <v>44</v>
      </c>
      <c r="G31" s="77" t="s">
        <v>44</v>
      </c>
      <c r="H31" s="77">
        <f>IFERROR((H30-C30)*10000,"n/a")</f>
        <v>-76.55502392344498</v>
      </c>
      <c r="I31" s="77">
        <f>IFERROR((I30-D30)*10000,"n/a")</f>
        <v>-90.27081243731195</v>
      </c>
      <c r="J31" s="78">
        <f>IFERROR((J30-E30)*10000,"n/a")</f>
        <v>-73.32722273143905</v>
      </c>
      <c r="K31" s="4"/>
      <c r="L31" s="3"/>
      <c r="M31" s="3"/>
    </row>
    <row r="32">
      <c r="A32" s="3"/>
      <c r="B32" s="49" t="s">
        <v>110</v>
      </c>
      <c r="C32" s="77" t="s">
        <v>44</v>
      </c>
      <c r="D32" s="77">
        <f>IFERROR((D30-C30)*10000,"n/a")</f>
        <v>13.715788513866965</v>
      </c>
      <c r="E32" s="77">
        <f>IFERROR((E30-D30)*10000,"n/a")</f>
        <v>-16.943589705872892</v>
      </c>
      <c r="F32" s="77">
        <f>IFERROR((F30-E30)*10000,"n/a")</f>
        <v>53.79142133635757</v>
      </c>
      <c r="G32" s="77" t="s">
        <v>44</v>
      </c>
      <c r="H32" s="77">
        <f>IFERROR((H30-F30)*10000,"n/a")</f>
        <v>-127.11864406779662</v>
      </c>
      <c r="I32" s="77">
        <f>IFERROR((I30-H30)*10000,"n/a")</f>
        <v>0</v>
      </c>
      <c r="J32" s="78">
        <f>IFERROR((J30-I30)*10000,"n/a")</f>
        <v>0</v>
      </c>
      <c r="K32" s="4"/>
      <c r="L32" s="3"/>
      <c r="M32" s="3"/>
    </row>
    <row r="33">
      <c r="A33" s="3"/>
      <c r="B33" s="15" t="s">
        <v>161</v>
      </c>
      <c r="C33" s="32">
        <v>1022</v>
      </c>
      <c r="D33" s="32">
        <v>1002</v>
      </c>
      <c r="E33" s="32">
        <v>1115</v>
      </c>
      <c r="F33" s="32">
        <v>1490</v>
      </c>
      <c r="G33" s="21">
        <f>SUM(C33:F33)</f>
        <v>4629</v>
      </c>
      <c r="H33" s="32">
        <v>1139</v>
      </c>
      <c r="I33" s="32">
        <v>1124</v>
      </c>
      <c r="J33" s="43">
        <f>J22+J25+J29</f>
        <v>1204.2</v>
      </c>
      <c r="K33" s="4" t="s">
        <v>162</v>
      </c>
      <c r="L33" s="3"/>
      <c r="M33" s="3"/>
    </row>
    <row r="34">
      <c r="A34" s="3"/>
      <c r="B34" s="56" t="s">
        <v>77</v>
      </c>
      <c r="C34" s="7">
        <f>IFERROR(IF(OR(C33&lt;0,C10&lt;0),"n.m.",C33/C10-1),"n/a")</f>
        <v>-0.02200956937799048</v>
      </c>
      <c r="D34" s="7">
        <f>IFERROR(IF(OR(D33&lt;0,D10&lt;0),"n.m.",D33/D10-1),"n/a")</f>
        <v>0.005015045135406293</v>
      </c>
      <c r="E34" s="7">
        <f>IFERROR(IF(OR(E33&lt;0,E10&lt;0),"n.m.",E33/E10-1),"n/a")</f>
        <v>0.021998166819431786</v>
      </c>
      <c r="F34" s="7">
        <f>IFERROR(IF(OR(F33&lt;0,F10&lt;0),"n.m.",F33/F10-1),"n/a")</f>
        <v>0.05225988700564965</v>
      </c>
      <c r="G34" s="7">
        <f>IFERROR(IF(OR(G33&lt;0,G10&lt;0),"n.m.",G33/G10-1),"n/a")</f>
        <v>0.01758628269949436</v>
      </c>
      <c r="H34" s="7">
        <f>IFERROR(IF(OR(H33&lt;0,C33&lt;0),"n.m.",H33/C33-1),"n/a")</f>
        <v>0.11448140900195702</v>
      </c>
      <c r="I34" s="7">
        <f>IFERROR(IF(OR(I33&lt;0,D33&lt;0),"n.m.",I33/D33-1),"n/a")</f>
        <v>0.12175648702594821</v>
      </c>
      <c r="J34" s="25">
        <f>IFERROR(IF(OR(J33&lt;0,E33&lt;0),"n.m.",J33/E33-1),"n/a")</f>
        <v>0.08000000000000007</v>
      </c>
      <c r="K34" s="4"/>
      <c r="L34" s="3"/>
      <c r="M34" s="3"/>
    </row>
    <row r="35">
      <c r="A35" s="3"/>
      <c r="B35" s="56" t="s">
        <v>78</v>
      </c>
      <c r="C35" s="7" t="s">
        <v>44</v>
      </c>
      <c r="D35" s="7">
        <f>IFERROR(IF(OR(D33&lt;0,C33&lt;0),"n.m.",D33/C33-1),"n/a")</f>
        <v>-0.019569471624266144</v>
      </c>
      <c r="E35" s="7">
        <f>IFERROR(IF(OR(E33&lt;0,D33&lt;0),"n.m.",E33/D33-1),"n/a")</f>
        <v>0.11277445109780437</v>
      </c>
      <c r="F35" s="7">
        <f>IFERROR(IF(OR(F33&lt;0,E33&lt;0),"n.m.",F33/E33-1),"n/a")</f>
        <v>0.33632286995515703</v>
      </c>
      <c r="G35" s="7" t="s">
        <v>44</v>
      </c>
      <c r="H35" s="7">
        <f>IFERROR(IF(OR(H33&lt;0,F33&lt;0),"n.m.",H33/F33-1),"n/a")</f>
        <v>-0.2355704697986577</v>
      </c>
      <c r="I35" s="7">
        <f>IFERROR(IF(OR(I33&lt;0,H33&lt;0),"n.m.",I33/H33-1),"n/a")</f>
        <v>-0.013169446883230851</v>
      </c>
      <c r="J35" s="25">
        <f>IFERROR(IF(OR(J33&lt;0,I33&lt;0),"n.m.",J33/I33-1),"n/a")</f>
        <v>0.07135231316725976</v>
      </c>
      <c r="K35" s="4"/>
      <c r="L35" s="3"/>
      <c r="M35" s="3"/>
    </row>
    <row r="36">
      <c r="A36" s="3"/>
      <c r="B36" s="29" t="s">
        <v>94</v>
      </c>
      <c r="C36" s="1" t="s">
        <v>44</v>
      </c>
      <c r="D36" s="1">
        <f>IFERROR(D33-C33,"n/a")</f>
        <v>-20</v>
      </c>
      <c r="E36" s="1">
        <f>IFERROR(E33-D33,"n/a")</f>
        <v>113</v>
      </c>
      <c r="F36" s="1">
        <f>IFERROR(F33-E33,"n/a")</f>
        <v>375</v>
      </c>
      <c r="G36" s="1" t="s">
        <v>44</v>
      </c>
      <c r="H36" s="1">
        <f>IFERROR(H33-F33,"n/a")</f>
        <v>-351</v>
      </c>
      <c r="I36" s="1">
        <f>IFERROR(I33-H33,"n/a")</f>
        <v>-15</v>
      </c>
      <c r="J36" s="16">
        <f>IFERROR(J33-I33,"n/a")</f>
        <v>80.20000000000005</v>
      </c>
      <c r="K36" s="4"/>
      <c r="L36" s="3"/>
      <c r="M36" s="3"/>
    </row>
    <row r="37">
      <c r="A37" s="3"/>
      <c r="B37" s="3"/>
      <c r="C37" s="1"/>
      <c r="D37" s="1"/>
      <c r="E37" s="1"/>
      <c r="F37" s="1"/>
      <c r="G37" s="1"/>
      <c r="H37" s="1"/>
      <c r="I37" s="1"/>
      <c r="J37" s="16"/>
      <c r="K37" s="4"/>
      <c r="L37" s="3"/>
      <c r="M37" s="3"/>
    </row>
    <row r="38">
      <c r="A38" s="3"/>
      <c r="B38" s="15" t="s">
        <v>163</v>
      </c>
      <c r="C38" s="5"/>
      <c r="D38" s="5"/>
      <c r="E38" s="5"/>
      <c r="F38" s="5"/>
      <c r="G38" s="5"/>
      <c r="H38" s="5"/>
      <c r="I38" s="5"/>
      <c r="J38" s="22"/>
      <c r="K38" s="4"/>
      <c r="L38" s="3"/>
      <c r="M38" s="3"/>
    </row>
    <row r="39">
      <c r="A39" s="3"/>
      <c r="B39" s="12" t="s">
        <v>103</v>
      </c>
      <c r="C39" s="7">
        <f>IFERROR(IF(OR(C33&lt;0,C10&lt;0),"n.m.",C33/C10-1),"n/a")</f>
        <v>-0.02200956937799048</v>
      </c>
      <c r="D39" s="7">
        <f>IFERROR(IF(OR(D33&lt;0,D10&lt;0),"n.m.",D33/D10-1),"n/a")</f>
        <v>0.005015045135406293</v>
      </c>
      <c r="E39" s="7">
        <f>IFERROR(IF(OR(E33&lt;0,E10&lt;0),"n.m.",E33/E10-1),"n/a")</f>
        <v>0.021998166819431786</v>
      </c>
      <c r="F39" s="7">
        <f>IFERROR(IF(OR(F33&lt;0,F10&lt;0),"n.m.",F33/F10-1),"n/a")</f>
        <v>0.05225988700564965</v>
      </c>
      <c r="G39" s="7">
        <f>IFERROR(IF(OR(G33&lt;0,G10&lt;0),"n.m.",G33/G10-1),"n/a")</f>
        <v>0.01758628269949436</v>
      </c>
      <c r="H39" s="7">
        <f>IFERROR(IF(OR(H33&lt;0,H10&lt;0),"n.m.",H33/H10-1),"n/a")</f>
        <v>0.11448140900195702</v>
      </c>
      <c r="I39" s="7">
        <f>IFERROR(IF(OR(I33&lt;0,I10&lt;0),"n.m.",I33/I10-1),"n/a")</f>
        <v>0.12175648702594821</v>
      </c>
      <c r="J39" s="25">
        <f>IFERROR(IF(OR(J33&lt;0,J10&lt;0),"n.m.",J33/J10-1),"n/a")</f>
        <v>0.08000000000000007</v>
      </c>
      <c r="K39" s="4"/>
      <c r="L39" s="3"/>
      <c r="M39" s="3"/>
    </row>
    <row r="40">
      <c r="A40" s="3"/>
      <c r="B40" s="12" t="s">
        <v>104</v>
      </c>
      <c r="C40" s="7">
        <f>IFERROR((C29+C11)/C10,"n/a")</f>
        <v>0.007655502392344498</v>
      </c>
      <c r="D40" s="7">
        <f>IFERROR((D29+D11)/D10,"n/a")</f>
        <v>0.009027081243731194</v>
      </c>
      <c r="E40" s="7">
        <f>IFERROR((E29+E11)/E10,"n/a")</f>
        <v>0.007332722273143905</v>
      </c>
      <c r="F40" s="7">
        <f>IFERROR((F29+F11)/F10,"n/a")</f>
        <v>0.012711864406779662</v>
      </c>
      <c r="G40" s="7">
        <f>IFERROR((G29+G11)/G10,"n/a")</f>
        <v>0.009452626950978238</v>
      </c>
      <c r="H40" s="7">
        <f>IFERROR((H29+H11)/H10,"n/a")</f>
        <v>0</v>
      </c>
      <c r="I40" s="7">
        <f>IFERROR((I29+I11)/I10,"n/a")</f>
        <v>0</v>
      </c>
      <c r="J40" s="25">
        <f>IFERROR((J29+J11)/J10,"n/a")</f>
        <v>0</v>
      </c>
      <c r="K40" s="4"/>
      <c r="L40" s="3"/>
      <c r="M40" s="3"/>
    </row>
    <row r="41">
      <c r="A41" s="3"/>
      <c r="B41" s="12" t="s">
        <v>105</v>
      </c>
      <c r="C41" s="7">
        <f>IFERROR(C25/C10,"n/a")</f>
        <v>-0.02200956937799043</v>
      </c>
      <c r="D41" s="7">
        <f>IFERROR(D25/D10,"n/a")</f>
        <v>-0.006018054162487462</v>
      </c>
      <c r="E41" s="7">
        <f>IFERROR(E25/E10,"n/a")</f>
        <v>0.002749770852428964</v>
      </c>
      <c r="F41" s="7">
        <f>IFERROR(F25/F10,"n/a")</f>
        <v>-0.00423728813559322</v>
      </c>
      <c r="G41" s="7">
        <f>IFERROR(G25/G10,"n/a")</f>
        <v>-0.007034513079797758</v>
      </c>
      <c r="H41" s="7">
        <f>IFERROR(H25/H10,"n/a")</f>
        <v>0.04207436399217221</v>
      </c>
      <c r="I41" s="7">
        <f>IFERROR(I25/I10,"n/a")</f>
        <v>0.02694610778443114</v>
      </c>
      <c r="J41" s="25">
        <f>IFERROR(J25/J10,"n/a")</f>
        <v>0.02</v>
      </c>
      <c r="K41" s="4"/>
      <c r="L41" s="3"/>
      <c r="M41" s="3"/>
    </row>
    <row r="42">
      <c r="A42" s="3"/>
      <c r="B42" s="12" t="s">
        <v>106</v>
      </c>
      <c r="C42" s="7">
        <f>IFERROR((1+C39)/((1+C40)*(1+C41))-1,"n/a")</f>
        <v>-0.007597340930674323</v>
      </c>
      <c r="D42" s="7">
        <f>IFERROR((1+D39)/((1+D40)*(1+D41))-1,"n/a")</f>
        <v>0.0020542737520388155</v>
      </c>
      <c r="E42" s="7">
        <f>IFERROR((1+E39)/((1+E40)*(1+E41))-1,"n/a")</f>
        <v>0.011776536089814327</v>
      </c>
      <c r="F42" s="7">
        <f>IFERROR((1+F39)/((1+F40)*(1+F41))-1,"n/a")</f>
        <v>0.04347310009199079</v>
      </c>
      <c r="G42" s="7">
        <f>IFERROR((1+G39)/((1+G40)*(1+G41))-1,"n/a")</f>
        <v>0.01519892138024459</v>
      </c>
      <c r="H42" s="7">
        <f>IFERROR((1+H39)/((1+H40)*(1+H41))-1,"n/a")</f>
        <v>0.06948356807511757</v>
      </c>
      <c r="I42" s="7">
        <f>IFERROR((1+I39)/((1+I40)*(1+I41))-1,"n/a")</f>
        <v>0.09232264334305174</v>
      </c>
      <c r="J42" s="25">
        <f>IFERROR((1+J39)/((1+J40)*(1+J41))-1,"n/a")</f>
        <v>0.05882352941176472</v>
      </c>
      <c r="K42" s="4"/>
      <c r="L42" s="3"/>
      <c r="M42" s="3"/>
    </row>
    <row r="43">
      <c r="A43" s="3"/>
      <c r="B43" s="56" t="s">
        <v>164</v>
      </c>
      <c r="C43" s="77">
        <f>IFERROR((C42-C19)*10000,"n/a")</f>
        <v>24.026590693256768</v>
      </c>
      <c r="D43" s="77">
        <f>IFERROR((D42-D19)*10000,"n/a")</f>
        <v>20.542737520388155</v>
      </c>
      <c r="E43" s="77">
        <f>IFERROR((E42-E19)*10000,"n/a")</f>
        <v>17.765360898143264</v>
      </c>
      <c r="F43" s="77">
        <f>IFERROR((F42-F19)*10000,"n/a")</f>
        <v>34.7310009199079</v>
      </c>
      <c r="G43" s="77">
        <f>IFERROR((G42-G19)*10000,"n/a")</f>
        <v>1.989213802445905</v>
      </c>
      <c r="H43" s="77">
        <f>IFERROR((H42-H19)*10000,"n/a")</f>
        <v>-5.164319248824323</v>
      </c>
      <c r="I43" s="77">
        <f>IFERROR((I42-I19)*10000,"n/a")</f>
        <v>23.22643343051739</v>
      </c>
      <c r="J43" s="78">
        <f>IFERROR((J42-J19)*10000,"n/a")</f>
        <v>-11.764705882352859</v>
      </c>
      <c r="K43" s="4" t="s">
        <v>165</v>
      </c>
      <c r="L43" s="3"/>
      <c r="M43" s="3"/>
    </row>
    <row r="44">
      <c r="A44" s="3"/>
      <c r="B44" s="3"/>
      <c r="C44" s="1"/>
      <c r="D44" s="1"/>
      <c r="E44" s="1"/>
      <c r="F44" s="1"/>
      <c r="G44" s="1"/>
      <c r="H44" s="1"/>
      <c r="I44" s="1"/>
      <c r="J44" s="16"/>
      <c r="K44" s="4"/>
      <c r="L44" s="3"/>
      <c r="M44" s="3"/>
    </row>
    <row r="45">
      <c r="A45" s="3"/>
      <c r="B45" s="15" t="s">
        <v>166</v>
      </c>
      <c r="C45" s="5"/>
      <c r="D45" s="5"/>
      <c r="E45" s="5"/>
      <c r="F45" s="5"/>
      <c r="G45" s="5"/>
      <c r="H45" s="5"/>
      <c r="I45" s="5"/>
      <c r="J45" s="22"/>
      <c r="K45" s="4"/>
      <c r="L45" s="3"/>
      <c r="M45" s="3"/>
    </row>
    <row r="46">
      <c r="A46" s="3"/>
      <c r="B46" s="12" t="s">
        <v>167</v>
      </c>
      <c r="C46" s="9">
        <v>0.03</v>
      </c>
      <c r="D46" s="9">
        <v>0.05</v>
      </c>
      <c r="E46" s="9">
        <v>0.03</v>
      </c>
      <c r="F46" s="9">
        <v>0.04</v>
      </c>
      <c r="G46" s="9">
        <v>0.04</v>
      </c>
      <c r="H46" s="9">
        <v>0.09</v>
      </c>
      <c r="I46" s="9">
        <v>0.1</v>
      </c>
      <c r="J46" s="25">
        <f>J13</f>
        <v>0.07</v>
      </c>
      <c r="K46" s="4" t="s">
        <v>168</v>
      </c>
      <c r="L46" s="3"/>
      <c r="M46" s="3"/>
    </row>
    <row r="47">
      <c r="A47" s="3"/>
      <c r="B47" s="56" t="s">
        <v>109</v>
      </c>
      <c r="C47" s="77" t="s">
        <v>44</v>
      </c>
      <c r="D47" s="77" t="s">
        <v>44</v>
      </c>
      <c r="E47" s="77" t="s">
        <v>44</v>
      </c>
      <c r="F47" s="77" t="s">
        <v>44</v>
      </c>
      <c r="G47" s="77" t="s">
        <v>44</v>
      </c>
      <c r="H47" s="77">
        <f>IFERROR((H46-C46)*10000,"n/a")</f>
        <v>600</v>
      </c>
      <c r="I47" s="77">
        <f>IFERROR((I46-D46)*10000,"n/a")</f>
        <v>500</v>
      </c>
      <c r="J47" s="78">
        <f>IFERROR((J46-E46)*10000,"n/a")</f>
        <v>400.00000000000006</v>
      </c>
      <c r="K47" s="4"/>
      <c r="L47" s="3"/>
      <c r="M47" s="3"/>
    </row>
    <row r="48">
      <c r="A48" s="3"/>
      <c r="B48" s="56" t="s">
        <v>110</v>
      </c>
      <c r="C48" s="77" t="s">
        <v>44</v>
      </c>
      <c r="D48" s="77">
        <f>IFERROR((D46-C46)*10000,"n/a")</f>
        <v>200.00000000000003</v>
      </c>
      <c r="E48" s="77">
        <f>IFERROR((E46-D46)*10000,"n/a")</f>
        <v>-200.00000000000003</v>
      </c>
      <c r="F48" s="77">
        <f>IFERROR((F46-E46)*10000,"n/a")</f>
        <v>100.00000000000001</v>
      </c>
      <c r="G48" s="77" t="s">
        <v>44</v>
      </c>
      <c r="H48" s="77">
        <f>IFERROR((H46-F46)*10000,"n/a")</f>
        <v>499.99999999999994</v>
      </c>
      <c r="I48" s="77">
        <f>IFERROR((I46-H46)*10000,"n/a")</f>
        <v>100.00000000000009</v>
      </c>
      <c r="J48" s="78">
        <f>IFERROR((J46-I46)*10000,"n/a")</f>
        <v>-300</v>
      </c>
      <c r="K48" s="4"/>
      <c r="L48" s="3"/>
      <c r="M48" s="3"/>
    </row>
    <row r="49">
      <c r="A49" s="3"/>
      <c r="B49" s="3"/>
      <c r="C49" s="1"/>
      <c r="D49" s="1"/>
      <c r="E49" s="1"/>
      <c r="F49" s="1"/>
      <c r="G49" s="1"/>
      <c r="H49" s="1"/>
      <c r="I49" s="1"/>
      <c r="J49" s="16"/>
      <c r="K49" s="4"/>
      <c r="L49" s="3"/>
      <c r="M49" s="3"/>
    </row>
    <row r="50">
      <c r="A50" s="3"/>
      <c r="B50" s="15" t="s">
        <v>169</v>
      </c>
      <c r="C50" s="5"/>
      <c r="D50" s="5"/>
      <c r="E50" s="5"/>
      <c r="F50" s="5"/>
      <c r="G50" s="5"/>
      <c r="H50" s="5"/>
      <c r="I50" s="5"/>
      <c r="J50" s="22"/>
      <c r="K50" s="4"/>
      <c r="L50" s="3"/>
      <c r="M50" s="3"/>
    </row>
    <row r="51">
      <c r="A51" s="3"/>
      <c r="B51" s="3" t="s">
        <v>43</v>
      </c>
      <c r="C51" s="1">
        <f>C33</f>
        <v>1022</v>
      </c>
      <c r="D51" s="1">
        <f>D33</f>
        <v>1002</v>
      </c>
      <c r="E51" s="1">
        <f>E33</f>
        <v>1115</v>
      </c>
      <c r="F51" s="1">
        <f>F33</f>
        <v>1490</v>
      </c>
      <c r="G51" s="1">
        <f>G33</f>
        <v>4629</v>
      </c>
      <c r="H51" s="1">
        <f>H33</f>
        <v>1139</v>
      </c>
      <c r="I51" s="1">
        <f>I33</f>
        <v>1124</v>
      </c>
      <c r="J51" s="16">
        <f>J33</f>
        <v>1204.2</v>
      </c>
      <c r="K51" s="4"/>
      <c r="L51" s="3"/>
      <c r="M51" s="3"/>
    </row>
    <row r="52">
      <c r="A52" s="3"/>
      <c r="B52" s="3" t="s">
        <v>170</v>
      </c>
      <c r="C52" s="19">
        <v>612</v>
      </c>
      <c r="D52" s="19">
        <v>627</v>
      </c>
      <c r="E52" s="19">
        <v>666</v>
      </c>
      <c r="F52" s="19">
        <v>945</v>
      </c>
      <c r="G52" s="1">
        <f>SUM(C52:F52)</f>
        <v>2850</v>
      </c>
      <c r="H52" s="19">
        <v>657</v>
      </c>
      <c r="I52" s="19">
        <v>690</v>
      </c>
      <c r="J52" s="16">
        <f>J51*(1-J58)</f>
        <v>706.8654</v>
      </c>
      <c r="K52" s="4" t="s">
        <v>171</v>
      </c>
      <c r="L52" s="3"/>
      <c r="M52" s="3"/>
    </row>
    <row r="53">
      <c r="A53" s="3"/>
      <c r="B53" s="56" t="s">
        <v>77</v>
      </c>
      <c r="C53" s="7" t="s">
        <v>44</v>
      </c>
      <c r="D53" s="7" t="s">
        <v>44</v>
      </c>
      <c r="E53" s="7" t="s">
        <v>44</v>
      </c>
      <c r="F53" s="7" t="s">
        <v>44</v>
      </c>
      <c r="G53" s="7" t="s">
        <v>44</v>
      </c>
      <c r="H53" s="7">
        <f>IFERROR(IF(OR(H52&lt;0,C52&lt;0),"n.m.",H52/C52-1),"n/a")</f>
        <v>0.07352941176470584</v>
      </c>
      <c r="I53" s="7">
        <f>IFERROR(IF(OR(I52&lt;0,D52&lt;0),"n.m.",I52/D52-1),"n/a")</f>
        <v>0.1004784688995215</v>
      </c>
      <c r="J53" s="25">
        <f>IFERROR(IF(OR(J52&lt;0,E52&lt;0),"n.m.",J52/E52-1),"n/a")</f>
        <v>0.06135945945945953</v>
      </c>
      <c r="K53" s="4"/>
      <c r="L53" s="3"/>
      <c r="M53" s="3"/>
    </row>
    <row r="54">
      <c r="A54" s="3"/>
      <c r="B54" s="29" t="s">
        <v>94</v>
      </c>
      <c r="C54" s="1" t="s">
        <v>44</v>
      </c>
      <c r="D54" s="1">
        <f>IFERROR(D52-C52,"n/a")</f>
        <v>15</v>
      </c>
      <c r="E54" s="1">
        <f>IFERROR(E52-D52,"n/a")</f>
        <v>39</v>
      </c>
      <c r="F54" s="1">
        <f>IFERROR(F52-E52,"n/a")</f>
        <v>279</v>
      </c>
      <c r="G54" s="1" t="s">
        <v>44</v>
      </c>
      <c r="H54" s="1">
        <f>IFERROR(H52-F52,"n/a")</f>
        <v>-288</v>
      </c>
      <c r="I54" s="1">
        <f>IFERROR(I52-H52,"n/a")</f>
        <v>33</v>
      </c>
      <c r="J54" s="16">
        <f>IFERROR(J52-I52,"n/a")</f>
        <v>16.865400000000022</v>
      </c>
      <c r="K54" s="4"/>
      <c r="L54" s="3"/>
      <c r="M54" s="3"/>
    </row>
    <row r="55">
      <c r="A55" s="3"/>
      <c r="B55" s="15" t="s">
        <v>172</v>
      </c>
      <c r="C55" s="21">
        <f>C51-C52</f>
        <v>410</v>
      </c>
      <c r="D55" s="21">
        <f>D51-D52</f>
        <v>375</v>
      </c>
      <c r="E55" s="21">
        <f>E51-E52</f>
        <v>449</v>
      </c>
      <c r="F55" s="21">
        <f>F51-F52</f>
        <v>545</v>
      </c>
      <c r="G55" s="21">
        <f>G51-G52</f>
        <v>1779</v>
      </c>
      <c r="H55" s="21">
        <f>H51-H52</f>
        <v>482</v>
      </c>
      <c r="I55" s="21">
        <f>I51-I52</f>
        <v>434</v>
      </c>
      <c r="J55" s="43">
        <f>J51-J52</f>
        <v>497.3346</v>
      </c>
      <c r="K55" s="4"/>
      <c r="L55" s="3"/>
      <c r="M55" s="3"/>
    </row>
    <row r="56">
      <c r="A56" s="3"/>
      <c r="B56" s="56" t="s">
        <v>77</v>
      </c>
      <c r="C56" s="7" t="s">
        <v>44</v>
      </c>
      <c r="D56" s="7" t="s">
        <v>44</v>
      </c>
      <c r="E56" s="7" t="s">
        <v>44</v>
      </c>
      <c r="F56" s="7" t="s">
        <v>44</v>
      </c>
      <c r="G56" s="7" t="s">
        <v>44</v>
      </c>
      <c r="H56" s="7">
        <f>IFERROR(IF(OR(H55&lt;0,C55&lt;0),"n.m.",H55/C55-1),"n/a")</f>
        <v>0.1756097560975609</v>
      </c>
      <c r="I56" s="7">
        <f>IFERROR(IF(OR(I55&lt;0,D55&lt;0),"n.m.",I55/D55-1),"n/a")</f>
        <v>0.15733333333333333</v>
      </c>
      <c r="J56" s="25">
        <f>IFERROR(IF(OR(J55&lt;0,E55&lt;0),"n.m.",J55/E55-1),"n/a")</f>
        <v>0.1076494432071271</v>
      </c>
      <c r="K56" s="4"/>
      <c r="L56" s="3"/>
      <c r="M56" s="3"/>
    </row>
    <row r="57">
      <c r="A57" s="3"/>
      <c r="B57" s="29" t="s">
        <v>94</v>
      </c>
      <c r="C57" s="1" t="s">
        <v>44</v>
      </c>
      <c r="D57" s="1">
        <f>IFERROR(D55-C55,"n/a")</f>
        <v>-35</v>
      </c>
      <c r="E57" s="1">
        <f>IFERROR(E55-D55,"n/a")</f>
        <v>74</v>
      </c>
      <c r="F57" s="1">
        <f>IFERROR(F55-E55,"n/a")</f>
        <v>96</v>
      </c>
      <c r="G57" s="1" t="s">
        <v>44</v>
      </c>
      <c r="H57" s="1">
        <f>IFERROR(H55-F55,"n/a")</f>
        <v>-63</v>
      </c>
      <c r="I57" s="1">
        <f>IFERROR(I55-H55,"n/a")</f>
        <v>-48</v>
      </c>
      <c r="J57" s="16">
        <f>IFERROR(J55-I55,"n/a")</f>
        <v>63.33460000000002</v>
      </c>
      <c r="K57" s="4"/>
      <c r="L57" s="3"/>
      <c r="M57" s="3"/>
    </row>
    <row r="58">
      <c r="A58" s="3"/>
      <c r="B58" s="12" t="s">
        <v>173</v>
      </c>
      <c r="C58" s="7">
        <f>IFERROR(C55/C51,"n/a")</f>
        <v>0.40117416829745595</v>
      </c>
      <c r="D58" s="7">
        <f>IFERROR(D55/D51,"n/a")</f>
        <v>0.37425149700598803</v>
      </c>
      <c r="E58" s="7">
        <f>IFERROR(E55/E51,"n/a")</f>
        <v>0.4026905829596413</v>
      </c>
      <c r="F58" s="7">
        <f>IFERROR(F55/F51,"n/a")</f>
        <v>0.36577181208053694</v>
      </c>
      <c r="G58" s="7">
        <f>IFERROR(G55/G51,"n/a")</f>
        <v>0.3843162670123137</v>
      </c>
      <c r="H58" s="7">
        <f>IFERROR(H55/H51,"n/a")</f>
        <v>0.4231782265144864</v>
      </c>
      <c r="I58" s="7">
        <f>IFERROR(I55/I51,"n/a")</f>
        <v>0.3861209964412811</v>
      </c>
      <c r="J58" s="79">
        <v>0.413</v>
      </c>
      <c r="K58" s="4" t="s">
        <v>160</v>
      </c>
      <c r="L58" s="3"/>
      <c r="M58" s="3"/>
    </row>
    <row r="59">
      <c r="A59" s="3"/>
      <c r="B59" s="56" t="s">
        <v>109</v>
      </c>
      <c r="C59" s="77" t="s">
        <v>44</v>
      </c>
      <c r="D59" s="77" t="s">
        <v>44</v>
      </c>
      <c r="E59" s="77" t="s">
        <v>44</v>
      </c>
      <c r="F59" s="77" t="s">
        <v>44</v>
      </c>
      <c r="G59" s="77" t="s">
        <v>44</v>
      </c>
      <c r="H59" s="77">
        <f>IFERROR((H58-C58)*10000,"n/a")</f>
        <v>220.04058217030442</v>
      </c>
      <c r="I59" s="77">
        <f>IFERROR((I58-D58)*10000,"n/a")</f>
        <v>118.69499435293085</v>
      </c>
      <c r="J59" s="78">
        <f>IFERROR((J58-E58)*10000,"n/a")</f>
        <v>103.09417040358704</v>
      </c>
      <c r="K59" s="4"/>
      <c r="L59" s="3"/>
      <c r="M59" s="3"/>
    </row>
    <row r="60">
      <c r="A60" s="3"/>
      <c r="B60" s="56" t="s">
        <v>110</v>
      </c>
      <c r="C60" s="77" t="s">
        <v>44</v>
      </c>
      <c r="D60" s="77">
        <f>IFERROR((D58-C58)*10000,"n/a")</f>
        <v>-269.2267129146791</v>
      </c>
      <c r="E60" s="77">
        <f>IFERROR((E58-D58)*10000,"n/a")</f>
        <v>284.39085953653245</v>
      </c>
      <c r="F60" s="77">
        <f>IFERROR((F58-E58)*10000,"n/a")</f>
        <v>-369.18770879104335</v>
      </c>
      <c r="G60" s="77" t="s">
        <v>44</v>
      </c>
      <c r="H60" s="77">
        <f>IFERROR((H58-F58)*10000,"n/a")</f>
        <v>574.0641443394945</v>
      </c>
      <c r="I60" s="77">
        <f>IFERROR((I58-H58)*10000,"n/a")</f>
        <v>-370.5723007320527</v>
      </c>
      <c r="J60" s="78">
        <f>IFERROR((J58-I58)*10000,"n/a")</f>
        <v>268.79003558718864</v>
      </c>
      <c r="K60" s="4"/>
      <c r="L60" s="3"/>
      <c r="M60" s="3"/>
    </row>
    <row r="61">
      <c r="A61" s="3"/>
      <c r="B61" s="3" t="s">
        <v>174</v>
      </c>
      <c r="C61" s="19">
        <v>249</v>
      </c>
      <c r="D61" s="19">
        <v>282</v>
      </c>
      <c r="E61" s="19">
        <v>293</v>
      </c>
      <c r="F61" s="19">
        <v>491</v>
      </c>
      <c r="G61" s="1">
        <f>SUM(C61:F61)</f>
        <v>1315</v>
      </c>
      <c r="H61" s="19">
        <v>264</v>
      </c>
      <c r="I61" s="19">
        <v>300</v>
      </c>
      <c r="J61" s="16">
        <f>J51*J64</f>
        <v>314.2962</v>
      </c>
      <c r="K61" s="4" t="s">
        <v>171</v>
      </c>
      <c r="L61" s="3"/>
      <c r="M61" s="3"/>
    </row>
    <row r="62">
      <c r="A62" s="3"/>
      <c r="B62" s="56" t="s">
        <v>77</v>
      </c>
      <c r="C62" s="7" t="s">
        <v>44</v>
      </c>
      <c r="D62" s="7" t="s">
        <v>44</v>
      </c>
      <c r="E62" s="7" t="s">
        <v>44</v>
      </c>
      <c r="F62" s="7" t="s">
        <v>44</v>
      </c>
      <c r="G62" s="7" t="s">
        <v>44</v>
      </c>
      <c r="H62" s="7">
        <f>IFERROR(IF(OR(H61&lt;0,C61&lt;0),"n.m.",H61/C61-1),"n/a")</f>
        <v>0.06024096385542177</v>
      </c>
      <c r="I62" s="7">
        <f>IFERROR(IF(OR(I61&lt;0,D61&lt;0),"n.m.",I61/D61-1),"n/a")</f>
        <v>0.06382978723404253</v>
      </c>
      <c r="J62" s="25">
        <f>IFERROR(IF(OR(J61&lt;0,E61&lt;0),"n.m.",J61/E61-1),"n/a")</f>
        <v>0.07268327645051187</v>
      </c>
      <c r="K62" s="4"/>
      <c r="L62" s="3"/>
      <c r="M62" s="3"/>
    </row>
    <row r="63">
      <c r="A63" s="3"/>
      <c r="B63" s="29" t="s">
        <v>94</v>
      </c>
      <c r="C63" s="1" t="s">
        <v>44</v>
      </c>
      <c r="D63" s="1">
        <f>IFERROR(D61-C61,"n/a")</f>
        <v>33</v>
      </c>
      <c r="E63" s="1">
        <f>IFERROR(E61-D61,"n/a")</f>
        <v>11</v>
      </c>
      <c r="F63" s="1">
        <f>IFERROR(F61-E61,"n/a")</f>
        <v>198</v>
      </c>
      <c r="G63" s="1" t="s">
        <v>44</v>
      </c>
      <c r="H63" s="1">
        <f>IFERROR(H61-F61,"n/a")</f>
        <v>-227</v>
      </c>
      <c r="I63" s="1">
        <f>IFERROR(I61-H61,"n/a")</f>
        <v>36</v>
      </c>
      <c r="J63" s="16">
        <f>IFERROR(J61-I61,"n/a")</f>
        <v>14.296199999999999</v>
      </c>
      <c r="K63" s="4"/>
      <c r="L63" s="3"/>
      <c r="M63" s="3"/>
    </row>
    <row r="64">
      <c r="A64" s="3"/>
      <c r="B64" s="12" t="s">
        <v>175</v>
      </c>
      <c r="C64" s="7">
        <f>IFERROR(C61/C51,"n/a")</f>
        <v>0.2436399217221135</v>
      </c>
      <c r="D64" s="7">
        <f>IFERROR(D61/D51,"n/a")</f>
        <v>0.281437125748503</v>
      </c>
      <c r="E64" s="7">
        <f>IFERROR(E61/E51,"n/a")</f>
        <v>0.262780269058296</v>
      </c>
      <c r="F64" s="7">
        <f>IFERROR(F61/F51,"n/a")</f>
        <v>0.3295302013422819</v>
      </c>
      <c r="G64" s="7">
        <f>IFERROR(G61/G51,"n/a")</f>
        <v>0.28407863469431843</v>
      </c>
      <c r="H64" s="7">
        <f>IFERROR(H61/H51,"n/a")</f>
        <v>0.2317822651448639</v>
      </c>
      <c r="I64" s="7">
        <f>IFERROR(I61/I51,"n/a")</f>
        <v>0.2669039145907473</v>
      </c>
      <c r="J64" s="79">
        <v>0.261</v>
      </c>
      <c r="K64" s="4" t="s">
        <v>160</v>
      </c>
      <c r="L64" s="3"/>
      <c r="M64" s="3"/>
    </row>
    <row r="65">
      <c r="A65" s="3"/>
      <c r="B65" s="56" t="s">
        <v>109</v>
      </c>
      <c r="C65" s="77" t="s">
        <v>44</v>
      </c>
      <c r="D65" s="77" t="s">
        <v>44</v>
      </c>
      <c r="E65" s="77" t="s">
        <v>44</v>
      </c>
      <c r="F65" s="77" t="s">
        <v>44</v>
      </c>
      <c r="G65" s="77" t="s">
        <v>44</v>
      </c>
      <c r="H65" s="77">
        <f>IFERROR((H64-C64)*10000,"n/a")</f>
        <v>-118.57656577249575</v>
      </c>
      <c r="I65" s="77">
        <f>IFERROR((I64-D64)*10000,"n/a")</f>
        <v>-145.33211157755687</v>
      </c>
      <c r="J65" s="78">
        <f>IFERROR((J64-E64)*10000,"n/a")</f>
        <v>-17.8026905829598</v>
      </c>
      <c r="K65" s="4"/>
      <c r="L65" s="3"/>
      <c r="M65" s="3"/>
    </row>
    <row r="66">
      <c r="A66" s="3"/>
      <c r="B66" s="56" t="s">
        <v>110</v>
      </c>
      <c r="C66" s="77" t="s">
        <v>44</v>
      </c>
      <c r="D66" s="77">
        <f>IFERROR((D64-C64)*10000,"n/a")</f>
        <v>377.97204026389505</v>
      </c>
      <c r="E66" s="77">
        <f>IFERROR((E64-D64)*10000,"n/a")</f>
        <v>-186.56856690207002</v>
      </c>
      <c r="F66" s="77">
        <f>IFERROR((F64-E64)*10000,"n/a")</f>
        <v>667.499322839859</v>
      </c>
      <c r="G66" s="77" t="s">
        <v>44</v>
      </c>
      <c r="H66" s="77">
        <f>IFERROR((H64-F64)*10000,"n/a")</f>
        <v>-977.4793619741798</v>
      </c>
      <c r="I66" s="77">
        <f>IFERROR((I64-H64)*10000,"n/a")</f>
        <v>351.2164944588339</v>
      </c>
      <c r="J66" s="78">
        <f>IFERROR((J64-I64)*10000,"n/a")</f>
        <v>-59.03914590747294</v>
      </c>
      <c r="K66" s="4"/>
      <c r="L66" s="3"/>
      <c r="M66" s="3"/>
    </row>
    <row r="67">
      <c r="A67" s="3"/>
      <c r="B67" s="15" t="s">
        <v>180</v>
      </c>
      <c r="C67" s="21">
        <f>C55-C61</f>
        <v>161</v>
      </c>
      <c r="D67" s="21">
        <f>D55-D61</f>
        <v>93</v>
      </c>
      <c r="E67" s="21">
        <f>E55-E61</f>
        <v>156</v>
      </c>
      <c r="F67" s="21">
        <f>F55-F61</f>
        <v>54</v>
      </c>
      <c r="G67" s="21">
        <f>SUM(C67:F67)</f>
        <v>464</v>
      </c>
      <c r="H67" s="21">
        <f>H55-H61</f>
        <v>218</v>
      </c>
      <c r="I67" s="21">
        <f>I55-I61</f>
        <v>134</v>
      </c>
      <c r="J67" s="43">
        <f>J55-J61</f>
        <v>183.03840000000002</v>
      </c>
      <c r="K67" s="4" t="s">
        <v>181</v>
      </c>
      <c r="L67" s="3"/>
      <c r="M67" s="3"/>
    </row>
    <row r="68">
      <c r="A68" s="3"/>
      <c r="B68" s="56" t="s">
        <v>77</v>
      </c>
      <c r="C68" s="7">
        <f>IFERROR(IF(OR(C67&lt;0,C73&lt;0),"n.m.",C67/C73-1),"n/a")</f>
        <v>-0.07999999999999996</v>
      </c>
      <c r="D68" s="7">
        <f>IFERROR(IF(OR(D67&lt;0,D73&lt;0),"n.m.",D67/D73-1),"n/a")</f>
        <v>-0.13084112149532712</v>
      </c>
      <c r="E68" s="7">
        <f>IFERROR(IF(OR(E67&lt;0,E73&lt;0),"n.m.",E67/E73-1),"n/a")</f>
        <v>0.19083969465648853</v>
      </c>
      <c r="F68" s="7" t="str">
        <f>IFERROR(IF(OR(F67&lt;0,F73&lt;0),"n.m.",F67/F73-1),"n/a")</f>
        <v>n.m.</v>
      </c>
      <c r="G68" s="7">
        <f>IFERROR(IF(OR(G67&lt;0,G73&lt;0),"n.m.",G67/G73-1),"n/a")</f>
        <v>0.1867007672634271</v>
      </c>
      <c r="H68" s="7">
        <f>IFERROR(IF(OR(H67&lt;0,C67&lt;0),"n.m.",H67/C67-1),"n/a")</f>
        <v>0.35403726708074523</v>
      </c>
      <c r="I68" s="7">
        <f>IFERROR(IF(OR(I67&lt;0,D67&lt;0),"n.m.",I67/D67-1),"n/a")</f>
        <v>0.4408602150537635</v>
      </c>
      <c r="J68" s="25">
        <f>IFERROR(IF(OR(J67&lt;0,E67&lt;0),"n.m.",J67/E67-1),"n/a")</f>
        <v>0.17332307692307714</v>
      </c>
      <c r="K68" s="4"/>
      <c r="L68" s="3"/>
      <c r="M68" s="3"/>
    </row>
    <row r="69">
      <c r="A69" s="3"/>
      <c r="B69" s="29" t="s">
        <v>94</v>
      </c>
      <c r="C69" s="1" t="s">
        <v>44</v>
      </c>
      <c r="D69" s="1">
        <f>IFERROR(D67-C67,"n/a")</f>
        <v>-68</v>
      </c>
      <c r="E69" s="1">
        <f>IFERROR(E67-D67,"n/a")</f>
        <v>63</v>
      </c>
      <c r="F69" s="1">
        <f>IFERROR(F67-E67,"n/a")</f>
        <v>-102</v>
      </c>
      <c r="G69" s="1" t="s">
        <v>44</v>
      </c>
      <c r="H69" s="1">
        <f>IFERROR(H67-F67,"n/a")</f>
        <v>164</v>
      </c>
      <c r="I69" s="1">
        <f>IFERROR(I67-H67,"n/a")</f>
        <v>-84</v>
      </c>
      <c r="J69" s="16">
        <f>IFERROR(J67-I67,"n/a")</f>
        <v>49.038400000000024</v>
      </c>
      <c r="K69" s="4"/>
      <c r="L69" s="3"/>
      <c r="M69" s="3"/>
    </row>
    <row r="70">
      <c r="A70" s="3"/>
      <c r="B70" s="12" t="s">
        <v>182</v>
      </c>
      <c r="C70" s="7">
        <f>IFERROR(C67/C51,"n/a")</f>
        <v>0.15753424657534246</v>
      </c>
      <c r="D70" s="7">
        <f>IFERROR(D67/D51,"n/a")</f>
        <v>0.09281437125748503</v>
      </c>
      <c r="E70" s="7">
        <f>IFERROR(E67/E51,"n/a")</f>
        <v>0.13991031390134528</v>
      </c>
      <c r="F70" s="7">
        <f>IFERROR(F67/F51,"n/a")</f>
        <v>0.036241610738255034</v>
      </c>
      <c r="G70" s="7">
        <f>IFERROR(G67/G51,"n/a")</f>
        <v>0.10023763231799525</v>
      </c>
      <c r="H70" s="7">
        <f>IFERROR(H67/H51,"n/a")</f>
        <v>0.19139596136962247</v>
      </c>
      <c r="I70" s="7">
        <f>IFERROR(I67/I51,"n/a")</f>
        <v>0.11921708185053381</v>
      </c>
      <c r="J70" s="25">
        <f>IFERROR(J67/J51,"n/a")</f>
        <v>0.15200000000000002</v>
      </c>
      <c r="K70" s="4"/>
      <c r="L70" s="3"/>
      <c r="M70" s="3"/>
    </row>
    <row r="71">
      <c r="A71" s="3"/>
      <c r="B71" s="56" t="s">
        <v>109</v>
      </c>
      <c r="C71" s="77">
        <f>IFERROR((C70-C74)*10000,"n/a")</f>
        <v>-99.29868257193442</v>
      </c>
      <c r="D71" s="77">
        <f>IFERROR((D70-D74)*10000,"n/a")</f>
        <v>-145.07594640208052</v>
      </c>
      <c r="E71" s="77">
        <f>IFERROR((E70-E74)*10000,"n/a")</f>
        <v>198.36986678613846</v>
      </c>
      <c r="F71" s="77">
        <f>IFERROR((F70-F74)*10000,"n/a")</f>
        <v>517.7833390209685</v>
      </c>
      <c r="G71" s="77">
        <f>IFERROR((G70-G74)*10000,"n/a")</f>
        <v>142.84675624216396</v>
      </c>
      <c r="H71" s="77">
        <f>IFERROR((H70-C70)*10000,"n/a")</f>
        <v>338.61714794280016</v>
      </c>
      <c r="I71" s="77">
        <f>IFERROR((I70-D70)*10000,"n/a")</f>
        <v>264.0271059304879</v>
      </c>
      <c r="J71" s="78">
        <f>IFERROR((J70-E70)*10000,"n/a")</f>
        <v>120.8968609865474</v>
      </c>
      <c r="K71" s="4"/>
      <c r="L71" s="3"/>
      <c r="M71" s="3"/>
    </row>
    <row r="72">
      <c r="A72" s="3"/>
      <c r="B72" s="56" t="s">
        <v>110</v>
      </c>
      <c r="C72" s="77" t="s">
        <v>44</v>
      </c>
      <c r="D72" s="77">
        <f>IFERROR((D70-C70)*10000,"n/a")</f>
        <v>-647.1987531785743</v>
      </c>
      <c r="E72" s="77">
        <f>IFERROR((E70-D70)*10000,"n/a")</f>
        <v>470.9594264386026</v>
      </c>
      <c r="F72" s="77">
        <f>IFERROR((F70-E70)*10000,"n/a")</f>
        <v>-1036.6870316309025</v>
      </c>
      <c r="G72" s="77" t="s">
        <v>44</v>
      </c>
      <c r="H72" s="77">
        <f>IFERROR((H70-F70)*10000,"n/a")</f>
        <v>1551.5435063136745</v>
      </c>
      <c r="I72" s="77">
        <f>IFERROR((I70-H70)*10000,"n/a")</f>
        <v>-721.7887951908866</v>
      </c>
      <c r="J72" s="78">
        <f>IFERROR((J70-I70)*10000,"n/a")</f>
        <v>327.8291814946621</v>
      </c>
      <c r="K72" s="4"/>
      <c r="L72" s="3"/>
      <c r="M72" s="3"/>
    </row>
    <row r="73">
      <c r="A73" s="3"/>
      <c r="B73" s="3" t="s">
        <v>183</v>
      </c>
      <c r="C73" s="19">
        <v>175</v>
      </c>
      <c r="D73" s="19">
        <v>107</v>
      </c>
      <c r="E73" s="19">
        <v>131</v>
      </c>
      <c r="F73" s="19">
        <v>-22</v>
      </c>
      <c r="G73" s="1">
        <f>SUM(C73:F73)</f>
        <v>391</v>
      </c>
      <c r="H73" s="1">
        <f>C67</f>
        <v>161</v>
      </c>
      <c r="I73" s="1">
        <f>D67</f>
        <v>93</v>
      </c>
      <c r="J73" s="16">
        <f>E67</f>
        <v>156</v>
      </c>
      <c r="K73" s="4" t="s">
        <v>184</v>
      </c>
      <c r="L73" s="3"/>
      <c r="M73" s="3"/>
    </row>
    <row r="74">
      <c r="A74" s="3"/>
      <c r="B74" s="56" t="s">
        <v>185</v>
      </c>
      <c r="C74" s="115">
        <f>IFERROR(C73/C10,"n/a")</f>
        <v>0.1674641148325359</v>
      </c>
      <c r="D74" s="115">
        <f>IFERROR(D73/D10,"n/a")</f>
        <v>0.10732196589769308</v>
      </c>
      <c r="E74" s="115">
        <f>IFERROR(E73/E10,"n/a")</f>
        <v>0.12007332722273144</v>
      </c>
      <c r="F74" s="115">
        <f>IFERROR(F73/F10,"n/a")</f>
        <v>-0.015536723163841809</v>
      </c>
      <c r="G74" s="115">
        <f>IFERROR(G73/G10,"n/a")</f>
        <v>0.08595295669377885</v>
      </c>
      <c r="H74" s="7">
        <f>IFERROR(H73/H10,"n/a")</f>
        <v>0.15753424657534246</v>
      </c>
      <c r="I74" s="7">
        <f>IFERROR(I73/I10,"n/a")</f>
        <v>0.09281437125748503</v>
      </c>
      <c r="J74" s="25">
        <f>IFERROR(J73/J10,"n/a")</f>
        <v>0.13991031390134528</v>
      </c>
      <c r="K74" s="4"/>
      <c r="L74" s="3"/>
      <c r="M74" s="3"/>
    </row>
    <row r="75">
      <c r="A75" s="3"/>
      <c r="B75" s="3" t="s">
        <v>186</v>
      </c>
      <c r="C75" s="19">
        <v>-4</v>
      </c>
      <c r="D75" s="19">
        <v>1</v>
      </c>
      <c r="E75" s="19">
        <v>1</v>
      </c>
      <c r="F75" s="19">
        <v>-1</v>
      </c>
      <c r="G75" s="1">
        <f>SUM(C75:F75)</f>
        <v>-3</v>
      </c>
      <c r="H75" s="19">
        <v>9</v>
      </c>
      <c r="I75" s="19">
        <v>3</v>
      </c>
      <c r="J75" s="16">
        <f>J73*J26</f>
        <v>3.12</v>
      </c>
      <c r="K75" s="4" t="s">
        <v>187</v>
      </c>
      <c r="L75" s="3"/>
      <c r="M75" s="3"/>
    </row>
    <row r="76">
      <c r="A76" s="3"/>
      <c r="B76" s="15" t="s">
        <v>188</v>
      </c>
      <c r="C76" s="21">
        <f>C67-C75</f>
        <v>165</v>
      </c>
      <c r="D76" s="21">
        <f>D67-D75</f>
        <v>92</v>
      </c>
      <c r="E76" s="21">
        <f>E67-E75</f>
        <v>155</v>
      </c>
      <c r="F76" s="21">
        <f>F67-F75</f>
        <v>55</v>
      </c>
      <c r="G76" s="21">
        <f>G67-G75</f>
        <v>467</v>
      </c>
      <c r="H76" s="21">
        <f>H67-H75</f>
        <v>209</v>
      </c>
      <c r="I76" s="21">
        <f>I67-I75</f>
        <v>131</v>
      </c>
      <c r="J76" s="43">
        <f>J67-J75</f>
        <v>179.91840000000002</v>
      </c>
      <c r="K76" s="4"/>
      <c r="L76" s="3"/>
      <c r="M76" s="3"/>
    </row>
    <row r="77">
      <c r="A77" s="3"/>
      <c r="B77" s="56" t="s">
        <v>189</v>
      </c>
      <c r="C77" s="7">
        <f>IFERROR(IF(OR(C76&lt;0,C73&lt;0),"n.m.",C76/C73-1),"n/a")</f>
        <v>-0.05714285714285716</v>
      </c>
      <c r="D77" s="7">
        <f>IFERROR(IF(OR(D76&lt;0,D73&lt;0),"n.m.",D76/D73-1),"n/a")</f>
        <v>-0.14018691588785048</v>
      </c>
      <c r="E77" s="7">
        <f>IFERROR(IF(OR(E76&lt;0,E73&lt;0),"n.m.",E76/E73-1),"n/a")</f>
        <v>0.1832061068702291</v>
      </c>
      <c r="F77" s="7" t="str">
        <f>IFERROR(IF(OR(F76&lt;0,F73&lt;0),"n.m.",F76/F73-1),"n/a")</f>
        <v>n.m.</v>
      </c>
      <c r="G77" s="7">
        <f>IFERROR(IF(OR(G76&lt;0,G73&lt;0),"n.m.",G76/G73-1),"n/a")</f>
        <v>0.19437340153452687</v>
      </c>
      <c r="H77" s="7">
        <f>IFERROR(IF(OR(H76&lt;0,H73&lt;0),"n.m.",H76/H73-1),"n/a")</f>
        <v>0.2981366459627328</v>
      </c>
      <c r="I77" s="7">
        <f>IFERROR(IF(OR(I76&lt;0,I73&lt;0),"n.m.",I76/I73-1),"n/a")</f>
        <v>0.4086021505376345</v>
      </c>
      <c r="J77" s="25">
        <f>IFERROR(IF(OR(J76&lt;0,J73&lt;0),"n.m.",J76/J73-1),"n/a")</f>
        <v>0.15332307692307712</v>
      </c>
      <c r="K77" s="4"/>
      <c r="L77" s="3"/>
      <c r="M77" s="3"/>
    </row>
    <row r="78">
      <c r="A78" s="3"/>
      <c r="B78" s="3"/>
      <c r="C78" s="1"/>
      <c r="D78" s="1"/>
      <c r="E78" s="1"/>
      <c r="F78" s="1"/>
      <c r="G78" s="1"/>
      <c r="H78" s="1"/>
      <c r="I78" s="1"/>
      <c r="J78" s="16"/>
      <c r="K78" s="4"/>
      <c r="L78" s="3"/>
      <c r="M78" s="3"/>
    </row>
    <row r="79">
      <c r="A79" s="3"/>
      <c r="B79" s="15" t="s">
        <v>190</v>
      </c>
      <c r="C79" s="5"/>
      <c r="D79" s="5"/>
      <c r="E79" s="5"/>
      <c r="F79" s="5"/>
      <c r="G79" s="5"/>
      <c r="H79" s="5"/>
      <c r="I79" s="5"/>
      <c r="J79" s="22"/>
      <c r="K79" s="4"/>
      <c r="L79" s="3"/>
      <c r="M79" s="3"/>
    </row>
    <row r="80">
      <c r="A80" s="3"/>
      <c r="B80" s="29" t="s">
        <v>191</v>
      </c>
      <c r="C80" s="19">
        <v>1</v>
      </c>
      <c r="D80" s="19">
        <v>3</v>
      </c>
      <c r="E80" s="19">
        <v>5</v>
      </c>
      <c r="F80" s="19">
        <v>3</v>
      </c>
      <c r="G80" s="1">
        <f>SUM(C80:F80)</f>
        <v>12</v>
      </c>
      <c r="H80" s="19">
        <v>1</v>
      </c>
      <c r="I80" s="19">
        <v>7</v>
      </c>
      <c r="J80" s="16">
        <f>AVERAGE(H80:I80)</f>
        <v>4</v>
      </c>
      <c r="K80" s="4" t="s">
        <v>192</v>
      </c>
      <c r="L80" s="3"/>
      <c r="M80" s="3"/>
    </row>
    <row r="81">
      <c r="A81" s="3"/>
      <c r="B81" s="49" t="s">
        <v>77</v>
      </c>
      <c r="C81" s="7" t="s">
        <v>44</v>
      </c>
      <c r="D81" s="7" t="s">
        <v>44</v>
      </c>
      <c r="E81" s="7" t="s">
        <v>44</v>
      </c>
      <c r="F81" s="7" t="s">
        <v>44</v>
      </c>
      <c r="G81" s="7" t="s">
        <v>44</v>
      </c>
      <c r="H81" s="7">
        <f>IFERROR(IF(OR(H80&lt;0,C80&lt;0),"n.m.",H80/C80-1),"n/a")</f>
        <v>0</v>
      </c>
      <c r="I81" s="7">
        <f>IFERROR(IF(OR(I80&lt;0,D80&lt;0),"n.m.",I80/D80-1),"n/a")</f>
        <v>1.3333333333333335</v>
      </c>
      <c r="J81" s="25">
        <f>IFERROR(IF(OR(J80&lt;0,E80&lt;0),"n.m.",J80/E80-1),"n/a")</f>
        <v>-0.19999999999999996</v>
      </c>
      <c r="K81" s="4"/>
      <c r="L81" s="3"/>
      <c r="M81" s="3"/>
    </row>
    <row r="82">
      <c r="A82" s="3"/>
      <c r="B82" s="63" t="s">
        <v>94</v>
      </c>
      <c r="C82" s="1" t="s">
        <v>44</v>
      </c>
      <c r="D82" s="1">
        <f>IFERROR(D80-C80,"n/a")</f>
        <v>2</v>
      </c>
      <c r="E82" s="1">
        <f>IFERROR(E80-D80,"n/a")</f>
        <v>2</v>
      </c>
      <c r="F82" s="1">
        <f>IFERROR(F80-E80,"n/a")</f>
        <v>-2</v>
      </c>
      <c r="G82" s="1" t="s">
        <v>44</v>
      </c>
      <c r="H82" s="1">
        <f>IFERROR(H80-F80,"n/a")</f>
        <v>-2</v>
      </c>
      <c r="I82" s="1">
        <f>IFERROR(I80-H80,"n/a")</f>
        <v>6</v>
      </c>
      <c r="J82" s="16">
        <f>IFERROR(J80-I80,"n/a")</f>
        <v>-3</v>
      </c>
      <c r="K82" s="4"/>
      <c r="L82" s="3"/>
      <c r="M82" s="3"/>
    </row>
    <row r="83">
      <c r="A83" s="3"/>
      <c r="B83" s="29" t="s">
        <v>193</v>
      </c>
      <c r="C83" s="19">
        <v>0</v>
      </c>
      <c r="D83" s="19">
        <v>0</v>
      </c>
      <c r="E83" s="19">
        <v>0</v>
      </c>
      <c r="F83" s="19">
        <v>3</v>
      </c>
      <c r="G83" s="1">
        <f>SUM(C83:F83)</f>
        <v>3</v>
      </c>
      <c r="H83" s="19">
        <v>0</v>
      </c>
      <c r="I83" s="19">
        <v>0</v>
      </c>
      <c r="J83" s="51">
        <v>0</v>
      </c>
      <c r="K83" s="4" t="s">
        <v>194</v>
      </c>
      <c r="L83" s="3"/>
      <c r="M83" s="3"/>
    </row>
    <row r="84">
      <c r="A84" s="3"/>
      <c r="B84" s="29" t="s">
        <v>195</v>
      </c>
      <c r="C84" s="19">
        <v>0</v>
      </c>
      <c r="D84" s="19">
        <v>80</v>
      </c>
      <c r="E84" s="19">
        <v>0</v>
      </c>
      <c r="F84" s="19">
        <v>0</v>
      </c>
      <c r="G84" s="1">
        <f>SUM(C84:F84)</f>
        <v>80</v>
      </c>
      <c r="H84" s="19">
        <v>0</v>
      </c>
      <c r="I84" s="19">
        <v>0</v>
      </c>
      <c r="J84" s="51">
        <v>0</v>
      </c>
      <c r="K84" s="4" t="s">
        <v>194</v>
      </c>
      <c r="L84" s="3"/>
      <c r="M84" s="3"/>
    </row>
    <row r="85">
      <c r="A85" s="3"/>
      <c r="B85" s="29" t="s">
        <v>196</v>
      </c>
      <c r="C85" s="19">
        <v>0</v>
      </c>
      <c r="D85" s="19">
        <v>0</v>
      </c>
      <c r="E85" s="19">
        <v>0</v>
      </c>
      <c r="F85" s="19">
        <v>0</v>
      </c>
      <c r="G85" s="1">
        <f>SUM(C85:F85)</f>
        <v>0</v>
      </c>
      <c r="H85" s="19">
        <v>0</v>
      </c>
      <c r="I85" s="19">
        <v>0</v>
      </c>
      <c r="J85" s="51">
        <v>0</v>
      </c>
      <c r="K85" s="4" t="s">
        <v>194</v>
      </c>
      <c r="L85" s="3"/>
      <c r="M85" s="3"/>
    </row>
    <row r="86">
      <c r="A86" s="3"/>
      <c r="B86" s="29" t="s">
        <v>197</v>
      </c>
      <c r="C86" s="19">
        <v>0</v>
      </c>
      <c r="D86" s="19">
        <v>0</v>
      </c>
      <c r="E86" s="19">
        <v>0</v>
      </c>
      <c r="F86" s="19">
        <v>0</v>
      </c>
      <c r="G86" s="1">
        <f>SUM(C86:F86)</f>
        <v>0</v>
      </c>
      <c r="H86" s="19">
        <v>0</v>
      </c>
      <c r="I86" s="19">
        <v>0</v>
      </c>
      <c r="J86" s="51">
        <v>0</v>
      </c>
      <c r="K86" s="4" t="s">
        <v>194</v>
      </c>
      <c r="L86" s="3"/>
      <c r="M86" s="3"/>
    </row>
    <row r="87">
      <c r="A87" s="3"/>
      <c r="B87" s="15" t="s">
        <v>198</v>
      </c>
      <c r="C87" s="21">
        <f>C80+C83+C84+C85+C86</f>
        <v>1</v>
      </c>
      <c r="D87" s="21">
        <f>D80+D83+D84+D85+D86</f>
        <v>83</v>
      </c>
      <c r="E87" s="21">
        <f>E80+E83+E84+E85+E86</f>
        <v>5</v>
      </c>
      <c r="F87" s="21">
        <f>F80+F83+F84+F85+F86</f>
        <v>6</v>
      </c>
      <c r="G87" s="21">
        <f>G80+G83+G84+G85+G86</f>
        <v>95</v>
      </c>
      <c r="H87" s="21">
        <f>H80+H83+H84+H85+H86</f>
        <v>1</v>
      </c>
      <c r="I87" s="21">
        <f>I80+I83+I84+I85+I86</f>
        <v>7</v>
      </c>
      <c r="J87" s="43">
        <f>J80+J83+J84+J85+J86</f>
        <v>4</v>
      </c>
      <c r="K87" s="4"/>
      <c r="L87" s="3"/>
      <c r="M87" s="3"/>
    </row>
    <row r="88">
      <c r="A88" s="3"/>
      <c r="B88" s="15" t="s">
        <v>199</v>
      </c>
      <c r="C88" s="21">
        <f>C67-C87</f>
        <v>160</v>
      </c>
      <c r="D88" s="21">
        <f>D67-D87</f>
        <v>10</v>
      </c>
      <c r="E88" s="21">
        <f>E67-E87</f>
        <v>151</v>
      </c>
      <c r="F88" s="21">
        <f>F67-F87</f>
        <v>48</v>
      </c>
      <c r="G88" s="21">
        <f>G67-G87</f>
        <v>369</v>
      </c>
      <c r="H88" s="21">
        <f>H67-H87</f>
        <v>217</v>
      </c>
      <c r="I88" s="21">
        <f>I67-I87</f>
        <v>127</v>
      </c>
      <c r="J88" s="43">
        <f>J67-J87</f>
        <v>179.03840000000002</v>
      </c>
      <c r="K88" s="4"/>
      <c r="L88" s="3"/>
      <c r="M88" s="3"/>
    </row>
    <row r="89">
      <c r="A89" s="3"/>
      <c r="B89" s="56" t="s">
        <v>77</v>
      </c>
      <c r="C89" s="7" t="s">
        <v>44</v>
      </c>
      <c r="D89" s="7" t="s">
        <v>44</v>
      </c>
      <c r="E89" s="7" t="s">
        <v>44</v>
      </c>
      <c r="F89" s="7" t="s">
        <v>44</v>
      </c>
      <c r="G89" s="7" t="s">
        <v>44</v>
      </c>
      <c r="H89" s="7">
        <f>IFERROR(IF(OR(H88&lt;0,C88&lt;0),"n.m.",H88/C88-1),"n/a")</f>
        <v>0.35624999999999996</v>
      </c>
      <c r="I89" s="7">
        <f>IFERROR(IF(OR(I88&lt;0,D88&lt;0),"n.m.",I88/D88-1),"n/a")</f>
        <v>11.7</v>
      </c>
      <c r="J89" s="25">
        <f>IFERROR(IF(OR(J88&lt;0,E88&lt;0),"n.m.",J88/E88-1),"n/a")</f>
        <v>0.1856847682119207</v>
      </c>
      <c r="K89" s="4"/>
      <c r="L89" s="3"/>
      <c r="M89" s="3"/>
    </row>
    <row r="90">
      <c r="A90" s="3"/>
      <c r="B90" s="29" t="s">
        <v>94</v>
      </c>
      <c r="C90" s="1" t="s">
        <v>44</v>
      </c>
      <c r="D90" s="1">
        <f>IFERROR(D88-C88,"n/a")</f>
        <v>-150</v>
      </c>
      <c r="E90" s="1">
        <f>IFERROR(E88-D88,"n/a")</f>
        <v>141</v>
      </c>
      <c r="F90" s="1">
        <f>IFERROR(F88-E88,"n/a")</f>
        <v>-103</v>
      </c>
      <c r="G90" s="1" t="s">
        <v>44</v>
      </c>
      <c r="H90" s="1">
        <f>IFERROR(H88-F88,"n/a")</f>
        <v>169</v>
      </c>
      <c r="I90" s="1">
        <f>IFERROR(I88-H88,"n/a")</f>
        <v>-90</v>
      </c>
      <c r="J90" s="16">
        <f>IFERROR(J88-I88,"n/a")</f>
        <v>52.038400000000024</v>
      </c>
      <c r="K90" s="4"/>
      <c r="L90" s="3"/>
      <c r="M90" s="3"/>
    </row>
    <row r="91">
      <c r="A91" s="3"/>
      <c r="B91" s="12" t="s">
        <v>200</v>
      </c>
      <c r="C91" s="7">
        <f>IFERROR(C88/C51,"n/a")</f>
        <v>0.15655577299412915</v>
      </c>
      <c r="D91" s="7">
        <f>IFERROR(D88/D51,"n/a")</f>
        <v>0.00998003992015968</v>
      </c>
      <c r="E91" s="7">
        <f>IFERROR(E88/E51,"n/a")</f>
        <v>0.13542600896860987</v>
      </c>
      <c r="F91" s="7">
        <f>IFERROR(F88/F51,"n/a")</f>
        <v>0.032214765100671144</v>
      </c>
      <c r="G91" s="7">
        <f>IFERROR(G88/G51,"n/a")</f>
        <v>0.0797148412184057</v>
      </c>
      <c r="H91" s="7">
        <f>IFERROR(H88/H51,"n/a")</f>
        <v>0.19051799824407376</v>
      </c>
      <c r="I91" s="7">
        <f>IFERROR(I88/I51,"n/a")</f>
        <v>0.11298932384341637</v>
      </c>
      <c r="J91" s="25">
        <f>IFERROR(J88/J51,"n/a")</f>
        <v>0.14867829264241822</v>
      </c>
      <c r="K91" s="4"/>
      <c r="L91" s="3"/>
      <c r="M91" s="3"/>
    </row>
    <row r="92">
      <c r="A92" s="3"/>
      <c r="B92" s="56" t="s">
        <v>109</v>
      </c>
      <c r="C92" s="77" t="s">
        <v>44</v>
      </c>
      <c r="D92" s="77" t="s">
        <v>44</v>
      </c>
      <c r="E92" s="77" t="s">
        <v>44</v>
      </c>
      <c r="F92" s="77" t="s">
        <v>44</v>
      </c>
      <c r="G92" s="77" t="s">
        <v>44</v>
      </c>
      <c r="H92" s="77">
        <f>IFERROR((H91-C91)*10000,"n/a")</f>
        <v>339.62225249944606</v>
      </c>
      <c r="I92" s="77">
        <f>IFERROR((I91-D91)*10000,"n/a")</f>
        <v>1030.0928392325668</v>
      </c>
      <c r="J92" s="78">
        <f>IFERROR((J91-E91)*10000,"n/a")</f>
        <v>132.52283673808347</v>
      </c>
      <c r="K92" s="4"/>
      <c r="L92" s="3"/>
      <c r="M92" s="3"/>
    </row>
    <row r="93">
      <c r="A93" s="3"/>
      <c r="B93" s="56" t="s">
        <v>110</v>
      </c>
      <c r="C93" s="77" t="s">
        <v>44</v>
      </c>
      <c r="D93" s="77">
        <f>IFERROR((D91-C91)*10000,"n/a")</f>
        <v>-1465.757330739695</v>
      </c>
      <c r="E93" s="77">
        <f>IFERROR((E91-D91)*10000,"n/a")</f>
        <v>1254.4596904845018</v>
      </c>
      <c r="F93" s="77">
        <f>IFERROR((F91-E91)*10000,"n/a")</f>
        <v>-1032.1124386793872</v>
      </c>
      <c r="G93" s="77" t="s">
        <v>44</v>
      </c>
      <c r="H93" s="77">
        <f>IFERROR((H91-F91)*10000,"n/a")</f>
        <v>1583.0323314340262</v>
      </c>
      <c r="I93" s="77">
        <f>IFERROR((I91-H91)*10000,"n/a")</f>
        <v>-775.2867440065738</v>
      </c>
      <c r="J93" s="78">
        <f>IFERROR((J91-I91)*10000,"n/a")</f>
        <v>356.8896879900185</v>
      </c>
      <c r="K93" s="4"/>
      <c r="L93" s="3"/>
      <c r="M93" s="3"/>
    </row>
    <row r="94">
      <c r="A94" s="3"/>
      <c r="B94" s="3" t="s">
        <v>201</v>
      </c>
      <c r="C94" s="19">
        <v>160</v>
      </c>
      <c r="D94" s="19">
        <v>10</v>
      </c>
      <c r="E94" s="19">
        <v>151</v>
      </c>
      <c r="F94" s="19">
        <v>48</v>
      </c>
      <c r="G94" s="19">
        <v>369</v>
      </c>
      <c r="H94" s="19">
        <v>217</v>
      </c>
      <c r="I94" s="19">
        <v>127</v>
      </c>
      <c r="J94" s="16" t="s">
        <v>44</v>
      </c>
      <c r="K94" s="4" t="s">
        <v>202</v>
      </c>
      <c r="L94" s="3"/>
      <c r="M94" s="3"/>
    </row>
    <row r="95">
      <c r="A95" s="3"/>
      <c r="B95" s="12" t="s">
        <v>203</v>
      </c>
      <c r="C95" s="52">
        <f>C88-C94</f>
        <v>0</v>
      </c>
      <c r="D95" s="52">
        <f>D88-D94</f>
        <v>0</v>
      </c>
      <c r="E95" s="52">
        <f>E88-E94</f>
        <v>0</v>
      </c>
      <c r="F95" s="52">
        <f>F88-F94</f>
        <v>0</v>
      </c>
      <c r="G95" s="52">
        <f>G88-G94</f>
        <v>0</v>
      </c>
      <c r="H95" s="52">
        <f>H88-H94</f>
        <v>0</v>
      </c>
      <c r="I95" s="52">
        <f>I88-I94</f>
        <v>0</v>
      </c>
      <c r="J95" s="62" t="s">
        <v>44</v>
      </c>
      <c r="K95" s="4"/>
      <c r="L95" s="3"/>
      <c r="M95" s="3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M15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217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218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15" t="s">
        <v>43</v>
      </c>
      <c r="C10" s="88">
        <v>17919</v>
      </c>
      <c r="D10" s="88">
        <v>22726</v>
      </c>
      <c r="E10" s="88">
        <v>23937</v>
      </c>
      <c r="F10" s="88">
        <v>29343</v>
      </c>
      <c r="G10" s="5">
        <f>SUM(C10:F10)</f>
        <v>93925</v>
      </c>
      <c r="H10" s="88">
        <v>19443</v>
      </c>
      <c r="I10" s="88">
        <v>24181</v>
      </c>
      <c r="J10" s="89">
        <f>'Revenue summary'!J40</f>
        <v>24980.533500000005</v>
      </c>
      <c r="K10" s="4" t="s">
        <v>219</v>
      </c>
      <c r="L10" s="3"/>
      <c r="M10" s="3"/>
    </row>
    <row r="11">
      <c r="A11" s="3"/>
      <c r="B11" s="56" t="s">
        <v>77</v>
      </c>
      <c r="C11" s="7">
        <f>IFERROR(IF(OR(C10&lt;0,C139&lt;0),"n.m.",C10/C139-1),"n/a")</f>
        <v>-0.01813698630136984</v>
      </c>
      <c r="D11" s="7">
        <f>IFERROR(IF(OR(D10&lt;0,D139&lt;0),"n.m.",D10/D139-1),"n/a")</f>
        <v>0.00999955557530785</v>
      </c>
      <c r="E11" s="7">
        <f>IFERROR(IF(OR(E10&lt;0,E139&lt;0),"n.m.",E10/E139-1),"n/a")</f>
        <v>0.026501994082078983</v>
      </c>
      <c r="F11" s="7">
        <f>IFERROR(IF(OR(F10&lt;0,F139&lt;0),"n.m.",F10/F139-1),"n/a")</f>
        <v>0.05611143103944727</v>
      </c>
      <c r="G11" s="7">
        <f>IFERROR(IF(OR(G10&lt;0,G139&lt;0),"n.m.",G10/G139-1),"n/a")</f>
        <v>0.022546650118666633</v>
      </c>
      <c r="H11" s="7">
        <f>IFERROR(IF(OR(H10&lt;0,C10&lt;0),"n.m.",H10/C10-1),"n/a")</f>
        <v>0.08504938891679226</v>
      </c>
      <c r="I11" s="7">
        <f>IFERROR(IF(OR(I10&lt;0,D10&lt;0),"n.m.",I10/D10-1),"n/a")</f>
        <v>0.06402358532077801</v>
      </c>
      <c r="J11" s="25">
        <f>IFERROR(IF(OR(J10&lt;0,E10&lt;0),"n.m.",J10/E10-1),"n/a")</f>
        <v>0.043594999373355314</v>
      </c>
      <c r="K11" s="4"/>
      <c r="L11" s="3"/>
      <c r="M11" s="3"/>
    </row>
    <row r="12">
      <c r="A12" s="3"/>
      <c r="B12" s="56" t="s">
        <v>78</v>
      </c>
      <c r="C12" s="7" t="s">
        <v>44</v>
      </c>
      <c r="D12" s="7">
        <f>IFERROR(IF(OR(D10&lt;0,C10&lt;0),"n.m.",D10/C10-1),"n/a")</f>
        <v>0.26826273787599764</v>
      </c>
      <c r="E12" s="7">
        <f>IFERROR(IF(OR(E10&lt;0,D10&lt;0),"n.m.",E10/D10-1),"n/a")</f>
        <v>0.05328698407110788</v>
      </c>
      <c r="F12" s="7">
        <f>IFERROR(IF(OR(F10&lt;0,E10&lt;0),"n.m.",F10/E10-1),"n/a")</f>
        <v>0.2258428374483017</v>
      </c>
      <c r="G12" s="7" t="s">
        <v>44</v>
      </c>
      <c r="H12" s="7">
        <f>IFERROR(IF(OR(H10&lt;0,F10&lt;0),"n.m.",H10/F10-1),"n/a")</f>
        <v>-0.33738881504958596</v>
      </c>
      <c r="I12" s="7">
        <f>IFERROR(IF(OR(I10&lt;0,H10&lt;0),"n.m.",I10/H10-1),"n/a")</f>
        <v>0.24368667386720166</v>
      </c>
      <c r="J12" s="25">
        <f>IFERROR(IF(OR(J10&lt;0,I10&lt;0),"n.m.",J10/I10-1),"n/a")</f>
        <v>0.03306453413837329</v>
      </c>
      <c r="K12" s="4" t="s">
        <v>93</v>
      </c>
      <c r="L12" s="3"/>
      <c r="M12" s="3"/>
    </row>
    <row r="13">
      <c r="A13" s="3"/>
      <c r="B13" s="3" t="s">
        <v>220</v>
      </c>
      <c r="C13" s="19">
        <v>7926</v>
      </c>
      <c r="D13" s="19">
        <v>10304</v>
      </c>
      <c r="E13" s="19">
        <v>11113</v>
      </c>
      <c r="F13" s="19">
        <v>13723</v>
      </c>
      <c r="G13" s="1">
        <f>SUM(C13:F13)</f>
        <v>43066</v>
      </c>
      <c r="H13" s="19">
        <v>8712</v>
      </c>
      <c r="I13" s="19">
        <v>11070</v>
      </c>
      <c r="J13" s="64">
        <f>'Segment - PFNA'!J52+'Segment - PBNA'!J52+'Segment - IB Franchise'!J52+'Segment - EMEA'!J65+'Segment - LatAm Foods'!J52+'Segment - APAC Foods'!J52</f>
        <v>11729.245609000001</v>
      </c>
      <c r="K13" s="4" t="s">
        <v>221</v>
      </c>
      <c r="L13" s="3"/>
      <c r="M13" s="3"/>
    </row>
    <row r="14">
      <c r="A14" s="3"/>
      <c r="B14" s="56" t="s">
        <v>77</v>
      </c>
      <c r="C14" s="7" t="s">
        <v>44</v>
      </c>
      <c r="D14" s="7" t="s">
        <v>44</v>
      </c>
      <c r="E14" s="7" t="s">
        <v>44</v>
      </c>
      <c r="F14" s="7" t="s">
        <v>44</v>
      </c>
      <c r="G14" s="7" t="s">
        <v>44</v>
      </c>
      <c r="H14" s="7">
        <f>IFERROR(IF(OR(H13&lt;0,C13&lt;0),"n.m.",H13/C13-1),"n/a")</f>
        <v>0.09916729750189246</v>
      </c>
      <c r="I14" s="7">
        <f>IFERROR(IF(OR(I13&lt;0,D13&lt;0),"n.m.",I13/D13-1),"n/a")</f>
        <v>0.07434006211180133</v>
      </c>
      <c r="J14" s="25" t="s">
        <v>44</v>
      </c>
      <c r="K14" s="4" t="s">
        <v>222</v>
      </c>
      <c r="L14" s="3"/>
      <c r="M14" s="3"/>
    </row>
    <row r="15">
      <c r="A15" s="3"/>
      <c r="B15" s="15" t="s">
        <v>223</v>
      </c>
      <c r="C15" s="21">
        <f>C10-C13</f>
        <v>9993</v>
      </c>
      <c r="D15" s="21">
        <f>D10-D13</f>
        <v>12422</v>
      </c>
      <c r="E15" s="21">
        <f>E10-E13</f>
        <v>12824</v>
      </c>
      <c r="F15" s="21">
        <f>F10-F13</f>
        <v>15620</v>
      </c>
      <c r="G15" s="21">
        <f>G10-G13</f>
        <v>50859</v>
      </c>
      <c r="H15" s="21">
        <f>H10-H13</f>
        <v>10731</v>
      </c>
      <c r="I15" s="21">
        <f>I10-I13</f>
        <v>13111</v>
      </c>
      <c r="J15" s="43">
        <f>J10-J13</f>
        <v>13251.287891000004</v>
      </c>
      <c r="K15" s="4"/>
      <c r="L15" s="3"/>
      <c r="M15" s="3"/>
    </row>
    <row r="16">
      <c r="A16" s="3"/>
      <c r="B16" s="12" t="s">
        <v>224</v>
      </c>
      <c r="C16" s="7">
        <f>IFERROR(C15/C10,"n/a")</f>
        <v>0.5576762096099113</v>
      </c>
      <c r="D16" s="7">
        <f>IFERROR(D15/D10,"n/a")</f>
        <v>0.5465986095221332</v>
      </c>
      <c r="E16" s="7">
        <f>IFERROR(E15/E10,"n/a")</f>
        <v>0.5357396499143585</v>
      </c>
      <c r="F16" s="7">
        <f>IFERROR(F15/F10,"n/a")</f>
        <v>0.5323245748560134</v>
      </c>
      <c r="G16" s="7">
        <f>IFERROR(G15/G10,"n/a")</f>
        <v>0.541485227575193</v>
      </c>
      <c r="H16" s="7">
        <f>IFERROR(H15/H10,"n/a")</f>
        <v>0.5519209998457029</v>
      </c>
      <c r="I16" s="7">
        <f>IFERROR(I15/I10,"n/a")</f>
        <v>0.5422025557255696</v>
      </c>
      <c r="J16" s="25">
        <f>IFERROR(J15/J10,"n/a")</f>
        <v>0.5304645671798803</v>
      </c>
      <c r="K16" s="4"/>
      <c r="L16" s="3"/>
      <c r="M16" s="3"/>
    </row>
    <row r="17">
      <c r="A17" s="3"/>
      <c r="B17" s="56" t="s">
        <v>109</v>
      </c>
      <c r="C17" s="77" t="s">
        <v>44</v>
      </c>
      <c r="D17" s="77" t="s">
        <v>44</v>
      </c>
      <c r="E17" s="77" t="s">
        <v>44</v>
      </c>
      <c r="F17" s="77" t="s">
        <v>44</v>
      </c>
      <c r="G17" s="77" t="s">
        <v>44</v>
      </c>
      <c r="H17" s="77">
        <f>IFERROR((H16-C16)*10000,"n/a")</f>
        <v>-57.55209764208402</v>
      </c>
      <c r="I17" s="77">
        <f>IFERROR((I16-D16)*10000,"n/a")</f>
        <v>-43.960537965636036</v>
      </c>
      <c r="J17" s="78" t="s">
        <v>44</v>
      </c>
      <c r="K17" s="4" t="s">
        <v>225</v>
      </c>
      <c r="L17" s="3"/>
      <c r="M17" s="3"/>
    </row>
    <row r="18">
      <c r="A18" s="3"/>
      <c r="B18" s="56" t="s">
        <v>110</v>
      </c>
      <c r="C18" s="77" t="s">
        <v>44</v>
      </c>
      <c r="D18" s="77">
        <f>IFERROR((D16-C16)*10000,"n/a")</f>
        <v>-110.77600087778028</v>
      </c>
      <c r="E18" s="77">
        <f>IFERROR((E16-D16)*10000,"n/a")</f>
        <v>-108.5895960777472</v>
      </c>
      <c r="F18" s="77">
        <f>IFERROR((F16-E16)*10000,"n/a")</f>
        <v>-34.15075058345152</v>
      </c>
      <c r="G18" s="77" t="s">
        <v>44</v>
      </c>
      <c r="H18" s="77">
        <f>IFERROR((H16-F16)*10000,"n/a")</f>
        <v>195.96424989689498</v>
      </c>
      <c r="I18" s="77">
        <f>IFERROR((I16-H16)*10000,"n/a")</f>
        <v>-97.18444120133229</v>
      </c>
      <c r="J18" s="78" t="s">
        <v>44</v>
      </c>
      <c r="K18" s="4"/>
      <c r="L18" s="3"/>
      <c r="M18" s="3"/>
    </row>
    <row r="19">
      <c r="A19" s="3"/>
      <c r="B19" s="3" t="s">
        <v>226</v>
      </c>
      <c r="C19" s="19">
        <v>7410</v>
      </c>
      <c r="D19" s="19">
        <v>8773</v>
      </c>
      <c r="E19" s="19">
        <v>9122</v>
      </c>
      <c r="F19" s="19">
        <v>12063</v>
      </c>
      <c r="G19" s="1">
        <f>SUM(C19:F19)</f>
        <v>37368</v>
      </c>
      <c r="H19" s="19">
        <v>7518</v>
      </c>
      <c r="I19" s="19">
        <v>9088</v>
      </c>
      <c r="J19" s="16">
        <f>J15-J23-J24</f>
        <v>9036.766560823824</v>
      </c>
      <c r="K19" s="4" t="s">
        <v>227</v>
      </c>
      <c r="L19" s="3"/>
      <c r="M19" s="3"/>
    </row>
    <row r="20">
      <c r="A20" s="3"/>
      <c r="B20" s="12" t="s">
        <v>228</v>
      </c>
      <c r="C20" s="7">
        <f>IFERROR(C19/C10,"n/a")</f>
        <v>0.4135275405993638</v>
      </c>
      <c r="D20" s="7">
        <f>IFERROR(D19/D10,"n/a")</f>
        <v>0.38603361788260143</v>
      </c>
      <c r="E20" s="7">
        <f>IFERROR(E19/E10,"n/a")</f>
        <v>0.381083677988052</v>
      </c>
      <c r="F20" s="7">
        <f>IFERROR(F19/F10,"n/a")</f>
        <v>0.4111031591861773</v>
      </c>
      <c r="G20" s="7">
        <f>IFERROR(G19/G10,"n/a")</f>
        <v>0.39784934788394993</v>
      </c>
      <c r="H20" s="7">
        <f>IFERROR(H19/H10,"n/a")</f>
        <v>0.38666872396235147</v>
      </c>
      <c r="I20" s="7">
        <f>IFERROR(I19/I10,"n/a")</f>
        <v>0.3758322650014474</v>
      </c>
      <c r="J20" s="25">
        <f>IFERROR(J19/J10,"n/a")</f>
        <v>0.3617523445135318</v>
      </c>
      <c r="K20" s="4"/>
      <c r="L20" s="3"/>
      <c r="M20" s="3"/>
    </row>
    <row r="21">
      <c r="A21" s="3"/>
      <c r="B21" s="56" t="s">
        <v>109</v>
      </c>
      <c r="C21" s="77" t="s">
        <v>44</v>
      </c>
      <c r="D21" s="77" t="s">
        <v>44</v>
      </c>
      <c r="E21" s="77" t="s">
        <v>44</v>
      </c>
      <c r="F21" s="77" t="s">
        <v>44</v>
      </c>
      <c r="G21" s="77" t="s">
        <v>44</v>
      </c>
      <c r="H21" s="77">
        <f>IFERROR((H20-C20)*10000,"n/a")</f>
        <v>-268.5881663701234</v>
      </c>
      <c r="I21" s="77">
        <f>IFERROR((I20-D20)*10000,"n/a")</f>
        <v>-102.01352881154035</v>
      </c>
      <c r="J21" s="78" t="s">
        <v>44</v>
      </c>
      <c r="K21" s="4" t="s">
        <v>229</v>
      </c>
      <c r="L21" s="3"/>
      <c r="M21" s="3"/>
    </row>
    <row r="22">
      <c r="A22" s="3"/>
      <c r="B22" s="56" t="s">
        <v>110</v>
      </c>
      <c r="C22" s="77" t="s">
        <v>44</v>
      </c>
      <c r="D22" s="77">
        <f>IFERROR((D20-C20)*10000,"n/a")</f>
        <v>-274.93922716762376</v>
      </c>
      <c r="E22" s="77">
        <f>IFERROR((E20-D20)*10000,"n/a")</f>
        <v>-49.49939894549449</v>
      </c>
      <c r="F22" s="77">
        <f>IFERROR((F20-E20)*10000,"n/a")</f>
        <v>300.1948119812531</v>
      </c>
      <c r="G22" s="77" t="s">
        <v>44</v>
      </c>
      <c r="H22" s="77">
        <f>IFERROR((H20-F20)*10000,"n/a")</f>
        <v>-244.34435223825824</v>
      </c>
      <c r="I22" s="77">
        <f>IFERROR((I20-H20)*10000,"n/a")</f>
        <v>-108.36458960904072</v>
      </c>
      <c r="J22" s="78" t="s">
        <v>44</v>
      </c>
      <c r="K22" s="4"/>
      <c r="L22" s="3"/>
      <c r="M22" s="3"/>
    </row>
    <row r="23">
      <c r="A23" s="3"/>
      <c r="B23" s="3" t="s">
        <v>230</v>
      </c>
      <c r="C23" s="19">
        <v>0</v>
      </c>
      <c r="D23" s="19">
        <v>1860</v>
      </c>
      <c r="E23" s="19">
        <v>133</v>
      </c>
      <c r="F23" s="19">
        <v>0</v>
      </c>
      <c r="G23" s="1">
        <f>SUM(C23:F23)</f>
        <v>1993</v>
      </c>
      <c r="H23" s="19">
        <v>0</v>
      </c>
      <c r="I23" s="19">
        <v>0</v>
      </c>
      <c r="J23" s="51">
        <v>0</v>
      </c>
      <c r="K23" s="4" t="s">
        <v>231</v>
      </c>
      <c r="L23" s="3"/>
      <c r="M23" s="3"/>
    </row>
    <row r="24">
      <c r="A24" s="3"/>
      <c r="B24" s="15" t="s">
        <v>232</v>
      </c>
      <c r="C24" s="21">
        <f>C15-C19-C23</f>
        <v>2583</v>
      </c>
      <c r="D24" s="21">
        <f>D15-D19-D23</f>
        <v>1789</v>
      </c>
      <c r="E24" s="21">
        <f>E15-E19-E23</f>
        <v>3569</v>
      </c>
      <c r="F24" s="21">
        <f>F15-F19-F23</f>
        <v>3557</v>
      </c>
      <c r="G24" s="21">
        <f>SUM(C24:F24)</f>
        <v>11498</v>
      </c>
      <c r="H24" s="21">
        <f>H15-H19-H23</f>
        <v>3213</v>
      </c>
      <c r="I24" s="21">
        <f>I15-I19-I23</f>
        <v>4023</v>
      </c>
      <c r="J24" s="43">
        <f>J81</f>
        <v>4214.521330176179</v>
      </c>
      <c r="K24" s="4" t="s">
        <v>233</v>
      </c>
      <c r="L24" s="3"/>
      <c r="M24" s="3"/>
    </row>
    <row r="25">
      <c r="A25" s="3"/>
      <c r="B25" s="56" t="s">
        <v>77</v>
      </c>
      <c r="C25" s="7" t="s">
        <v>44</v>
      </c>
      <c r="D25" s="7" t="s">
        <v>44</v>
      </c>
      <c r="E25" s="7" t="s">
        <v>44</v>
      </c>
      <c r="F25" s="7" t="s">
        <v>44</v>
      </c>
      <c r="G25" s="7" t="s">
        <v>44</v>
      </c>
      <c r="H25" s="7">
        <f>IFERROR(IF(OR(H24&lt;0,C24&lt;0),"n.m.",H24/C24-1),"n/a")</f>
        <v>0.24390243902439024</v>
      </c>
      <c r="I25" s="7">
        <f>IFERROR(IF(OR(I24&lt;0,D24&lt;0),"n.m.",I24/D24-1),"n/a")</f>
        <v>1.2487423141419787</v>
      </c>
      <c r="J25" s="25">
        <f>IFERROR(IF(OR(J24&lt;0,E24&lt;0),"n.m.",J24/E24-1),"n/a")</f>
        <v>0.18086896334440428</v>
      </c>
      <c r="K25" s="4"/>
      <c r="L25" s="3"/>
      <c r="M25" s="3"/>
    </row>
    <row r="26">
      <c r="A26" s="3"/>
      <c r="B26" s="29" t="s">
        <v>94</v>
      </c>
      <c r="C26" s="1" t="s">
        <v>44</v>
      </c>
      <c r="D26" s="1">
        <f>IFERROR(D24-C24,"n/a")</f>
        <v>-794</v>
      </c>
      <c r="E26" s="1">
        <f>IFERROR(E24-D24,"n/a")</f>
        <v>1780</v>
      </c>
      <c r="F26" s="1">
        <f>IFERROR(F24-E24,"n/a")</f>
        <v>-12</v>
      </c>
      <c r="G26" s="1" t="s">
        <v>44</v>
      </c>
      <c r="H26" s="1">
        <f>IFERROR(H24-F24,"n/a")</f>
        <v>-344</v>
      </c>
      <c r="I26" s="1">
        <f>IFERROR(I24-H24,"n/a")</f>
        <v>810</v>
      </c>
      <c r="J26" s="16">
        <f>IFERROR(J24-I24,"n/a")</f>
        <v>191.5213301761787</v>
      </c>
      <c r="K26" s="4"/>
      <c r="L26" s="3"/>
      <c r="M26" s="3"/>
    </row>
    <row r="27">
      <c r="A27" s="3"/>
      <c r="B27" s="12" t="s">
        <v>234</v>
      </c>
      <c r="C27" s="7">
        <f>IFERROR(C24/C10,"n/a")</f>
        <v>0.14414866901054746</v>
      </c>
      <c r="D27" s="7">
        <f>IFERROR(D24/D10,"n/a")</f>
        <v>0.0787204083428672</v>
      </c>
      <c r="E27" s="7">
        <f>IFERROR(E24/E10,"n/a")</f>
        <v>0.14909972009859213</v>
      </c>
      <c r="F27" s="7">
        <f>IFERROR(F24/F10,"n/a")</f>
        <v>0.12122141566983607</v>
      </c>
      <c r="G27" s="7">
        <f>IFERROR(G24/G10,"n/a")</f>
        <v>0.12241682193239287</v>
      </c>
      <c r="H27" s="7">
        <f>IFERROR(H24/H10,"n/a")</f>
        <v>0.16525227588335134</v>
      </c>
      <c r="I27" s="7">
        <f>IFERROR(I24/I10,"n/a")</f>
        <v>0.16637029072412224</v>
      </c>
      <c r="J27" s="25">
        <f>IFERROR(J24/J10,"n/a")</f>
        <v>0.1687122226663485</v>
      </c>
      <c r="K27" s="4"/>
      <c r="L27" s="3"/>
      <c r="M27" s="3"/>
    </row>
    <row r="28">
      <c r="A28" s="3"/>
      <c r="B28" s="56" t="s">
        <v>109</v>
      </c>
      <c r="C28" s="77" t="s">
        <v>44</v>
      </c>
      <c r="D28" s="77" t="s">
        <v>44</v>
      </c>
      <c r="E28" s="77" t="s">
        <v>44</v>
      </c>
      <c r="F28" s="77" t="s">
        <v>44</v>
      </c>
      <c r="G28" s="77" t="s">
        <v>44</v>
      </c>
      <c r="H28" s="77">
        <f>IFERROR((H27-C27)*10000,"n/a")</f>
        <v>211.03606872803883</v>
      </c>
      <c r="I28" s="77">
        <f>IFERROR((I27-D27)*10000,"n/a")</f>
        <v>876.4988238125504</v>
      </c>
      <c r="J28" s="78">
        <f>IFERROR((J27-E27)*10000,"n/a")</f>
        <v>196.12502567756374</v>
      </c>
      <c r="K28" s="4"/>
      <c r="L28" s="3"/>
      <c r="M28" s="3"/>
    </row>
    <row r="29">
      <c r="A29" s="3"/>
      <c r="B29" s="56" t="s">
        <v>110</v>
      </c>
      <c r="C29" s="77" t="s">
        <v>44</v>
      </c>
      <c r="D29" s="77">
        <f>IFERROR((D27-C27)*10000,"n/a")</f>
        <v>-654.2826066768026</v>
      </c>
      <c r="E29" s="77">
        <f>IFERROR((E27-D27)*10000,"n/a")</f>
        <v>703.7931175572493</v>
      </c>
      <c r="F29" s="77">
        <f>IFERROR((F27-E27)*10000,"n/a")</f>
        <v>-278.78304428756053</v>
      </c>
      <c r="G29" s="77" t="s">
        <v>44</v>
      </c>
      <c r="H29" s="77">
        <f>IFERROR((H27-F27)*10000,"n/a")</f>
        <v>440.3086021351527</v>
      </c>
      <c r="I29" s="77">
        <f>IFERROR((I27-H27)*10000,"n/a")</f>
        <v>11.180148407708979</v>
      </c>
      <c r="J29" s="78">
        <f>IFERROR((J27-I27)*10000,"n/a")</f>
        <v>23.419319422262607</v>
      </c>
      <c r="K29" s="4"/>
      <c r="L29" s="3"/>
      <c r="M29" s="3"/>
    </row>
    <row r="30">
      <c r="A30" s="3"/>
      <c r="B30" s="3" t="s">
        <v>235</v>
      </c>
      <c r="C30" s="19">
        <v>23</v>
      </c>
      <c r="D30" s="19">
        <v>42</v>
      </c>
      <c r="E30" s="19">
        <v>26</v>
      </c>
      <c r="F30" s="19">
        <v>-224</v>
      </c>
      <c r="G30" s="1">
        <f>SUM(C30:F30)</f>
        <v>-133</v>
      </c>
      <c r="H30" s="19">
        <v>58</v>
      </c>
      <c r="I30" s="19">
        <v>59</v>
      </c>
      <c r="J30" s="16">
        <f>J121</f>
        <v>59</v>
      </c>
      <c r="K30" s="4"/>
      <c r="L30" s="3"/>
      <c r="M30" s="3"/>
    </row>
    <row r="31">
      <c r="A31" s="3"/>
      <c r="B31" s="3" t="s">
        <v>236</v>
      </c>
      <c r="C31" s="19">
        <v>-264</v>
      </c>
      <c r="D31" s="19">
        <v>-260</v>
      </c>
      <c r="E31" s="19">
        <v>-264</v>
      </c>
      <c r="F31" s="19">
        <v>-333</v>
      </c>
      <c r="G31" s="1">
        <f>SUM(C31:F31)</f>
        <v>-1121</v>
      </c>
      <c r="H31" s="19">
        <v>-301</v>
      </c>
      <c r="I31" s="19">
        <v>-230</v>
      </c>
      <c r="J31" s="51">
        <v>-270</v>
      </c>
      <c r="K31" s="4" t="s">
        <v>237</v>
      </c>
      <c r="L31" s="3"/>
      <c r="M31" s="3"/>
    </row>
    <row r="32">
      <c r="A32" s="3"/>
      <c r="B32" s="56" t="s">
        <v>77</v>
      </c>
      <c r="C32" s="7" t="s">
        <v>44</v>
      </c>
      <c r="D32" s="7" t="s">
        <v>44</v>
      </c>
      <c r="E32" s="7" t="s">
        <v>44</v>
      </c>
      <c r="F32" s="7" t="s">
        <v>44</v>
      </c>
      <c r="G32" s="7" t="s">
        <v>44</v>
      </c>
      <c r="H32" s="7" t="str">
        <f>IFERROR(IF(OR(H31&lt;0,C31&lt;0),"n.m.",H31/C31-1),"n/a")</f>
        <v>n.m.</v>
      </c>
      <c r="I32" s="7" t="str">
        <f>IFERROR(IF(OR(I31&lt;0,D31&lt;0),"n.m.",I31/D31-1),"n/a")</f>
        <v>n.m.</v>
      </c>
      <c r="J32" s="25" t="str">
        <f>IFERROR(IF(OR(J31&lt;0,E31&lt;0),"n.m.",J31/E31-1),"n/a")</f>
        <v>n.m.</v>
      </c>
      <c r="K32" s="4"/>
      <c r="L32" s="3"/>
      <c r="M32" s="3"/>
    </row>
    <row r="33">
      <c r="A33" s="3"/>
      <c r="B33" s="29" t="s">
        <v>94</v>
      </c>
      <c r="C33" s="1" t="s">
        <v>44</v>
      </c>
      <c r="D33" s="1">
        <f>IFERROR(D31-C31,"n/a")</f>
        <v>4</v>
      </c>
      <c r="E33" s="1">
        <f>IFERROR(E31-D31,"n/a")</f>
        <v>-4</v>
      </c>
      <c r="F33" s="1">
        <f>IFERROR(F31-E31,"n/a")</f>
        <v>-69</v>
      </c>
      <c r="G33" s="1" t="s">
        <v>44</v>
      </c>
      <c r="H33" s="1">
        <f>IFERROR(H31-F31,"n/a")</f>
        <v>32</v>
      </c>
      <c r="I33" s="1">
        <f>IFERROR(I31-H31,"n/a")</f>
        <v>71</v>
      </c>
      <c r="J33" s="16">
        <f>IFERROR(J31-I31,"n/a")</f>
        <v>-40</v>
      </c>
      <c r="K33" s="4"/>
      <c r="L33" s="3"/>
      <c r="M33" s="3"/>
    </row>
    <row r="34">
      <c r="A34" s="3"/>
      <c r="B34" s="15" t="s">
        <v>238</v>
      </c>
      <c r="C34" s="21">
        <f>C24+C30+C31</f>
        <v>2342</v>
      </c>
      <c r="D34" s="21">
        <f>D24+D30+D31</f>
        <v>1571</v>
      </c>
      <c r="E34" s="21">
        <f>E24+E30+E31</f>
        <v>3331</v>
      </c>
      <c r="F34" s="21">
        <f>F24+F30+F31</f>
        <v>3000</v>
      </c>
      <c r="G34" s="21">
        <f>G24+G30+G31</f>
        <v>10244</v>
      </c>
      <c r="H34" s="21">
        <f>H24+H30+H31</f>
        <v>2970</v>
      </c>
      <c r="I34" s="21">
        <f>I24+I30+I31</f>
        <v>3852</v>
      </c>
      <c r="J34" s="43">
        <f>J24+J30+J31</f>
        <v>4003.5213301761787</v>
      </c>
      <c r="K34" s="4"/>
      <c r="L34" s="3"/>
      <c r="M34" s="3"/>
    </row>
    <row r="35">
      <c r="A35" s="3"/>
      <c r="B35" s="3" t="s">
        <v>239</v>
      </c>
      <c r="C35" s="19">
        <v>499</v>
      </c>
      <c r="D35" s="19">
        <v>292</v>
      </c>
      <c r="E35" s="19">
        <v>713</v>
      </c>
      <c r="F35" s="19">
        <v>445</v>
      </c>
      <c r="G35" s="1">
        <f>SUM(C35:F35)</f>
        <v>1949</v>
      </c>
      <c r="H35" s="19">
        <v>632</v>
      </c>
      <c r="I35" s="19">
        <v>848</v>
      </c>
      <c r="J35" s="16">
        <f>J126-J95</f>
        <v>901.2447992896402</v>
      </c>
      <c r="K35" s="4" t="s">
        <v>240</v>
      </c>
      <c r="L35" s="3"/>
      <c r="M35" s="3"/>
    </row>
    <row r="36">
      <c r="A36" s="3"/>
      <c r="B36" s="12" t="s">
        <v>241</v>
      </c>
      <c r="C36" s="7">
        <f>IFERROR(C35/C34,"n/a")</f>
        <v>0.213065755764304</v>
      </c>
      <c r="D36" s="7">
        <f>IFERROR(D35/D34,"n/a")</f>
        <v>0.18586887332908975</v>
      </c>
      <c r="E36" s="7">
        <f>IFERROR(E35/E34,"n/a")</f>
        <v>0.2140498348844191</v>
      </c>
      <c r="F36" s="7">
        <f>IFERROR(F35/F34,"n/a")</f>
        <v>0.14833333333333334</v>
      </c>
      <c r="G36" s="7">
        <f>IFERROR(G35/G34,"n/a")</f>
        <v>0.1902577118313159</v>
      </c>
      <c r="H36" s="7">
        <f>IFERROR(H35/H34,"n/a")</f>
        <v>0.2127946127946128</v>
      </c>
      <c r="I36" s="7">
        <f>IFERROR(I35/I34,"n/a")</f>
        <v>0.2201453790238837</v>
      </c>
      <c r="J36" s="25">
        <f>IFERROR(J35/J34,"n/a")</f>
        <v>0.22511302549997408</v>
      </c>
      <c r="K36" s="4"/>
      <c r="L36" s="3"/>
      <c r="M36" s="3"/>
    </row>
    <row r="37">
      <c r="A37" s="3"/>
      <c r="B37" s="56" t="s">
        <v>109</v>
      </c>
      <c r="C37" s="77" t="s">
        <v>44</v>
      </c>
      <c r="D37" s="77" t="s">
        <v>44</v>
      </c>
      <c r="E37" s="77" t="s">
        <v>44</v>
      </c>
      <c r="F37" s="77" t="s">
        <v>44</v>
      </c>
      <c r="G37" s="77" t="s">
        <v>44</v>
      </c>
      <c r="H37" s="77">
        <f>IFERROR((H36-C36)*10000,"n/a")</f>
        <v>-2.711429696912182</v>
      </c>
      <c r="I37" s="77">
        <f>IFERROR((I36-D36)*10000,"n/a")</f>
        <v>342.76505694793957</v>
      </c>
      <c r="J37" s="78">
        <f>IFERROR((J36-E36)*10000,"n/a")</f>
        <v>110.63190615554997</v>
      </c>
      <c r="K37" s="4"/>
      <c r="L37" s="3"/>
      <c r="M37" s="3"/>
    </row>
    <row r="38">
      <c r="A38" s="3"/>
      <c r="B38" s="56" t="s">
        <v>110</v>
      </c>
      <c r="C38" s="77" t="s">
        <v>44</v>
      </c>
      <c r="D38" s="77">
        <f>IFERROR((D36-C36)*10000,"n/a")</f>
        <v>-271.9688243521426</v>
      </c>
      <c r="E38" s="77">
        <f>IFERROR((E36-D36)*10000,"n/a")</f>
        <v>281.80961555329344</v>
      </c>
      <c r="F38" s="77">
        <f>IFERROR((F36-E36)*10000,"n/a")</f>
        <v>-657.1650155108574</v>
      </c>
      <c r="G38" s="77" t="s">
        <v>44</v>
      </c>
      <c r="H38" s="77">
        <f>IFERROR((H36-F36)*10000,"n/a")</f>
        <v>644.6127946127945</v>
      </c>
      <c r="I38" s="77">
        <f>IFERROR((I36-H36)*10000,"n/a")</f>
        <v>73.50766229270917</v>
      </c>
      <c r="J38" s="78">
        <f>IFERROR((J36-I36)*10000,"n/a")</f>
        <v>49.67646476090381</v>
      </c>
      <c r="K38" s="4"/>
      <c r="L38" s="3"/>
      <c r="M38" s="3"/>
    </row>
    <row r="39">
      <c r="A39" s="3"/>
      <c r="B39" s="15" t="s">
        <v>242</v>
      </c>
      <c r="C39" s="21">
        <f>C34-C35</f>
        <v>1843</v>
      </c>
      <c r="D39" s="21">
        <f>D34-D35</f>
        <v>1279</v>
      </c>
      <c r="E39" s="21">
        <f>E34-E35</f>
        <v>2618</v>
      </c>
      <c r="F39" s="21">
        <f>F34-F35</f>
        <v>2555</v>
      </c>
      <c r="G39" s="21">
        <f>G34-G35</f>
        <v>8295</v>
      </c>
      <c r="H39" s="21">
        <f>H34-H35</f>
        <v>2338</v>
      </c>
      <c r="I39" s="21">
        <f>I34-I35</f>
        <v>3004</v>
      </c>
      <c r="J39" s="43">
        <f>J34-J35</f>
        <v>3102.2765308865382</v>
      </c>
      <c r="K39" s="4"/>
      <c r="L39" s="3"/>
      <c r="M39" s="3"/>
    </row>
    <row r="40">
      <c r="A40" s="3"/>
      <c r="B40" s="3" t="s">
        <v>243</v>
      </c>
      <c r="C40" s="19">
        <v>9</v>
      </c>
      <c r="D40" s="19">
        <v>16</v>
      </c>
      <c r="E40" s="19">
        <v>15</v>
      </c>
      <c r="F40" s="19">
        <v>15</v>
      </c>
      <c r="G40" s="1">
        <f>SUM(C40:F40)</f>
        <v>55</v>
      </c>
      <c r="H40" s="19">
        <v>11</v>
      </c>
      <c r="I40" s="19">
        <v>23</v>
      </c>
      <c r="J40" s="51">
        <v>18</v>
      </c>
      <c r="K40" s="4" t="s">
        <v>160</v>
      </c>
      <c r="L40" s="3"/>
      <c r="M40" s="3"/>
    </row>
    <row r="41">
      <c r="A41" s="3"/>
      <c r="B41" s="56" t="s">
        <v>77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>
        <f>IFERROR(IF(OR(H40&lt;0,C40&lt;0),"n.m.",H40/C40-1),"n/a")</f>
        <v>0.22222222222222232</v>
      </c>
      <c r="I41" s="7">
        <f>IFERROR(IF(OR(I40&lt;0,D40&lt;0),"n.m.",I40/D40-1),"n/a")</f>
        <v>0.4375</v>
      </c>
      <c r="J41" s="25">
        <f>IFERROR(IF(OR(J40&lt;0,E40&lt;0),"n.m.",J40/E40-1),"n/a")</f>
        <v>0.19999999999999996</v>
      </c>
      <c r="K41" s="4"/>
      <c r="L41" s="3"/>
      <c r="M41" s="3"/>
    </row>
    <row r="42">
      <c r="A42" s="3"/>
      <c r="B42" s="29" t="s">
        <v>94</v>
      </c>
      <c r="C42" s="1" t="s">
        <v>44</v>
      </c>
      <c r="D42" s="1">
        <f>IFERROR(D40-C40,"n/a")</f>
        <v>7</v>
      </c>
      <c r="E42" s="1">
        <f>IFERROR(E40-D40,"n/a")</f>
        <v>-1</v>
      </c>
      <c r="F42" s="1">
        <f>IFERROR(F40-E40,"n/a")</f>
        <v>0</v>
      </c>
      <c r="G42" s="1" t="s">
        <v>44</v>
      </c>
      <c r="H42" s="1">
        <f>IFERROR(H40-F40,"n/a")</f>
        <v>-4</v>
      </c>
      <c r="I42" s="1">
        <f>IFERROR(I40-H40,"n/a")</f>
        <v>12</v>
      </c>
      <c r="J42" s="16">
        <f>IFERROR(J40-I40,"n/a")</f>
        <v>-5</v>
      </c>
      <c r="K42" s="4"/>
      <c r="L42" s="3"/>
      <c r="M42" s="3"/>
    </row>
    <row r="43">
      <c r="A43" s="3"/>
      <c r="B43" s="15" t="s">
        <v>244</v>
      </c>
      <c r="C43" s="21">
        <f>C39-C40</f>
        <v>1834</v>
      </c>
      <c r="D43" s="21">
        <f>D39-D40</f>
        <v>1263</v>
      </c>
      <c r="E43" s="21">
        <f>E39-E40</f>
        <v>2603</v>
      </c>
      <c r="F43" s="21">
        <f>F39-F40</f>
        <v>2540</v>
      </c>
      <c r="G43" s="21">
        <f>G39-G40</f>
        <v>8240</v>
      </c>
      <c r="H43" s="21">
        <f>H39-H40</f>
        <v>2327</v>
      </c>
      <c r="I43" s="21">
        <f>I39-I40</f>
        <v>2981</v>
      </c>
      <c r="J43" s="43">
        <f>J39-J40</f>
        <v>3084.2765308865382</v>
      </c>
      <c r="K43" s="4"/>
      <c r="L43" s="3"/>
      <c r="M43" s="3"/>
    </row>
    <row r="44">
      <c r="A44" s="3"/>
      <c r="B44" s="56" t="s">
        <v>77</v>
      </c>
      <c r="C44" s="7" t="s">
        <v>44</v>
      </c>
      <c r="D44" s="7" t="s">
        <v>44</v>
      </c>
      <c r="E44" s="7" t="s">
        <v>44</v>
      </c>
      <c r="F44" s="7" t="s">
        <v>44</v>
      </c>
      <c r="G44" s="7" t="s">
        <v>44</v>
      </c>
      <c r="H44" s="7">
        <f>IFERROR(IF(OR(H43&lt;0,C43&lt;0),"n.m.",H43/C43-1),"n/a")</f>
        <v>0.2688113413304254</v>
      </c>
      <c r="I44" s="7">
        <f>IFERROR(IF(OR(I43&lt;0,D43&lt;0),"n.m.",I43/D43-1),"n/a")</f>
        <v>1.3602533650039588</v>
      </c>
      <c r="J44" s="25">
        <f>IFERROR(IF(OR(J43&lt;0,E43&lt;0),"n.m.",J43/E43-1),"n/a")</f>
        <v>0.18489301993336094</v>
      </c>
      <c r="K44" s="4"/>
      <c r="L44" s="3"/>
      <c r="M44" s="3"/>
    </row>
    <row r="45">
      <c r="A45" s="3"/>
      <c r="B45" s="29" t="s">
        <v>94</v>
      </c>
      <c r="C45" s="1" t="s">
        <v>44</v>
      </c>
      <c r="D45" s="1">
        <f>IFERROR(D43-C43,"n/a")</f>
        <v>-571</v>
      </c>
      <c r="E45" s="1">
        <f>IFERROR(E43-D43,"n/a")</f>
        <v>1340</v>
      </c>
      <c r="F45" s="1">
        <f>IFERROR(F43-E43,"n/a")</f>
        <v>-63</v>
      </c>
      <c r="G45" s="1" t="s">
        <v>44</v>
      </c>
      <c r="H45" s="1">
        <f>IFERROR(H43-F43,"n/a")</f>
        <v>-213</v>
      </c>
      <c r="I45" s="1">
        <f>IFERROR(I43-H43,"n/a")</f>
        <v>654</v>
      </c>
      <c r="J45" s="16">
        <f>IFERROR(J43-I43,"n/a")</f>
        <v>103.27653088653824</v>
      </c>
      <c r="K45" s="4"/>
      <c r="L45" s="3"/>
      <c r="M45" s="3"/>
    </row>
    <row r="46">
      <c r="A46" s="3"/>
      <c r="B46" s="12" t="s">
        <v>245</v>
      </c>
      <c r="C46" s="7">
        <f>IFERROR(C43/C10,"n/a")</f>
        <v>0.10234946146548357</v>
      </c>
      <c r="D46" s="7">
        <f>IFERROR(D43/D10,"n/a")</f>
        <v>0.05557511220628355</v>
      </c>
      <c r="E46" s="7">
        <f>IFERROR(E43/E10,"n/a")</f>
        <v>0.10874378577098216</v>
      </c>
      <c r="F46" s="7">
        <f>IFERROR(F43/F10,"n/a")</f>
        <v>0.08656238285110589</v>
      </c>
      <c r="G46" s="7">
        <f>IFERROR(G43/G10,"n/a")</f>
        <v>0.08772957146659568</v>
      </c>
      <c r="H46" s="7">
        <f>IFERROR(H43/H10,"n/a")</f>
        <v>0.11968317646453737</v>
      </c>
      <c r="I46" s="7">
        <f>IFERROR(I43/I10,"n/a")</f>
        <v>0.12327860717091932</v>
      </c>
      <c r="J46" s="25">
        <f>IFERROR(J43/J10,"n/a")</f>
        <v>0.12346720020557357</v>
      </c>
      <c r="K46" s="4"/>
      <c r="L46" s="3"/>
      <c r="M46" s="3"/>
    </row>
    <row r="47">
      <c r="A47" s="3"/>
      <c r="B47" s="56" t="s">
        <v>109</v>
      </c>
      <c r="C47" s="77" t="s">
        <v>44</v>
      </c>
      <c r="D47" s="77" t="s">
        <v>44</v>
      </c>
      <c r="E47" s="77" t="s">
        <v>44</v>
      </c>
      <c r="F47" s="77" t="s">
        <v>44</v>
      </c>
      <c r="G47" s="77" t="s">
        <v>44</v>
      </c>
      <c r="H47" s="77">
        <f>IFERROR((H46-C46)*10000,"n/a")</f>
        <v>173.337149990538</v>
      </c>
      <c r="I47" s="77">
        <f>IFERROR((I46-D46)*10000,"n/a")</f>
        <v>677.0349496463576</v>
      </c>
      <c r="J47" s="78">
        <f>IFERROR((J46-E46)*10000,"n/a")</f>
        <v>147.23414434591407</v>
      </c>
      <c r="K47" s="4"/>
      <c r="L47" s="3"/>
      <c r="M47" s="3"/>
    </row>
    <row r="48">
      <c r="A48" s="3"/>
      <c r="B48" s="3" t="s">
        <v>246</v>
      </c>
      <c r="C48" s="17">
        <f>'Share Count'!C10</f>
        <v>1372</v>
      </c>
      <c r="D48" s="17">
        <f>'Share Count'!D10</f>
        <v>1371</v>
      </c>
      <c r="E48" s="17">
        <f>'Share Count'!E10</f>
        <v>1369</v>
      </c>
      <c r="F48" s="17" t="str">
        <f>'Share Count'!F10</f>
        <v>n/a</v>
      </c>
      <c r="G48" s="17">
        <f>'Share Count'!G10</f>
        <v>1369</v>
      </c>
      <c r="H48" s="17">
        <f>'Share Count'!H10</f>
        <v>1367</v>
      </c>
      <c r="I48" s="17">
        <f>'Share Count'!I10</f>
        <v>1366</v>
      </c>
      <c r="J48" s="64">
        <f>'Share Count'!J10</f>
        <v>1365.498076923077</v>
      </c>
      <c r="K48" s="4" t="s">
        <v>247</v>
      </c>
      <c r="L48" s="3"/>
      <c r="M48" s="3"/>
    </row>
    <row r="49">
      <c r="A49" s="3"/>
      <c r="B49" s="3" t="s">
        <v>248</v>
      </c>
      <c r="C49" s="17">
        <f>'Share Count'!C14</f>
        <v>1376</v>
      </c>
      <c r="D49" s="17">
        <f>'Share Count'!D14</f>
        <v>1373</v>
      </c>
      <c r="E49" s="17">
        <f>'Share Count'!E14</f>
        <v>1372</v>
      </c>
      <c r="F49" s="17">
        <f>'Share Count'!F14</f>
        <v>1371</v>
      </c>
      <c r="G49" s="17">
        <f>'Share Count'!G14</f>
        <v>1373</v>
      </c>
      <c r="H49" s="17">
        <f>'Share Count'!H14</f>
        <v>1371</v>
      </c>
      <c r="I49" s="17">
        <f>'Share Count'!I14</f>
        <v>1369</v>
      </c>
      <c r="J49" s="64">
        <f>'Share Count'!J14</f>
        <v>1368.498076923077</v>
      </c>
      <c r="K49" s="4" t="s">
        <v>247</v>
      </c>
      <c r="L49" s="3"/>
      <c r="M49" s="3"/>
    </row>
    <row r="50">
      <c r="A50" s="3"/>
      <c r="B50" s="3" t="s">
        <v>249</v>
      </c>
      <c r="C50" s="95">
        <f>IFERROR(C43/C48,"n/a")</f>
        <v>1.336734693877551</v>
      </c>
      <c r="D50" s="95">
        <f>IFERROR(D43/D48,"n/a")</f>
        <v>0.9212253829321663</v>
      </c>
      <c r="E50" s="95">
        <f>IFERROR(E43/E48,"n/a")</f>
        <v>1.9013878743608474</v>
      </c>
      <c r="F50" s="95" t="str">
        <f>IFERROR(F43/F48,"n/a")</f>
        <v>n/a</v>
      </c>
      <c r="G50" s="95">
        <f>IFERROR(G43/G48,"n/a")</f>
        <v>6.018991964937911</v>
      </c>
      <c r="H50" s="95">
        <f>IFERROR(H43/H48,"n/a")</f>
        <v>1.7022677395757133</v>
      </c>
      <c r="I50" s="95">
        <f>IFERROR(I43/I48,"n/a")</f>
        <v>2.1822840409956075</v>
      </c>
      <c r="J50" s="100">
        <f>IFERROR(J43/J48,"n/a")</f>
        <v>2.258719058643014</v>
      </c>
      <c r="K50" s="4"/>
      <c r="L50" s="3"/>
      <c r="M50" s="3"/>
    </row>
    <row r="51">
      <c r="A51" s="3"/>
      <c r="B51" s="15" t="s">
        <v>250</v>
      </c>
      <c r="C51" s="105">
        <f>C43/C49</f>
        <v>1.3328488372093024</v>
      </c>
      <c r="D51" s="105">
        <f>D43/D49</f>
        <v>0.9198834668608885</v>
      </c>
      <c r="E51" s="105">
        <f>E43/E49</f>
        <v>1.8972303206997085</v>
      </c>
      <c r="F51" s="105">
        <f>F43/F49</f>
        <v>1.8526622902990517</v>
      </c>
      <c r="G51" s="105">
        <f>G43/G49</f>
        <v>6.001456664238893</v>
      </c>
      <c r="H51" s="105">
        <f>H43/H49</f>
        <v>1.6973012399708243</v>
      </c>
      <c r="I51" s="105">
        <f>I43/I49</f>
        <v>2.1775018261504746</v>
      </c>
      <c r="J51" s="103">
        <f>J43/J49</f>
        <v>2.2537675301825835</v>
      </c>
      <c r="K51" s="4"/>
      <c r="L51" s="3"/>
      <c r="M51" s="3"/>
    </row>
    <row r="52">
      <c r="A52" s="3"/>
      <c r="B52" s="56" t="s">
        <v>77</v>
      </c>
      <c r="C52" s="7">
        <f>IFERROR(IF(OR(C51&lt;0,C142&lt;0),"n.m.",C51/C142-1),"n/a")</f>
        <v>-0.09942646134506594</v>
      </c>
      <c r="D52" s="7">
        <f>IFERROR(IF(OR(D51&lt;0,D142&lt;0),"n.m.",D51/D142-1),"n/a")</f>
        <v>-0.5874962032013953</v>
      </c>
      <c r="E52" s="7">
        <f>IFERROR(IF(OR(E51&lt;0,E142&lt;0),"n.m.",E51/E142-1),"n/a")</f>
        <v>-0.10928153957760156</v>
      </c>
      <c r="F52" s="7">
        <f>IFERROR(IF(OR(F51&lt;0,F142&lt;0),"n.m.",F51/F142-1),"n/a")</f>
        <v>0.6690651263955418</v>
      </c>
      <c r="G52" s="7">
        <f>IFERROR(IF(OR(G51&lt;0,G142&lt;0),"n.m.",G51/G142-1),"n/a")</f>
        <v>-0.13648105550519518</v>
      </c>
      <c r="H52" s="7">
        <f>IFERROR(IF(OR(H51&lt;0,C51&lt;0),"n.m.",H51/C51-1),"n/a")</f>
        <v>0.27343866205008394</v>
      </c>
      <c r="I52" s="7">
        <f>IFERROR(IF(OR(I51&lt;0,D51&lt;0),"n.m.",I51/D51-1),"n/a")</f>
        <v>1.3671496494889959</v>
      </c>
      <c r="J52" s="25">
        <f>IFERROR(IF(OR(J51&lt;0,E51&lt;0),"n.m.",J51/E51-1),"n/a")</f>
        <v>0.18792510618920644</v>
      </c>
      <c r="K52" s="4"/>
      <c r="L52" s="3"/>
      <c r="M52" s="3"/>
    </row>
    <row r="53">
      <c r="A53" s="3"/>
      <c r="B53" s="3" t="s">
        <v>251</v>
      </c>
      <c r="C53" s="104">
        <v>1.33</v>
      </c>
      <c r="D53" s="104">
        <v>0.92</v>
      </c>
      <c r="E53" s="104">
        <v>1.9</v>
      </c>
      <c r="F53" s="104">
        <v>1.85</v>
      </c>
      <c r="G53" s="104">
        <v>6</v>
      </c>
      <c r="H53" s="104">
        <v>1.7</v>
      </c>
      <c r="I53" s="104">
        <v>2.18</v>
      </c>
      <c r="J53" s="100" t="s">
        <v>44</v>
      </c>
      <c r="K53" s="4"/>
      <c r="L53" s="3"/>
      <c r="M53" s="3"/>
    </row>
    <row r="54">
      <c r="A54" s="3"/>
      <c r="B54" s="12" t="s">
        <v>252</v>
      </c>
      <c r="C54" s="101">
        <f>ROUND(C51,2)-C53</f>
        <v>0</v>
      </c>
      <c r="D54" s="101">
        <f>ROUND(D51,2)-D53</f>
        <v>0</v>
      </c>
      <c r="E54" s="101">
        <f>ROUND(E51,2)-E53</f>
        <v>0</v>
      </c>
      <c r="F54" s="101">
        <f>ROUND(F51,2)-F53</f>
        <v>0</v>
      </c>
      <c r="G54" s="101">
        <f>ROUND(G51,2)-G53</f>
        <v>0</v>
      </c>
      <c r="H54" s="101">
        <f>ROUND(H51,2)-H53</f>
        <v>0</v>
      </c>
      <c r="I54" s="101">
        <f>ROUND(I51,2)-I53</f>
        <v>0</v>
      </c>
      <c r="J54" s="97" t="s">
        <v>44</v>
      </c>
      <c r="K54" s="4"/>
      <c r="L54" s="3"/>
      <c r="M54" s="3"/>
    </row>
    <row r="55">
      <c r="A55" s="3"/>
      <c r="B55" s="3"/>
      <c r="C55" s="1"/>
      <c r="D55" s="1"/>
      <c r="E55" s="1"/>
      <c r="F55" s="1"/>
      <c r="G55" s="1"/>
      <c r="H55" s="1"/>
      <c r="I55" s="1"/>
      <c r="J55" s="16"/>
      <c r="K55" s="4"/>
      <c r="L55" s="3"/>
      <c r="M55" s="3"/>
    </row>
    <row r="56">
      <c r="A56" s="3"/>
      <c r="B56" s="15" t="s">
        <v>253</v>
      </c>
      <c r="C56" s="5"/>
      <c r="D56" s="5"/>
      <c r="E56" s="5"/>
      <c r="F56" s="5"/>
      <c r="G56" s="5"/>
      <c r="H56" s="5"/>
      <c r="I56" s="5"/>
      <c r="J56" s="22"/>
      <c r="K56" s="4"/>
      <c r="L56" s="3"/>
      <c r="M56" s="3"/>
    </row>
    <row r="57">
      <c r="A57" s="3"/>
      <c r="B57" s="29" t="s">
        <v>254</v>
      </c>
      <c r="C57" s="17">
        <f>'Segment - PFNA'!C69</f>
        <v>1575</v>
      </c>
      <c r="D57" s="17">
        <f>'Segment - PFNA'!D69</f>
        <v>1488</v>
      </c>
      <c r="E57" s="17">
        <f>'Segment - PFNA'!E69</f>
        <v>1570</v>
      </c>
      <c r="F57" s="17">
        <f>'Segment - PFNA'!F69</f>
        <v>1912</v>
      </c>
      <c r="G57" s="17">
        <f>'Segment - PFNA'!G69</f>
        <v>6545</v>
      </c>
      <c r="H57" s="17">
        <f>'Segment - PFNA'!H69</f>
        <v>1505</v>
      </c>
      <c r="I57" s="17">
        <f>'Segment - PFNA'!I69</f>
        <v>1369</v>
      </c>
      <c r="J57" s="64">
        <f>'Segment - PFNA'!J69</f>
        <v>1489.5957809528534</v>
      </c>
      <c r="K57" s="4"/>
      <c r="L57" s="3"/>
      <c r="M57" s="3"/>
    </row>
    <row r="58">
      <c r="A58" s="3"/>
      <c r="B58" s="29" t="s">
        <v>255</v>
      </c>
      <c r="C58" s="17">
        <f>'Segment - PBNA'!C69</f>
        <v>595</v>
      </c>
      <c r="D58" s="17">
        <f>'Segment - PBNA'!D69</f>
        <v>994</v>
      </c>
      <c r="E58" s="17">
        <f>'Segment - PBNA'!E69</f>
        <v>975</v>
      </c>
      <c r="F58" s="17">
        <f>'Segment - PBNA'!F69</f>
        <v>721</v>
      </c>
      <c r="G58" s="17">
        <f>'Segment - PBNA'!G69</f>
        <v>3285</v>
      </c>
      <c r="H58" s="17">
        <f>'Segment - PBNA'!H69</f>
        <v>639</v>
      </c>
      <c r="I58" s="17">
        <f>'Segment - PBNA'!I69</f>
        <v>992</v>
      </c>
      <c r="J58" s="64">
        <f>'Segment - PBNA'!J69</f>
        <v>1068.116149223325</v>
      </c>
      <c r="K58" s="4"/>
      <c r="L58" s="3"/>
      <c r="M58" s="3"/>
    </row>
    <row r="59">
      <c r="A59" s="3"/>
      <c r="B59" s="29" t="s">
        <v>256</v>
      </c>
      <c r="C59" s="17">
        <f>'Segment - IB Franchise'!C67</f>
        <v>279</v>
      </c>
      <c r="D59" s="17">
        <f>'Segment - IB Franchise'!D67</f>
        <v>538</v>
      </c>
      <c r="E59" s="17">
        <f>'Segment - IB Franchise'!E67</f>
        <v>511</v>
      </c>
      <c r="F59" s="17">
        <f>'Segment - IB Franchise'!F67</f>
        <v>528</v>
      </c>
      <c r="G59" s="17">
        <f>'Segment - IB Franchise'!G67</f>
        <v>1856</v>
      </c>
      <c r="H59" s="17">
        <f>'Segment - IB Franchise'!H67</f>
        <v>328</v>
      </c>
      <c r="I59" s="17">
        <f>'Segment - IB Franchise'!I67</f>
        <v>638</v>
      </c>
      <c r="J59" s="64">
        <f>'Segment - IB Franchise'!J67</f>
        <v>564.2831900000001</v>
      </c>
      <c r="K59" s="4"/>
      <c r="L59" s="3"/>
      <c r="M59" s="3"/>
    </row>
    <row r="60">
      <c r="A60" s="3"/>
      <c r="B60" s="29" t="s">
        <v>257</v>
      </c>
      <c r="C60" s="17">
        <f>'Segment - EMEA'!C80</f>
        <v>233</v>
      </c>
      <c r="D60" s="17">
        <f>'Segment - EMEA'!D80</f>
        <v>657</v>
      </c>
      <c r="E60" s="17">
        <f>'Segment - EMEA'!E80</f>
        <v>808</v>
      </c>
      <c r="F60" s="17">
        <f>'Segment - EMEA'!F80</f>
        <v>873</v>
      </c>
      <c r="G60" s="17">
        <f>'Segment - EMEA'!G80</f>
        <v>2571</v>
      </c>
      <c r="H60" s="17">
        <f>'Segment - EMEA'!H80</f>
        <v>301</v>
      </c>
      <c r="I60" s="17">
        <f>'Segment - EMEA'!I80</f>
        <v>767</v>
      </c>
      <c r="J60" s="64">
        <f>'Segment - EMEA'!J80</f>
        <v>853.0118099999997</v>
      </c>
      <c r="K60" s="4"/>
      <c r="L60" s="3"/>
      <c r="M60" s="3"/>
    </row>
    <row r="61">
      <c r="A61" s="3"/>
      <c r="B61" s="29" t="s">
        <v>258</v>
      </c>
      <c r="C61" s="17">
        <f>'Segment - LatAm Foods'!C67</f>
        <v>351</v>
      </c>
      <c r="D61" s="17">
        <f>'Segment - LatAm Foods'!D67</f>
        <v>545</v>
      </c>
      <c r="E61" s="17">
        <f>'Segment - LatAm Foods'!E67</f>
        <v>523</v>
      </c>
      <c r="F61" s="17">
        <f>'Segment - LatAm Foods'!F67</f>
        <v>725</v>
      </c>
      <c r="G61" s="17">
        <f>'Segment - LatAm Foods'!G67</f>
        <v>2144</v>
      </c>
      <c r="H61" s="17">
        <f>'Segment - LatAm Foods'!H67</f>
        <v>431</v>
      </c>
      <c r="I61" s="17">
        <f>'Segment - LatAm Foods'!I67</f>
        <v>620</v>
      </c>
      <c r="J61" s="64">
        <f>'Segment - LatAm Foods'!J67</f>
        <v>586.9759999999999</v>
      </c>
      <c r="K61" s="4"/>
      <c r="L61" s="3"/>
      <c r="M61" s="3"/>
    </row>
    <row r="62">
      <c r="A62" s="3"/>
      <c r="B62" s="29" t="s">
        <v>259</v>
      </c>
      <c r="C62" s="17">
        <f>'Segment - APAC Foods'!C67</f>
        <v>161</v>
      </c>
      <c r="D62" s="17">
        <f>'Segment - APAC Foods'!D67</f>
        <v>93</v>
      </c>
      <c r="E62" s="17">
        <f>'Segment - APAC Foods'!E67</f>
        <v>156</v>
      </c>
      <c r="F62" s="17">
        <f>'Segment - APAC Foods'!F67</f>
        <v>54</v>
      </c>
      <c r="G62" s="17">
        <f>'Segment - APAC Foods'!G67</f>
        <v>464</v>
      </c>
      <c r="H62" s="17">
        <f>'Segment - APAC Foods'!H67</f>
        <v>218</v>
      </c>
      <c r="I62" s="17">
        <f>'Segment - APAC Foods'!I67</f>
        <v>134</v>
      </c>
      <c r="J62" s="64">
        <f>'Segment - APAC Foods'!J67</f>
        <v>183.03840000000002</v>
      </c>
      <c r="K62" s="4"/>
      <c r="L62" s="3"/>
      <c r="M62" s="3"/>
    </row>
    <row r="63">
      <c r="A63" s="3"/>
      <c r="B63" s="29" t="s">
        <v>260</v>
      </c>
      <c r="C63" s="19">
        <v>-405</v>
      </c>
      <c r="D63" s="19">
        <v>-404</v>
      </c>
      <c r="E63" s="19">
        <v>-406</v>
      </c>
      <c r="F63" s="19">
        <v>-738</v>
      </c>
      <c r="G63" s="1">
        <f>SUM(C63:F63)</f>
        <v>-1953</v>
      </c>
      <c r="H63" s="19">
        <v>-372</v>
      </c>
      <c r="I63" s="19">
        <v>-453</v>
      </c>
      <c r="J63" s="51">
        <v>-440</v>
      </c>
      <c r="K63" s="4" t="s">
        <v>261</v>
      </c>
      <c r="L63" s="3"/>
      <c r="M63" s="3"/>
    </row>
    <row r="64">
      <c r="A64" s="3"/>
      <c r="B64" s="49" t="s">
        <v>77</v>
      </c>
      <c r="C64" s="7" t="s">
        <v>44</v>
      </c>
      <c r="D64" s="7" t="s">
        <v>44</v>
      </c>
      <c r="E64" s="7" t="s">
        <v>44</v>
      </c>
      <c r="F64" s="7" t="s">
        <v>44</v>
      </c>
      <c r="G64" s="7" t="s">
        <v>44</v>
      </c>
      <c r="H64" s="7" t="str">
        <f>IFERROR(IF(OR(H63&lt;0,C63&lt;0),"n.m.",H63/C63-1),"n/a")</f>
        <v>n.m.</v>
      </c>
      <c r="I64" s="7" t="str">
        <f>IFERROR(IF(OR(I63&lt;0,D63&lt;0),"n.m.",I63/D63-1),"n/a")</f>
        <v>n.m.</v>
      </c>
      <c r="J64" s="25" t="str">
        <f>IFERROR(IF(OR(J63&lt;0,E63&lt;0),"n.m.",J63/E63-1),"n/a")</f>
        <v>n.m.</v>
      </c>
      <c r="K64" s="4"/>
      <c r="L64" s="3"/>
      <c r="M64" s="3"/>
    </row>
    <row r="65">
      <c r="A65" s="3"/>
      <c r="B65" s="63" t="s">
        <v>94</v>
      </c>
      <c r="C65" s="1" t="s">
        <v>44</v>
      </c>
      <c r="D65" s="1">
        <f>IFERROR(D63-C63,"n/a")</f>
        <v>1</v>
      </c>
      <c r="E65" s="1">
        <f>IFERROR(E63-D63,"n/a")</f>
        <v>-2</v>
      </c>
      <c r="F65" s="1">
        <f>IFERROR(F63-E63,"n/a")</f>
        <v>-332</v>
      </c>
      <c r="G65" s="1" t="s">
        <v>44</v>
      </c>
      <c r="H65" s="1">
        <f>IFERROR(H63-F63,"n/a")</f>
        <v>366</v>
      </c>
      <c r="I65" s="1">
        <f>IFERROR(I63-H63,"n/a")</f>
        <v>-81</v>
      </c>
      <c r="J65" s="16">
        <f>IFERROR(J63-I63,"n/a")</f>
        <v>13</v>
      </c>
      <c r="K65" s="4"/>
      <c r="L65" s="3"/>
      <c r="M65" s="3"/>
    </row>
    <row r="66">
      <c r="A66" s="3"/>
      <c r="B66" s="15" t="s">
        <v>262</v>
      </c>
      <c r="C66" s="21">
        <f>C57+C58+C59+C60+C61+C62+C63</f>
        <v>2789</v>
      </c>
      <c r="D66" s="21">
        <f>D57+D58+D59+D60+D61+D62+D63</f>
        <v>3911</v>
      </c>
      <c r="E66" s="21">
        <f>E57+E58+E59+E60+E61+E62+E63</f>
        <v>4137</v>
      </c>
      <c r="F66" s="21">
        <f>F57+F58+F59+F60+F61+F62+F63</f>
        <v>4075</v>
      </c>
      <c r="G66" s="21">
        <f>G57+G58+G59+G60+G61+G62+G63</f>
        <v>14912</v>
      </c>
      <c r="H66" s="21">
        <f>H57+H58+H59+H60+H61+H62+H63</f>
        <v>3050</v>
      </c>
      <c r="I66" s="21">
        <f>I57+I58+I59+I60+I61+I62+I63</f>
        <v>4067</v>
      </c>
      <c r="J66" s="43">
        <f>J57+J58+J59+J60+J61+J62+J63</f>
        <v>4305.021330176179</v>
      </c>
      <c r="K66" s="4"/>
      <c r="L66" s="3"/>
      <c r="M66" s="3"/>
    </row>
    <row r="67">
      <c r="A67" s="3"/>
      <c r="B67" s="56" t="s">
        <v>77</v>
      </c>
      <c r="C67" s="7">
        <f>IFERROR(IF(OR(C66&lt;0,C140&lt;0),"n.m.",C66/C140-1),"n/a")</f>
        <v>-0.05103776794828174</v>
      </c>
      <c r="D67" s="7">
        <f>IFERROR(IF(OR(D66&lt;0,D140&lt;0),"n.m.",D66/D140-1),"n/a")</f>
        <v>-0.05095850521718026</v>
      </c>
      <c r="E67" s="7">
        <f>IFERROR(IF(OR(E66&lt;0,E140&lt;0),"n.m.",E66/E140-1),"n/a")</f>
        <v>-0.009339080459770166</v>
      </c>
      <c r="F67" s="7">
        <f>IFERROR(IF(OR(F66&lt;0,F140&lt;0),"n.m.",F66/F140-1),"n/a")</f>
        <v>0.17706528018486423</v>
      </c>
      <c r="G67" s="7">
        <f>IFERROR(IF(OR(G66&lt;0,G140&lt;0),"n.m.",G66/G140-1),"n/a")</f>
        <v>0.01455980405497348</v>
      </c>
      <c r="H67" s="7">
        <f>IFERROR(IF(OR(H66&lt;0,C66&lt;0),"n.m.",H66/C66-1),"n/a")</f>
        <v>0.0935819290068125</v>
      </c>
      <c r="I67" s="7">
        <f>IFERROR(IF(OR(I66&lt;0,D66&lt;0),"n.m.",I66/D66-1),"n/a")</f>
        <v>0.03988749680388648</v>
      </c>
      <c r="J67" s="25">
        <f>IFERROR(IF(OR(J66&lt;0,E66&lt;0),"n.m.",J66/E66-1),"n/a")</f>
        <v>0.04061429300850339</v>
      </c>
      <c r="K67" s="4"/>
      <c r="L67" s="3"/>
      <c r="M67" s="3"/>
    </row>
    <row r="68">
      <c r="A68" s="3"/>
      <c r="B68" s="29" t="s">
        <v>94</v>
      </c>
      <c r="C68" s="1" t="s">
        <v>44</v>
      </c>
      <c r="D68" s="1">
        <f>IFERROR(D66-C66,"n/a")</f>
        <v>1122</v>
      </c>
      <c r="E68" s="1">
        <f>IFERROR(E66-D66,"n/a")</f>
        <v>226</v>
      </c>
      <c r="F68" s="1">
        <f>IFERROR(F66-E66,"n/a")</f>
        <v>-62</v>
      </c>
      <c r="G68" s="1" t="s">
        <v>44</v>
      </c>
      <c r="H68" s="1">
        <f>IFERROR(H66-F66,"n/a")</f>
        <v>-1025</v>
      </c>
      <c r="I68" s="1">
        <f>IFERROR(I66-H66,"n/a")</f>
        <v>1017</v>
      </c>
      <c r="J68" s="16">
        <f>IFERROR(J66-I66,"n/a")</f>
        <v>238.0213301761787</v>
      </c>
      <c r="K68" s="4"/>
      <c r="L68" s="3"/>
      <c r="M68" s="3"/>
    </row>
    <row r="69">
      <c r="A69" s="3"/>
      <c r="B69" s="3" t="s">
        <v>263</v>
      </c>
      <c r="C69" s="19">
        <v>2789</v>
      </c>
      <c r="D69" s="19">
        <v>3911</v>
      </c>
      <c r="E69" s="19">
        <v>4137</v>
      </c>
      <c r="F69" s="19">
        <v>4075</v>
      </c>
      <c r="G69" s="19">
        <v>14912</v>
      </c>
      <c r="H69" s="19">
        <v>3050</v>
      </c>
      <c r="I69" s="19">
        <v>4067</v>
      </c>
      <c r="J69" s="16" t="s">
        <v>44</v>
      </c>
      <c r="K69" s="4"/>
      <c r="L69" s="3"/>
      <c r="M69" s="3"/>
    </row>
    <row r="70">
      <c r="A70" s="3"/>
      <c r="B70" s="12" t="s">
        <v>264</v>
      </c>
      <c r="C70" s="52">
        <f>C66-C69</f>
        <v>0</v>
      </c>
      <c r="D70" s="52">
        <f>D66-D69</f>
        <v>0</v>
      </c>
      <c r="E70" s="52">
        <f>E66-E69</f>
        <v>0</v>
      </c>
      <c r="F70" s="52">
        <f>F66-F69</f>
        <v>0</v>
      </c>
      <c r="G70" s="52">
        <f>G66-G69</f>
        <v>0</v>
      </c>
      <c r="H70" s="52">
        <f>H66-H69</f>
        <v>0</v>
      </c>
      <c r="I70" s="52">
        <f>I66-I69</f>
        <v>0</v>
      </c>
      <c r="J70" s="62" t="s">
        <v>44</v>
      </c>
      <c r="K70" s="4"/>
      <c r="L70" s="3"/>
      <c r="M70" s="3"/>
    </row>
    <row r="71">
      <c r="A71" s="3"/>
      <c r="B71" s="29" t="s">
        <v>265</v>
      </c>
      <c r="C71" s="17">
        <f>'Segment - PFNA'!C90</f>
        <v>1536</v>
      </c>
      <c r="D71" s="17">
        <f>'Segment - PFNA'!D90</f>
        <v>1391</v>
      </c>
      <c r="E71" s="17">
        <f>'Segment - PFNA'!E90</f>
        <v>1536</v>
      </c>
      <c r="F71" s="17">
        <f>'Segment - PFNA'!F90</f>
        <v>1710</v>
      </c>
      <c r="G71" s="17">
        <f>'Segment - PFNA'!G90</f>
        <v>6173</v>
      </c>
      <c r="H71" s="17">
        <f>'Segment - PFNA'!H90</f>
        <v>1429</v>
      </c>
      <c r="I71" s="17">
        <f>'Segment - PFNA'!I90</f>
        <v>1342</v>
      </c>
      <c r="J71" s="64">
        <f>'Segment - PFNA'!J90</f>
        <v>1439.0957809528534</v>
      </c>
      <c r="K71" s="4"/>
      <c r="L71" s="3"/>
      <c r="M71" s="3"/>
    </row>
    <row r="72">
      <c r="A72" s="3"/>
      <c r="B72" s="29" t="s">
        <v>266</v>
      </c>
      <c r="C72" s="17">
        <f>'Segment - PBNA'!C90</f>
        <v>460</v>
      </c>
      <c r="D72" s="17">
        <f>'Segment - PBNA'!D90</f>
        <v>-639</v>
      </c>
      <c r="E72" s="17">
        <f>'Segment - PBNA'!E90</f>
        <v>729</v>
      </c>
      <c r="F72" s="17">
        <f>'Segment - PBNA'!F90</f>
        <v>539</v>
      </c>
      <c r="G72" s="17">
        <f>'Segment - PBNA'!G90</f>
        <v>1089</v>
      </c>
      <c r="H72" s="17">
        <f>'Segment - PBNA'!H90</f>
        <v>736</v>
      </c>
      <c r="I72" s="17">
        <f>'Segment - PBNA'!I90</f>
        <v>1053</v>
      </c>
      <c r="J72" s="64">
        <f>'Segment - PBNA'!J90</f>
        <v>1067.116149223325</v>
      </c>
      <c r="K72" s="4"/>
      <c r="L72" s="3"/>
      <c r="M72" s="3"/>
    </row>
    <row r="73">
      <c r="A73" s="3"/>
      <c r="B73" s="29" t="s">
        <v>267</v>
      </c>
      <c r="C73" s="17">
        <f>'Segment - IB Franchise'!C88</f>
        <v>277</v>
      </c>
      <c r="D73" s="17">
        <f>'Segment - IB Franchise'!D88</f>
        <v>535</v>
      </c>
      <c r="E73" s="17">
        <f>'Segment - IB Franchise'!E88</f>
        <v>436</v>
      </c>
      <c r="F73" s="17">
        <f>'Segment - IB Franchise'!F88</f>
        <v>521</v>
      </c>
      <c r="G73" s="17">
        <f>'Segment - IB Franchise'!G88</f>
        <v>1769</v>
      </c>
      <c r="H73" s="17">
        <f>'Segment - IB Franchise'!H88</f>
        <v>321</v>
      </c>
      <c r="I73" s="17">
        <f>'Segment - IB Franchise'!I88</f>
        <v>637</v>
      </c>
      <c r="J73" s="64">
        <f>'Segment - IB Franchise'!J88</f>
        <v>560.2831900000001</v>
      </c>
      <c r="K73" s="4"/>
      <c r="L73" s="3"/>
      <c r="M73" s="3"/>
    </row>
    <row r="74">
      <c r="A74" s="3"/>
      <c r="B74" s="29" t="s">
        <v>268</v>
      </c>
      <c r="C74" s="17">
        <f>'Segment - EMEA'!C101</f>
        <v>220</v>
      </c>
      <c r="D74" s="17">
        <f>'Segment - EMEA'!D101</f>
        <v>370</v>
      </c>
      <c r="E74" s="17">
        <f>'Segment - EMEA'!E101</f>
        <v>720</v>
      </c>
      <c r="F74" s="17">
        <f>'Segment - EMEA'!F101</f>
        <v>796</v>
      </c>
      <c r="G74" s="17">
        <f>'Segment - EMEA'!G101</f>
        <v>2106</v>
      </c>
      <c r="H74" s="17">
        <f>'Segment - EMEA'!H101</f>
        <v>278</v>
      </c>
      <c r="I74" s="17">
        <f>'Segment - EMEA'!I101</f>
        <v>751</v>
      </c>
      <c r="J74" s="64">
        <f>'Segment - EMEA'!J101</f>
        <v>833.5118099999997</v>
      </c>
      <c r="K74" s="4"/>
      <c r="L74" s="3"/>
      <c r="M74" s="3"/>
    </row>
    <row r="75">
      <c r="A75" s="3"/>
      <c r="B75" s="29" t="s">
        <v>269</v>
      </c>
      <c r="C75" s="17">
        <f>'Segment - LatAm Foods'!C88</f>
        <v>344</v>
      </c>
      <c r="D75" s="17">
        <f>'Segment - LatAm Foods'!D88</f>
        <v>533</v>
      </c>
      <c r="E75" s="17">
        <f>'Segment - LatAm Foods'!E88</f>
        <v>424</v>
      </c>
      <c r="F75" s="17">
        <f>'Segment - LatAm Foods'!F88</f>
        <v>709</v>
      </c>
      <c r="G75" s="17">
        <f>'Segment - LatAm Foods'!G88</f>
        <v>2010</v>
      </c>
      <c r="H75" s="17">
        <f>'Segment - LatAm Foods'!H88</f>
        <v>428</v>
      </c>
      <c r="I75" s="17">
        <f>'Segment - LatAm Foods'!I88</f>
        <v>616</v>
      </c>
      <c r="J75" s="64">
        <f>'Segment - LatAm Foods'!J88</f>
        <v>583.4759999999999</v>
      </c>
      <c r="K75" s="4"/>
      <c r="L75" s="3"/>
      <c r="M75" s="3"/>
    </row>
    <row r="76">
      <c r="A76" s="3"/>
      <c r="B76" s="29" t="s">
        <v>270</v>
      </c>
      <c r="C76" s="17">
        <f>'Segment - APAC Foods'!C88</f>
        <v>160</v>
      </c>
      <c r="D76" s="17">
        <f>'Segment - APAC Foods'!D88</f>
        <v>10</v>
      </c>
      <c r="E76" s="17">
        <f>'Segment - APAC Foods'!E88</f>
        <v>151</v>
      </c>
      <c r="F76" s="17">
        <f>'Segment - APAC Foods'!F88</f>
        <v>48</v>
      </c>
      <c r="G76" s="17">
        <f>'Segment - APAC Foods'!G88</f>
        <v>369</v>
      </c>
      <c r="H76" s="17">
        <f>'Segment - APAC Foods'!H88</f>
        <v>217</v>
      </c>
      <c r="I76" s="17">
        <f>'Segment - APAC Foods'!I88</f>
        <v>127</v>
      </c>
      <c r="J76" s="64">
        <f>'Segment - APAC Foods'!J88</f>
        <v>179.03840000000002</v>
      </c>
      <c r="K76" s="4"/>
      <c r="L76" s="3"/>
      <c r="M76" s="3"/>
    </row>
    <row r="77">
      <c r="A77" s="3"/>
      <c r="B77" s="29" t="s">
        <v>271</v>
      </c>
      <c r="C77" s="19">
        <v>-16</v>
      </c>
      <c r="D77" s="19">
        <v>-15</v>
      </c>
      <c r="E77" s="19">
        <v>23</v>
      </c>
      <c r="F77" s="19">
        <v>7</v>
      </c>
      <c r="G77" s="1">
        <f>SUM(C77:F77)</f>
        <v>-1</v>
      </c>
      <c r="H77" s="19">
        <v>-182</v>
      </c>
      <c r="I77" s="19">
        <v>40</v>
      </c>
      <c r="J77" s="51">
        <v>0</v>
      </c>
      <c r="K77" s="4" t="s">
        <v>272</v>
      </c>
      <c r="L77" s="3"/>
      <c r="M77" s="3"/>
    </row>
    <row r="78">
      <c r="A78" s="3"/>
      <c r="B78" s="29" t="s">
        <v>273</v>
      </c>
      <c r="C78" s="19">
        <v>25</v>
      </c>
      <c r="D78" s="19">
        <v>22</v>
      </c>
      <c r="E78" s="19">
        <v>-2</v>
      </c>
      <c r="F78" s="19">
        <v>21</v>
      </c>
      <c r="G78" s="1">
        <f>SUM(C78:F78)</f>
        <v>66</v>
      </c>
      <c r="H78" s="19">
        <v>6</v>
      </c>
      <c r="I78" s="19">
        <v>10</v>
      </c>
      <c r="J78" s="16">
        <f>AVERAGE(H78:I78)</f>
        <v>8</v>
      </c>
      <c r="K78" s="4" t="s">
        <v>274</v>
      </c>
      <c r="L78" s="3"/>
      <c r="M78" s="3"/>
    </row>
    <row r="79">
      <c r="A79" s="3"/>
      <c r="B79" s="29" t="s">
        <v>275</v>
      </c>
      <c r="C79" s="19">
        <v>0</v>
      </c>
      <c r="D79" s="19">
        <v>0</v>
      </c>
      <c r="E79" s="19">
        <v>0</v>
      </c>
      <c r="F79" s="19">
        <v>0</v>
      </c>
      <c r="G79" s="1">
        <f>SUM(C79:F79)</f>
        <v>0</v>
      </c>
      <c r="H79" s="19">
        <v>0</v>
      </c>
      <c r="I79" s="19">
        <v>0</v>
      </c>
      <c r="J79" s="51">
        <v>0</v>
      </c>
      <c r="K79" s="4" t="s">
        <v>276</v>
      </c>
      <c r="L79" s="3"/>
      <c r="M79" s="3"/>
    </row>
    <row r="80">
      <c r="A80" s="3"/>
      <c r="B80" s="91" t="s">
        <v>277</v>
      </c>
      <c r="C80" s="21">
        <f>C63-C77-C78-C79</f>
        <v>-414</v>
      </c>
      <c r="D80" s="21">
        <f>D63-D77-D78-D79</f>
        <v>-411</v>
      </c>
      <c r="E80" s="21">
        <f>E63-E77-E78-E79</f>
        <v>-427</v>
      </c>
      <c r="F80" s="21">
        <f>F63-F77-F78-F79</f>
        <v>-766</v>
      </c>
      <c r="G80" s="21">
        <f>G63-G77-G78-G79</f>
        <v>-2018</v>
      </c>
      <c r="H80" s="21">
        <f>H63-H77-H78-H79</f>
        <v>-196</v>
      </c>
      <c r="I80" s="21">
        <f>I63-I77-I78-I79</f>
        <v>-503</v>
      </c>
      <c r="J80" s="43">
        <f>J63-J77-J78-J79</f>
        <v>-448</v>
      </c>
      <c r="K80" s="4"/>
      <c r="L80" s="3"/>
      <c r="M80" s="3"/>
    </row>
    <row r="81">
      <c r="A81" s="3"/>
      <c r="B81" s="15" t="s">
        <v>278</v>
      </c>
      <c r="C81" s="21">
        <f>C71+C72+C73+C74+C75+C76+C80</f>
        <v>2583</v>
      </c>
      <c r="D81" s="21">
        <f>D71+D72+D73+D74+D75+D76+D80</f>
        <v>1789</v>
      </c>
      <c r="E81" s="21">
        <f>E71+E72+E73+E74+E75+E76+E80</f>
        <v>3569</v>
      </c>
      <c r="F81" s="21">
        <f>F71+F72+F73+F74+F75+F76+F80</f>
        <v>3557</v>
      </c>
      <c r="G81" s="21">
        <f>G71+G72+G73+G74+G75+G76+G80</f>
        <v>11498</v>
      </c>
      <c r="H81" s="21">
        <f>H71+H72+H73+H74+H75+H76+H80</f>
        <v>3213</v>
      </c>
      <c r="I81" s="21">
        <f>I71+I72+I73+I74+I75+I76+I80</f>
        <v>4023</v>
      </c>
      <c r="J81" s="43">
        <f>J71+J72+J73+J74+J75+J76+J80</f>
        <v>4214.521330176179</v>
      </c>
      <c r="K81" s="4"/>
      <c r="L81" s="3"/>
      <c r="M81" s="3"/>
    </row>
    <row r="82">
      <c r="A82" s="3"/>
      <c r="B82" s="12" t="s">
        <v>279</v>
      </c>
      <c r="C82" s="52">
        <f>C81-C24</f>
        <v>0</v>
      </c>
      <c r="D82" s="52">
        <f>D81-D24</f>
        <v>0</v>
      </c>
      <c r="E82" s="52">
        <f>E81-E24</f>
        <v>0</v>
      </c>
      <c r="F82" s="52">
        <f>F81-F24</f>
        <v>0</v>
      </c>
      <c r="G82" s="52">
        <f>G81-G24</f>
        <v>0</v>
      </c>
      <c r="H82" s="52">
        <f>H81-H24</f>
        <v>0</v>
      </c>
      <c r="I82" s="52">
        <f>I81-I24</f>
        <v>0</v>
      </c>
      <c r="J82" s="62">
        <f>J81-J24</f>
        <v>0</v>
      </c>
      <c r="K82" s="4" t="s">
        <v>280</v>
      </c>
      <c r="L82" s="3"/>
      <c r="M82" s="3"/>
    </row>
    <row r="83">
      <c r="A83" s="3"/>
      <c r="B83" s="3"/>
      <c r="C83" s="1"/>
      <c r="D83" s="1"/>
      <c r="E83" s="1"/>
      <c r="F83" s="1"/>
      <c r="G83" s="1"/>
      <c r="H83" s="1"/>
      <c r="I83" s="1"/>
      <c r="J83" s="16"/>
      <c r="K83" s="4"/>
      <c r="L83" s="3"/>
      <c r="M83" s="3"/>
    </row>
    <row r="84">
      <c r="A84" s="3"/>
      <c r="B84" s="15" t="s">
        <v>281</v>
      </c>
      <c r="C84" s="5"/>
      <c r="D84" s="5"/>
      <c r="E84" s="5"/>
      <c r="F84" s="5"/>
      <c r="G84" s="5"/>
      <c r="H84" s="5"/>
      <c r="I84" s="5"/>
      <c r="J84" s="22"/>
      <c r="K84" s="4"/>
      <c r="L84" s="3"/>
      <c r="M84" s="3"/>
    </row>
    <row r="85">
      <c r="A85" s="3"/>
      <c r="B85" s="29" t="s">
        <v>282</v>
      </c>
      <c r="C85" s="1">
        <f>C77</f>
        <v>-16</v>
      </c>
      <c r="D85" s="1">
        <f>D77</f>
        <v>-15</v>
      </c>
      <c r="E85" s="1">
        <f>E77</f>
        <v>23</v>
      </c>
      <c r="F85" s="1">
        <f>F77</f>
        <v>7</v>
      </c>
      <c r="G85" s="1">
        <f>G77</f>
        <v>-1</v>
      </c>
      <c r="H85" s="1">
        <f>H77</f>
        <v>-182</v>
      </c>
      <c r="I85" s="1">
        <f>I77</f>
        <v>40</v>
      </c>
      <c r="J85" s="16">
        <f>J77</f>
        <v>0</v>
      </c>
      <c r="K85" s="4"/>
      <c r="L85" s="3"/>
      <c r="M85" s="3"/>
    </row>
    <row r="86">
      <c r="A86" s="3"/>
      <c r="B86" s="29" t="s">
        <v>283</v>
      </c>
      <c r="C86" s="17">
        <f>'Segment - PFNA'!C82+'Segment - PBNA'!C82+'Segment - IB Franchise'!C80+'Segment - EMEA'!C93+'Segment - LatAm Foods'!C80+'Segment - APAC Foods'!C80+C78</f>
        <v>197</v>
      </c>
      <c r="D86" s="17">
        <f>'Segment - PFNA'!D82+'Segment - PBNA'!D82+'Segment - IB Franchise'!D80+'Segment - EMEA'!D93+'Segment - LatAm Foods'!D80+'Segment - APAC Foods'!D80+D78</f>
        <v>215</v>
      </c>
      <c r="E86" s="17">
        <f>'Segment - PFNA'!E82+'Segment - PBNA'!E82+'Segment - IB Franchise'!E80+'Segment - EMEA'!E93+'Segment - LatAm Foods'!E80+'Segment - APAC Foods'!E80+E78</f>
        <v>142</v>
      </c>
      <c r="F86" s="17">
        <f>'Segment - PFNA'!F82+'Segment - PBNA'!F82+'Segment - IB Franchise'!F80+'Segment - EMEA'!F93+'Segment - LatAm Foods'!F80+'Segment - APAC Foods'!F80+F78</f>
        <v>410</v>
      </c>
      <c r="G86" s="17">
        <f>'Segment - PFNA'!G82+'Segment - PBNA'!G82+'Segment - IB Franchise'!G80+'Segment - EMEA'!G93+'Segment - LatAm Foods'!G80+'Segment - APAC Foods'!G80+G78</f>
        <v>964</v>
      </c>
      <c r="H86" s="17">
        <f>'Segment - PFNA'!H82+'Segment - PBNA'!H82+'Segment - IB Franchise'!H80+'Segment - EMEA'!H93+'Segment - LatAm Foods'!H80+'Segment - APAC Foods'!H80+H78</f>
        <v>132</v>
      </c>
      <c r="I86" s="17">
        <f>'Segment - PFNA'!I82+'Segment - PBNA'!I82+'Segment - IB Franchise'!I80+'Segment - EMEA'!I93+'Segment - LatAm Foods'!I80+'Segment - APAC Foods'!I80+I78</f>
        <v>49</v>
      </c>
      <c r="J86" s="64">
        <f>'Segment - PFNA'!J82+'Segment - PBNA'!J82+'Segment - IB Franchise'!J80+'Segment - EMEA'!J93+'Segment - LatAm Foods'!J80+'Segment - APAC Foods'!J80+J78</f>
        <v>90.5</v>
      </c>
      <c r="K86" s="4"/>
      <c r="L86" s="3"/>
      <c r="M86" s="3"/>
    </row>
    <row r="87">
      <c r="A87" s="3"/>
      <c r="B87" s="29" t="s">
        <v>284</v>
      </c>
      <c r="C87" s="17">
        <f>'Segment - PFNA'!C85+'Segment - PBNA'!C85+'Segment - IB Franchise'!C83+'Segment - EMEA'!C96+'Segment - LatAm Foods'!C83+'Segment - APAC Foods'!C83</f>
        <v>25</v>
      </c>
      <c r="D87" s="17">
        <f>'Segment - PFNA'!D85+'Segment - PBNA'!D85+'Segment - IB Franchise'!D83+'Segment - EMEA'!D96+'Segment - LatAm Foods'!D83+'Segment - APAC Foods'!D83</f>
        <v>62</v>
      </c>
      <c r="E87" s="17">
        <f>'Segment - PFNA'!E85+'Segment - PBNA'!E85+'Segment - IB Franchise'!E83+'Segment - EMEA'!E96+'Segment - LatAm Foods'!E83+'Segment - APAC Foods'!E83</f>
        <v>221</v>
      </c>
      <c r="F87" s="17">
        <f>'Segment - PFNA'!F85+'Segment - PBNA'!F85+'Segment - IB Franchise'!F83+'Segment - EMEA'!F96+'Segment - LatAm Foods'!F83+'Segment - APAC Foods'!F83</f>
        <v>145</v>
      </c>
      <c r="G87" s="17">
        <f>'Segment - PFNA'!G85+'Segment - PBNA'!G85+'Segment - IB Franchise'!G83+'Segment - EMEA'!G96+'Segment - LatAm Foods'!G83+'Segment - APAC Foods'!G83</f>
        <v>453</v>
      </c>
      <c r="H87" s="17">
        <f>'Segment - PFNA'!H85+'Segment - PBNA'!H85+'Segment - IB Franchise'!H83+'Segment - EMEA'!H96+'Segment - LatAm Foods'!H83+'Segment - APAC Foods'!H83</f>
        <v>-113</v>
      </c>
      <c r="I87" s="17">
        <f>'Segment - PFNA'!I85+'Segment - PBNA'!I85+'Segment - IB Franchise'!I83+'Segment - EMEA'!I96+'Segment - LatAm Foods'!I83+'Segment - APAC Foods'!I83</f>
        <v>-45</v>
      </c>
      <c r="J87" s="64">
        <f>'Segment - PFNA'!J85+'Segment - PBNA'!J85+'Segment - IB Franchise'!J83+'Segment - EMEA'!J96+'Segment - LatAm Foods'!J83+'Segment - APAC Foods'!J83</f>
        <v>0</v>
      </c>
      <c r="K87" s="4"/>
      <c r="L87" s="3"/>
      <c r="M87" s="3"/>
    </row>
    <row r="88">
      <c r="A88" s="3"/>
      <c r="B88" s="29" t="s">
        <v>285</v>
      </c>
      <c r="C88" s="17">
        <f>'Segment - PFNA'!C86+'Segment - PBNA'!C86+'Segment - IB Franchise'!C84+'Segment - EMEA'!C97+'Segment - LatAm Foods'!C84+'Segment - APAC Foods'!C84</f>
        <v>0</v>
      </c>
      <c r="D88" s="17">
        <f>'Segment - PFNA'!D86+'Segment - PBNA'!D86+'Segment - IB Franchise'!D84+'Segment - EMEA'!D97+'Segment - LatAm Foods'!D84+'Segment - APAC Foods'!D84</f>
        <v>1860</v>
      </c>
      <c r="E88" s="17">
        <f>'Segment - PFNA'!E86+'Segment - PBNA'!E86+'Segment - IB Franchise'!E84+'Segment - EMEA'!E97+'Segment - LatAm Foods'!E84+'Segment - APAC Foods'!E84</f>
        <v>100</v>
      </c>
      <c r="F88" s="17">
        <f>'Segment - PFNA'!F86+'Segment - PBNA'!F86+'Segment - IB Franchise'!F84+'Segment - EMEA'!F97+'Segment - LatAm Foods'!F84+'Segment - APAC Foods'!F84</f>
        <v>-14</v>
      </c>
      <c r="G88" s="17">
        <f>'Segment - PFNA'!G86+'Segment - PBNA'!G86+'Segment - IB Franchise'!G84+'Segment - EMEA'!G97+'Segment - LatAm Foods'!G84+'Segment - APAC Foods'!G84</f>
        <v>1946</v>
      </c>
      <c r="H88" s="17">
        <f>'Segment - PFNA'!H86+'Segment - PBNA'!H86+'Segment - IB Franchise'!H84+'Segment - EMEA'!H97+'Segment - LatAm Foods'!H84+'Segment - APAC Foods'!H84</f>
        <v>0</v>
      </c>
      <c r="I88" s="17">
        <f>'Segment - PFNA'!I86+'Segment - PBNA'!I86+'Segment - IB Franchise'!I84+'Segment - EMEA'!I97+'Segment - LatAm Foods'!I84+'Segment - APAC Foods'!I84</f>
        <v>0</v>
      </c>
      <c r="J88" s="64">
        <f>'Segment - PFNA'!J86+'Segment - PBNA'!J86+'Segment - IB Franchise'!J84+'Segment - EMEA'!J97+'Segment - LatAm Foods'!J84+'Segment - APAC Foods'!J84</f>
        <v>0</v>
      </c>
      <c r="K88" s="4"/>
      <c r="L88" s="3"/>
      <c r="M88" s="3"/>
    </row>
    <row r="89">
      <c r="A89" s="3"/>
      <c r="B89" s="29" t="s">
        <v>286</v>
      </c>
      <c r="C89" s="17">
        <f>'Segment - PFNA'!C87+'Segment - PBNA'!C87+'Segment - IB Franchise'!C85+'Segment - EMEA'!C98+'Segment - LatAm Foods'!C85+'Segment - APAC Foods'!C85</f>
        <v>0</v>
      </c>
      <c r="D89" s="17">
        <f>'Segment - PFNA'!D87+'Segment - PBNA'!D87+'Segment - IB Franchise'!D85+'Segment - EMEA'!D98+'Segment - LatAm Foods'!D85+'Segment - APAC Foods'!D85</f>
        <v>0</v>
      </c>
      <c r="E89" s="17">
        <f>'Segment - PFNA'!E87+'Segment - PBNA'!E87+'Segment - IB Franchise'!E85+'Segment - EMEA'!E98+'Segment - LatAm Foods'!E85+'Segment - APAC Foods'!E85</f>
        <v>82</v>
      </c>
      <c r="F89" s="17">
        <f>'Segment - PFNA'!F87+'Segment - PBNA'!F87+'Segment - IB Franchise'!F85+'Segment - EMEA'!F98+'Segment - LatAm Foods'!F85+'Segment - APAC Foods'!F85</f>
        <v>0</v>
      </c>
      <c r="G89" s="17">
        <f>'Segment - PFNA'!G87+'Segment - PBNA'!G87+'Segment - IB Franchise'!G85+'Segment - EMEA'!G98+'Segment - LatAm Foods'!G85+'Segment - APAC Foods'!G85</f>
        <v>82</v>
      </c>
      <c r="H89" s="17">
        <f>'Segment - PFNA'!H87+'Segment - PBNA'!H87+'Segment - IB Franchise'!H85+'Segment - EMEA'!H98+'Segment - LatAm Foods'!H85+'Segment - APAC Foods'!H85</f>
        <v>0</v>
      </c>
      <c r="I89" s="17">
        <f>'Segment - PFNA'!I87+'Segment - PBNA'!I87+'Segment - IB Franchise'!I85+'Segment - EMEA'!I98+'Segment - LatAm Foods'!I85+'Segment - APAC Foods'!I85</f>
        <v>0</v>
      </c>
      <c r="J89" s="64">
        <f>'Segment - PFNA'!J87+'Segment - PBNA'!J87+'Segment - IB Franchise'!J85+'Segment - EMEA'!J98+'Segment - LatAm Foods'!J85+'Segment - APAC Foods'!J85</f>
        <v>0</v>
      </c>
      <c r="K89" s="4"/>
      <c r="L89" s="3"/>
      <c r="M89" s="3"/>
    </row>
    <row r="90">
      <c r="A90" s="3"/>
      <c r="B90" s="29" t="s">
        <v>287</v>
      </c>
      <c r="C90" s="17">
        <f>'Segment - PFNA'!C88+'Segment - PBNA'!C88+'Segment - IB Franchise'!C86+'Segment - EMEA'!C99+'Segment - LatAm Foods'!C86+'Segment - APAC Foods'!C86</f>
        <v>0</v>
      </c>
      <c r="D90" s="17">
        <f>'Segment - PFNA'!D88+'Segment - PBNA'!D88+'Segment - IB Franchise'!D86+'Segment - EMEA'!D99+'Segment - LatAm Foods'!D86+'Segment - APAC Foods'!D86</f>
        <v>0</v>
      </c>
      <c r="E90" s="17">
        <f>'Segment - PFNA'!E88+'Segment - PBNA'!E88+'Segment - IB Franchise'!E86+'Segment - EMEA'!E99+'Segment - LatAm Foods'!E86+'Segment - APAC Foods'!E86</f>
        <v>0</v>
      </c>
      <c r="F90" s="17">
        <f>'Segment - PFNA'!F88+'Segment - PBNA'!F88+'Segment - IB Franchise'!F86+'Segment - EMEA'!F99+'Segment - LatAm Foods'!F86+'Segment - APAC Foods'!F86</f>
        <v>-30</v>
      </c>
      <c r="G90" s="17">
        <f>'Segment - PFNA'!G88+'Segment - PBNA'!G88+'Segment - IB Franchise'!G86+'Segment - EMEA'!G99+'Segment - LatAm Foods'!G86+'Segment - APAC Foods'!G86</f>
        <v>-30</v>
      </c>
      <c r="H90" s="17">
        <f>'Segment - PFNA'!H88+'Segment - PBNA'!H88+'Segment - IB Franchise'!H86+'Segment - EMEA'!H99+'Segment - LatAm Foods'!H86+'Segment - APAC Foods'!H86</f>
        <v>0</v>
      </c>
      <c r="I90" s="17">
        <f>'Segment - PFNA'!I88+'Segment - PBNA'!I88+'Segment - IB Franchise'!I86+'Segment - EMEA'!I99+'Segment - LatAm Foods'!I86+'Segment - APAC Foods'!I86</f>
        <v>0</v>
      </c>
      <c r="J90" s="64">
        <f>'Segment - PFNA'!J88+'Segment - PBNA'!J88+'Segment - IB Franchise'!J86+'Segment - EMEA'!J99+'Segment - LatAm Foods'!J86+'Segment - APAC Foods'!J86</f>
        <v>0</v>
      </c>
      <c r="K90" s="4"/>
      <c r="L90" s="3"/>
      <c r="M90" s="3"/>
    </row>
    <row r="91">
      <c r="A91" s="3"/>
      <c r="B91" s="29" t="s">
        <v>288</v>
      </c>
      <c r="C91" s="1">
        <f>C79</f>
        <v>0</v>
      </c>
      <c r="D91" s="1">
        <f>D79</f>
        <v>0</v>
      </c>
      <c r="E91" s="1">
        <f>E79</f>
        <v>0</v>
      </c>
      <c r="F91" s="1">
        <f>F79</f>
        <v>0</v>
      </c>
      <c r="G91" s="1">
        <f>G79</f>
        <v>0</v>
      </c>
      <c r="H91" s="1">
        <f>H79</f>
        <v>0</v>
      </c>
      <c r="I91" s="1">
        <f>I79</f>
        <v>0</v>
      </c>
      <c r="J91" s="16">
        <f>J79</f>
        <v>0</v>
      </c>
      <c r="K91" s="4"/>
      <c r="L91" s="3"/>
      <c r="M91" s="3"/>
    </row>
    <row r="92">
      <c r="A92" s="3"/>
      <c r="B92" s="15" t="s">
        <v>289</v>
      </c>
      <c r="C92" s="21">
        <f>C85+C86+C87+C88+C89+C90+C91</f>
        <v>206</v>
      </c>
      <c r="D92" s="21">
        <f>D85+D86+D87+D88+D89+D90+D91</f>
        <v>2122</v>
      </c>
      <c r="E92" s="21">
        <f>E85+E86+E87+E88+E89+E90+E91</f>
        <v>568</v>
      </c>
      <c r="F92" s="21">
        <f>F85+F86+F87+F88+F89+F90+F91</f>
        <v>518</v>
      </c>
      <c r="G92" s="21">
        <f>G85+G86+G87+G88+G89+G90+G91</f>
        <v>3414</v>
      </c>
      <c r="H92" s="21">
        <f>H85+H86+H87+H88+H89+H90+H91</f>
        <v>-163</v>
      </c>
      <c r="I92" s="21">
        <f>I85+I86+I87+I88+I89+I90+I91</f>
        <v>44</v>
      </c>
      <c r="J92" s="43">
        <f>J85+J86+J87+J88+J89+J90+J91</f>
        <v>90.5</v>
      </c>
      <c r="K92" s="4"/>
      <c r="L92" s="3"/>
      <c r="M92" s="3"/>
    </row>
    <row r="93">
      <c r="A93" s="3"/>
      <c r="B93" s="12" t="s">
        <v>290</v>
      </c>
      <c r="C93" s="52">
        <f>C92-(C66-C81)</f>
        <v>0</v>
      </c>
      <c r="D93" s="52">
        <f>D92-(D66-D81)</f>
        <v>0</v>
      </c>
      <c r="E93" s="52">
        <f>E92-(E66-E81)</f>
        <v>0</v>
      </c>
      <c r="F93" s="52">
        <f>F92-(F66-F81)</f>
        <v>0</v>
      </c>
      <c r="G93" s="52">
        <f>G92-(G66-G81)</f>
        <v>0</v>
      </c>
      <c r="H93" s="52">
        <f>H92-(H66-H81)</f>
        <v>0</v>
      </c>
      <c r="I93" s="52">
        <f>I92-(I66-I81)</f>
        <v>0</v>
      </c>
      <c r="J93" s="62">
        <f>J92-(J66-J81)</f>
        <v>0</v>
      </c>
      <c r="K93" s="4"/>
      <c r="L93" s="3"/>
      <c r="M93" s="3"/>
    </row>
    <row r="94">
      <c r="A94" s="3"/>
      <c r="B94" s="12" t="s">
        <v>291</v>
      </c>
      <c r="C94" s="7" t="s">
        <v>44</v>
      </c>
      <c r="D94" s="7" t="s">
        <v>44</v>
      </c>
      <c r="E94" s="7" t="s">
        <v>44</v>
      </c>
      <c r="F94" s="7" t="s">
        <v>44</v>
      </c>
      <c r="G94" s="7" t="s">
        <v>44</v>
      </c>
      <c r="H94" s="7" t="s">
        <v>44</v>
      </c>
      <c r="I94" s="7" t="s">
        <v>44</v>
      </c>
      <c r="J94" s="79">
        <v>0.22</v>
      </c>
      <c r="K94" s="4" t="s">
        <v>292</v>
      </c>
      <c r="L94" s="3"/>
      <c r="M94" s="3"/>
    </row>
    <row r="95">
      <c r="A95" s="3"/>
      <c r="B95" s="29" t="s">
        <v>293</v>
      </c>
      <c r="C95" s="1" t="s">
        <v>44</v>
      </c>
      <c r="D95" s="1" t="s">
        <v>44</v>
      </c>
      <c r="E95" s="1" t="s">
        <v>44</v>
      </c>
      <c r="F95" s="1" t="s">
        <v>44</v>
      </c>
      <c r="G95" s="1" t="s">
        <v>44</v>
      </c>
      <c r="H95" s="1" t="s">
        <v>44</v>
      </c>
      <c r="I95" s="1" t="s">
        <v>44</v>
      </c>
      <c r="J95" s="123">
        <f>J92*J94</f>
        <v>19.91</v>
      </c>
      <c r="K95" s="4"/>
      <c r="L95" s="3"/>
      <c r="M95" s="3"/>
    </row>
    <row r="96">
      <c r="A96" s="3"/>
      <c r="B96" s="3" t="s">
        <v>294</v>
      </c>
      <c r="C96" s="1">
        <f>C43</f>
        <v>1834</v>
      </c>
      <c r="D96" s="1">
        <f>D43</f>
        <v>1263</v>
      </c>
      <c r="E96" s="1">
        <f>E43</f>
        <v>2603</v>
      </c>
      <c r="F96" s="1">
        <f>F43</f>
        <v>2540</v>
      </c>
      <c r="G96" s="1">
        <f>G43</f>
        <v>8240</v>
      </c>
      <c r="H96" s="1">
        <f>H43</f>
        <v>2327</v>
      </c>
      <c r="I96" s="1">
        <f>I43</f>
        <v>2981</v>
      </c>
      <c r="J96" s="16">
        <f>J43</f>
        <v>3084.2765308865382</v>
      </c>
      <c r="K96" s="4"/>
      <c r="L96" s="3"/>
      <c r="M96" s="3"/>
    </row>
    <row r="97">
      <c r="A97" s="3"/>
      <c r="B97" s="29" t="s">
        <v>295</v>
      </c>
      <c r="C97" s="19">
        <v>-13</v>
      </c>
      <c r="D97" s="19">
        <v>-10</v>
      </c>
      <c r="E97" s="19">
        <v>17</v>
      </c>
      <c r="F97" s="19">
        <v>5</v>
      </c>
      <c r="G97" s="1">
        <f>SUM(C97:F97)</f>
        <v>-1</v>
      </c>
      <c r="H97" s="19">
        <v>-139</v>
      </c>
      <c r="I97" s="19">
        <v>31</v>
      </c>
      <c r="J97" s="16">
        <f>J85*(1-J94)</f>
        <v>0</v>
      </c>
      <c r="K97" s="4" t="s">
        <v>296</v>
      </c>
      <c r="L97" s="3"/>
      <c r="M97" s="3"/>
    </row>
    <row r="98">
      <c r="A98" s="3"/>
      <c r="B98" s="29" t="s">
        <v>297</v>
      </c>
      <c r="C98" s="19">
        <v>191</v>
      </c>
      <c r="D98" s="19">
        <v>160</v>
      </c>
      <c r="E98" s="19">
        <v>116</v>
      </c>
      <c r="F98" s="19">
        <v>325</v>
      </c>
      <c r="G98" s="1">
        <f>SUM(C98:F98)</f>
        <v>792</v>
      </c>
      <c r="H98" s="19">
        <v>102</v>
      </c>
      <c r="I98" s="19">
        <v>39</v>
      </c>
      <c r="J98" s="16">
        <f>J86*(1-J94)</f>
        <v>70.59</v>
      </c>
      <c r="K98" s="4" t="s">
        <v>296</v>
      </c>
      <c r="L98" s="3"/>
      <c r="M98" s="3"/>
    </row>
    <row r="99">
      <c r="A99" s="3"/>
      <c r="B99" s="29" t="s">
        <v>298</v>
      </c>
      <c r="C99" s="19">
        <v>19</v>
      </c>
      <c r="D99" s="19">
        <v>48</v>
      </c>
      <c r="E99" s="19">
        <v>169</v>
      </c>
      <c r="F99" s="19">
        <v>111</v>
      </c>
      <c r="G99" s="1">
        <f>SUM(C99:F99)</f>
        <v>347</v>
      </c>
      <c r="H99" s="19">
        <v>-86</v>
      </c>
      <c r="I99" s="19">
        <v>-35</v>
      </c>
      <c r="J99" s="16">
        <f>J87*(1-J94)</f>
        <v>0</v>
      </c>
      <c r="K99" s="4" t="s">
        <v>296</v>
      </c>
      <c r="L99" s="3"/>
      <c r="M99" s="3"/>
    </row>
    <row r="100">
      <c r="A100" s="3"/>
      <c r="B100" s="29" t="s">
        <v>299</v>
      </c>
      <c r="C100" s="19">
        <v>0</v>
      </c>
      <c r="D100" s="19">
        <v>1447</v>
      </c>
      <c r="E100" s="19">
        <v>92</v>
      </c>
      <c r="F100" s="19">
        <v>-48</v>
      </c>
      <c r="G100" s="1">
        <f>SUM(C100:F100)</f>
        <v>1491</v>
      </c>
      <c r="H100" s="19">
        <v>0</v>
      </c>
      <c r="I100" s="19">
        <v>0</v>
      </c>
      <c r="J100" s="16">
        <f>J88*(1-J94)</f>
        <v>0</v>
      </c>
      <c r="K100" s="4" t="s">
        <v>296</v>
      </c>
      <c r="L100" s="3"/>
      <c r="M100" s="3"/>
    </row>
    <row r="101">
      <c r="A101" s="3"/>
      <c r="B101" s="29" t="s">
        <v>300</v>
      </c>
      <c r="C101" s="19">
        <v>0</v>
      </c>
      <c r="D101" s="19">
        <v>0</v>
      </c>
      <c r="E101" s="19">
        <v>129</v>
      </c>
      <c r="F101" s="19">
        <v>-18</v>
      </c>
      <c r="G101" s="1">
        <f>SUM(C101:F101)</f>
        <v>111</v>
      </c>
      <c r="H101" s="19">
        <v>0</v>
      </c>
      <c r="I101" s="19">
        <v>0</v>
      </c>
      <c r="J101" s="16">
        <f>J89*(1-J94)</f>
        <v>0</v>
      </c>
      <c r="K101" s="4" t="s">
        <v>296</v>
      </c>
      <c r="L101" s="3"/>
      <c r="M101" s="3"/>
    </row>
    <row r="102">
      <c r="A102" s="3"/>
      <c r="B102" s="29" t="s">
        <v>301</v>
      </c>
      <c r="C102" s="19">
        <v>0</v>
      </c>
      <c r="D102" s="19">
        <v>-1</v>
      </c>
      <c r="E102" s="19">
        <v>11</v>
      </c>
      <c r="F102" s="19">
        <v>186</v>
      </c>
      <c r="G102" s="1">
        <f>SUM(C102:F102)</f>
        <v>196</v>
      </c>
      <c r="H102" s="19">
        <v>0</v>
      </c>
      <c r="I102" s="19">
        <v>0</v>
      </c>
      <c r="J102" s="16">
        <f>J90*(1-J94)</f>
        <v>0</v>
      </c>
      <c r="K102" s="4" t="s">
        <v>296</v>
      </c>
      <c r="L102" s="3"/>
      <c r="M102" s="3"/>
    </row>
    <row r="103">
      <c r="A103" s="3"/>
      <c r="B103" s="15" t="s">
        <v>46</v>
      </c>
      <c r="C103" s="21">
        <f>C96+C97+C98+C99+C100+C101+C102</f>
        <v>2031</v>
      </c>
      <c r="D103" s="21">
        <f>D96+D97+D98+D99+D100+D101+D102</f>
        <v>2907</v>
      </c>
      <c r="E103" s="21">
        <f>E96+E97+E98+E99+E100+E101+E102</f>
        <v>3137</v>
      </c>
      <c r="F103" s="21">
        <f>F96+F97+F98+F99+F100+F101+F102</f>
        <v>3101</v>
      </c>
      <c r="G103" s="21">
        <f>G96+G97+G98+G99+G100+G101+G102</f>
        <v>11176</v>
      </c>
      <c r="H103" s="21">
        <f>H96+H97+H98+H99+H100+H101+H102</f>
        <v>2204</v>
      </c>
      <c r="I103" s="21">
        <f>I96+I97+I98+I99+I100+I101+I102</f>
        <v>3016</v>
      </c>
      <c r="J103" s="43">
        <f>J96+J97+J98+J99+J100+J101+J102</f>
        <v>3154.8665308865384</v>
      </c>
      <c r="K103" s="4"/>
      <c r="L103" s="3"/>
      <c r="M103" s="3"/>
    </row>
    <row r="104">
      <c r="A104" s="3"/>
      <c r="B104" s="3" t="s">
        <v>302</v>
      </c>
      <c r="C104" s="19">
        <v>2031</v>
      </c>
      <c r="D104" s="19">
        <v>2907</v>
      </c>
      <c r="E104" s="19">
        <v>3137</v>
      </c>
      <c r="F104" s="19">
        <v>3101</v>
      </c>
      <c r="G104" s="19">
        <v>11176</v>
      </c>
      <c r="H104" s="19">
        <v>2204</v>
      </c>
      <c r="I104" s="19">
        <v>3016</v>
      </c>
      <c r="J104" s="16" t="s">
        <v>44</v>
      </c>
      <c r="K104" s="4"/>
      <c r="L104" s="3"/>
      <c r="M104" s="3"/>
    </row>
    <row r="105">
      <c r="A105" s="3"/>
      <c r="B105" s="12" t="s">
        <v>303</v>
      </c>
      <c r="C105" s="52">
        <f>C103-C104</f>
        <v>0</v>
      </c>
      <c r="D105" s="52">
        <f>D103-D104</f>
        <v>0</v>
      </c>
      <c r="E105" s="52">
        <f>E103-E104</f>
        <v>0</v>
      </c>
      <c r="F105" s="52">
        <f>F103-F104</f>
        <v>0</v>
      </c>
      <c r="G105" s="52">
        <f>G103-G104</f>
        <v>0</v>
      </c>
      <c r="H105" s="52">
        <f>H103-H104</f>
        <v>0</v>
      </c>
      <c r="I105" s="52">
        <f>I103-I104</f>
        <v>0</v>
      </c>
      <c r="J105" s="62">
        <f>J103-J131</f>
        <v>0</v>
      </c>
      <c r="K105" s="4"/>
      <c r="L105" s="3"/>
      <c r="M105" s="3"/>
    </row>
    <row r="106">
      <c r="A106" s="3"/>
      <c r="B106" s="3" t="s">
        <v>250</v>
      </c>
      <c r="C106" s="95">
        <f>C51</f>
        <v>1.3328488372093024</v>
      </c>
      <c r="D106" s="95">
        <f>D51</f>
        <v>0.9198834668608885</v>
      </c>
      <c r="E106" s="95">
        <f>E51</f>
        <v>1.8972303206997085</v>
      </c>
      <c r="F106" s="95">
        <f>F51</f>
        <v>1.8526622902990517</v>
      </c>
      <c r="G106" s="95">
        <f>G51</f>
        <v>6.001456664238893</v>
      </c>
      <c r="H106" s="95">
        <f>H51</f>
        <v>1.6973012399708243</v>
      </c>
      <c r="I106" s="95">
        <f>I51</f>
        <v>2.1775018261504746</v>
      </c>
      <c r="J106" s="100">
        <f>J51</f>
        <v>2.2537675301825835</v>
      </c>
      <c r="K106" s="4"/>
      <c r="L106" s="3"/>
      <c r="M106" s="3"/>
    </row>
    <row r="107">
      <c r="A107" s="3"/>
      <c r="B107" s="29" t="s">
        <v>304</v>
      </c>
      <c r="C107" s="95">
        <f>C97/C49</f>
        <v>-0.00944767441860465</v>
      </c>
      <c r="D107" s="95">
        <f>D97/D49</f>
        <v>-0.007283321194464676</v>
      </c>
      <c r="E107" s="95">
        <f>E97/E49</f>
        <v>0.01239067055393586</v>
      </c>
      <c r="F107" s="95">
        <f>F97/F49</f>
        <v>0.0036469730123997084</v>
      </c>
      <c r="G107" s="95">
        <f>G97/G49</f>
        <v>-0.0007283321194464676</v>
      </c>
      <c r="H107" s="95">
        <f>H97/H49</f>
        <v>-0.10138584974471189</v>
      </c>
      <c r="I107" s="95">
        <f>I97/I49</f>
        <v>0.022644265887509132</v>
      </c>
      <c r="J107" s="100">
        <f>J97/J49</f>
        <v>0</v>
      </c>
      <c r="K107" s="4"/>
      <c r="L107" s="3"/>
      <c r="M107" s="3"/>
    </row>
    <row r="108">
      <c r="A108" s="3"/>
      <c r="B108" s="29" t="s">
        <v>305</v>
      </c>
      <c r="C108" s="95">
        <f>C98/C49</f>
        <v>0.13880813953488372</v>
      </c>
      <c r="D108" s="95">
        <f>D98/D49</f>
        <v>0.11653313911143481</v>
      </c>
      <c r="E108" s="95">
        <f>E98/E49</f>
        <v>0.08454810495626822</v>
      </c>
      <c r="F108" s="95">
        <f>F98/F49</f>
        <v>0.23705324580598103</v>
      </c>
      <c r="G108" s="95">
        <f>G98/G49</f>
        <v>0.5768390386016023</v>
      </c>
      <c r="H108" s="95">
        <f>H98/H49</f>
        <v>0.07439824945295405</v>
      </c>
      <c r="I108" s="95">
        <f>I98/I49</f>
        <v>0.028487947406866325</v>
      </c>
      <c r="J108" s="100">
        <f>J98/J49</f>
        <v>0.05158209659944437</v>
      </c>
      <c r="K108" s="4"/>
      <c r="L108" s="3"/>
      <c r="M108" s="3"/>
    </row>
    <row r="109">
      <c r="A109" s="3"/>
      <c r="B109" s="29" t="s">
        <v>306</v>
      </c>
      <c r="C109" s="95">
        <f>C99/C49</f>
        <v>0.013808139534883721</v>
      </c>
      <c r="D109" s="95">
        <f>D99/D49</f>
        <v>0.03495994173343044</v>
      </c>
      <c r="E109" s="95">
        <f>E99/E49</f>
        <v>0.12317784256559766</v>
      </c>
      <c r="F109" s="95">
        <f>F99/F49</f>
        <v>0.08096280087527352</v>
      </c>
      <c r="G109" s="95">
        <f>G99/G49</f>
        <v>0.25273124544792425</v>
      </c>
      <c r="H109" s="95">
        <f>H99/H49</f>
        <v>-0.06272793581327499</v>
      </c>
      <c r="I109" s="95">
        <f>I99/I49</f>
        <v>-0.02556610664718773</v>
      </c>
      <c r="J109" s="100">
        <f>J99/J49</f>
        <v>0</v>
      </c>
      <c r="K109" s="4"/>
      <c r="L109" s="3"/>
      <c r="M109" s="3"/>
    </row>
    <row r="110">
      <c r="A110" s="3"/>
      <c r="B110" s="29" t="s">
        <v>307</v>
      </c>
      <c r="C110" s="95">
        <f>C100/C49</f>
        <v>0</v>
      </c>
      <c r="D110" s="95">
        <f>D100/D49</f>
        <v>1.0538965768390387</v>
      </c>
      <c r="E110" s="95">
        <f>E100/E49</f>
        <v>0.06705539358600583</v>
      </c>
      <c r="F110" s="95">
        <f>F100/F49</f>
        <v>-0.0350109409190372</v>
      </c>
      <c r="G110" s="95">
        <f>G100/G49</f>
        <v>1.0859431900946832</v>
      </c>
      <c r="H110" s="95">
        <f>H100/H49</f>
        <v>0</v>
      </c>
      <c r="I110" s="95">
        <f>I100/I49</f>
        <v>0</v>
      </c>
      <c r="J110" s="100">
        <f>J100/J49</f>
        <v>0</v>
      </c>
      <c r="K110" s="4"/>
      <c r="L110" s="3"/>
      <c r="M110" s="3"/>
    </row>
    <row r="111">
      <c r="A111" s="3"/>
      <c r="B111" s="29" t="s">
        <v>308</v>
      </c>
      <c r="C111" s="95">
        <f>C101/C49</f>
        <v>0</v>
      </c>
      <c r="D111" s="95">
        <f>D101/D49</f>
        <v>0</v>
      </c>
      <c r="E111" s="95">
        <f>E101/E49</f>
        <v>0.09402332361516035</v>
      </c>
      <c r="F111" s="95">
        <f>F101/F49</f>
        <v>-0.01312910284463895</v>
      </c>
      <c r="G111" s="95">
        <f>G101/G49</f>
        <v>0.0808448652585579</v>
      </c>
      <c r="H111" s="95">
        <f>H101/H49</f>
        <v>0</v>
      </c>
      <c r="I111" s="95">
        <f>I101/I49</f>
        <v>0</v>
      </c>
      <c r="J111" s="100">
        <f>J101/J49</f>
        <v>0</v>
      </c>
      <c r="K111" s="4"/>
      <c r="L111" s="3"/>
      <c r="M111" s="3"/>
    </row>
    <row r="112">
      <c r="A112" s="3"/>
      <c r="B112" s="29" t="s">
        <v>309</v>
      </c>
      <c r="C112" s="95">
        <f>C102/C49</f>
        <v>0</v>
      </c>
      <c r="D112" s="95">
        <f>D102/D49</f>
        <v>-0.0007283321194464676</v>
      </c>
      <c r="E112" s="95">
        <f>E102/E49</f>
        <v>0.008017492711370262</v>
      </c>
      <c r="F112" s="95">
        <f>F102/F49</f>
        <v>0.13566739606126915</v>
      </c>
      <c r="G112" s="95">
        <f>G102/G49</f>
        <v>0.14275309541150766</v>
      </c>
      <c r="H112" s="95">
        <f>H102/H49</f>
        <v>0</v>
      </c>
      <c r="I112" s="95">
        <f>I102/I49</f>
        <v>0</v>
      </c>
      <c r="J112" s="100">
        <f>J102/J49</f>
        <v>0</v>
      </c>
      <c r="K112" s="4"/>
      <c r="L112" s="3"/>
      <c r="M112" s="3"/>
    </row>
    <row r="113">
      <c r="A113" s="3"/>
      <c r="B113" s="15" t="s">
        <v>310</v>
      </c>
      <c r="C113" s="116">
        <f>C106+C107+C108+C109+C110+C111+C112</f>
        <v>1.476017441860465</v>
      </c>
      <c r="D113" s="116">
        <f>D106+D107+D108+D109+D110+D111+D112</f>
        <v>2.1172614712308815</v>
      </c>
      <c r="E113" s="116">
        <f>E106+E107+E108+E109+E110+E111+E112</f>
        <v>2.2864431486880465</v>
      </c>
      <c r="F113" s="116">
        <f>F106+F107+F108+F109+F110+F111+F112</f>
        <v>2.2618526622902997</v>
      </c>
      <c r="G113" s="116">
        <f>G106+G107+G108+G109+G110+G111+G112</f>
        <v>8.139839766933722</v>
      </c>
      <c r="H113" s="116">
        <f>H106+H107+H108+H109+H110+H111+H112</f>
        <v>1.6075857038657912</v>
      </c>
      <c r="I113" s="116">
        <f>I106+I107+I108+I109+I110+I111+I112</f>
        <v>2.203067932797662</v>
      </c>
      <c r="J113" s="120">
        <f>J106+J107+J108+J109+J110+J111+J112</f>
        <v>2.3053496267820277</v>
      </c>
      <c r="K113" s="4"/>
      <c r="L113" s="3"/>
      <c r="M113" s="3"/>
    </row>
    <row r="114">
      <c r="A114" s="3"/>
      <c r="B114" s="3"/>
      <c r="C114" s="1"/>
      <c r="D114" s="1"/>
      <c r="E114" s="1"/>
      <c r="F114" s="1"/>
      <c r="G114" s="1"/>
      <c r="H114" s="1"/>
      <c r="I114" s="1"/>
      <c r="J114" s="16"/>
      <c r="K114" s="4"/>
      <c r="L114" s="3"/>
      <c r="M114" s="3"/>
    </row>
    <row r="115">
      <c r="A115" s="3"/>
      <c r="B115" s="15" t="s">
        <v>311</v>
      </c>
      <c r="C115" s="5"/>
      <c r="D115" s="5"/>
      <c r="E115" s="5"/>
      <c r="F115" s="5"/>
      <c r="G115" s="5"/>
      <c r="H115" s="5"/>
      <c r="I115" s="5"/>
      <c r="J115" s="22"/>
      <c r="K115" s="4"/>
      <c r="L115" s="3"/>
      <c r="M115" s="3"/>
    </row>
    <row r="116">
      <c r="A116" s="3"/>
      <c r="B116" s="15" t="s">
        <v>180</v>
      </c>
      <c r="C116" s="21">
        <f>C66</f>
        <v>2789</v>
      </c>
      <c r="D116" s="21">
        <f>D66</f>
        <v>3911</v>
      </c>
      <c r="E116" s="21">
        <f>E66</f>
        <v>4137</v>
      </c>
      <c r="F116" s="21">
        <f>F66</f>
        <v>4075</v>
      </c>
      <c r="G116" s="21">
        <f>G66</f>
        <v>14912</v>
      </c>
      <c r="H116" s="21">
        <f>H66</f>
        <v>3050</v>
      </c>
      <c r="I116" s="21">
        <f>I66</f>
        <v>4067</v>
      </c>
      <c r="J116" s="43">
        <f>J66</f>
        <v>4305.021330176179</v>
      </c>
      <c r="K116" s="4"/>
      <c r="L116" s="3"/>
      <c r="M116" s="3"/>
    </row>
    <row r="117">
      <c r="A117" s="3"/>
      <c r="B117" s="56" t="s">
        <v>77</v>
      </c>
      <c r="C117" s="7">
        <f>IFERROR(IF(OR(C116&lt;0,C140&lt;0),"n.m.",C116/C140-1),"n/a")</f>
        <v>-0.05103776794828174</v>
      </c>
      <c r="D117" s="7">
        <f>IFERROR(IF(OR(D116&lt;0,D140&lt;0),"n.m.",D116/D140-1),"n/a")</f>
        <v>-0.05095850521718026</v>
      </c>
      <c r="E117" s="7">
        <f>IFERROR(IF(OR(E116&lt;0,E140&lt;0),"n.m.",E116/E140-1),"n/a")</f>
        <v>-0.009339080459770166</v>
      </c>
      <c r="F117" s="7">
        <f>IFERROR(IF(OR(F116&lt;0,F140&lt;0),"n.m.",F116/F140-1),"n/a")</f>
        <v>0.17706528018486423</v>
      </c>
      <c r="G117" s="7">
        <f>IFERROR(IF(OR(G116&lt;0,G140&lt;0),"n.m.",G116/G140-1),"n/a")</f>
        <v>0.01455980405497348</v>
      </c>
      <c r="H117" s="7">
        <f>IFERROR(IF(OR(H116&lt;0,C116&lt;0),"n.m.",H116/C116-1),"n/a")</f>
        <v>0.0935819290068125</v>
      </c>
      <c r="I117" s="7">
        <f>IFERROR(IF(OR(I116&lt;0,D116&lt;0),"n.m.",I116/D116-1),"n/a")</f>
        <v>0.03988749680388648</v>
      </c>
      <c r="J117" s="25">
        <f>IFERROR(IF(OR(J116&lt;0,E116&lt;0),"n.m.",J116/E116-1),"n/a")</f>
        <v>0.04061429300850339</v>
      </c>
      <c r="K117" s="4"/>
      <c r="L117" s="3"/>
      <c r="M117" s="3"/>
    </row>
    <row r="118">
      <c r="A118" s="3"/>
      <c r="B118" s="12" t="s">
        <v>182</v>
      </c>
      <c r="C118" s="7">
        <f>IFERROR(C116/C10,"n/a")</f>
        <v>0.15564484625258107</v>
      </c>
      <c r="D118" s="7">
        <f>IFERROR(D116/D10,"n/a")</f>
        <v>0.17209363724368565</v>
      </c>
      <c r="E118" s="7">
        <f>IFERROR(E116/E10,"n/a")</f>
        <v>0.17282867527259055</v>
      </c>
      <c r="F118" s="7">
        <f>IFERROR(F116/F10,"n/a")</f>
        <v>0.13887468902293562</v>
      </c>
      <c r="G118" s="7">
        <f>IFERROR(G116/G10,"n/a")</f>
        <v>0.15876497205216927</v>
      </c>
      <c r="H118" s="7">
        <f>IFERROR(H116/H10,"n/a")</f>
        <v>0.15686879596770045</v>
      </c>
      <c r="I118" s="7">
        <f>IFERROR(I116/I10,"n/a")</f>
        <v>0.1681899011620694</v>
      </c>
      <c r="J118" s="25">
        <f>IFERROR(J116/J10,"n/a")</f>
        <v>0.1723350436121061</v>
      </c>
      <c r="K118" s="4"/>
      <c r="L118" s="3"/>
      <c r="M118" s="3"/>
    </row>
    <row r="119">
      <c r="A119" s="3"/>
      <c r="B119" s="56" t="s">
        <v>109</v>
      </c>
      <c r="C119" s="77">
        <f>IFERROR((C118-C141)*10000,"n/a")</f>
        <v>-53.962496378298916</v>
      </c>
      <c r="D119" s="77">
        <f>IFERROR((D118-D141)*10000,"n/a")</f>
        <v>-110.53778426729</v>
      </c>
      <c r="E119" s="77">
        <f>IFERROR((E118-E141)*10000,"n/a")</f>
        <v>-62.52760466506329</v>
      </c>
      <c r="F119" s="77">
        <f>IFERROR((F118-F141)*10000,"n/a")</f>
        <v>142.7060033880087</v>
      </c>
      <c r="G119" s="77">
        <f>IFERROR((G118-G141)*10000,"n/a")</f>
        <v>-12.498340531718055</v>
      </c>
      <c r="H119" s="77">
        <f>IFERROR((H118-C118)*10000,"n/a")</f>
        <v>12.239497151193824</v>
      </c>
      <c r="I119" s="77">
        <f>IFERROR((I118-D118)*10000,"n/a")</f>
        <v>-39.037360816162604</v>
      </c>
      <c r="J119" s="78">
        <f>IFERROR((J118-E118)*10000,"n/a")</f>
        <v>-4.936316604844393</v>
      </c>
      <c r="K119" s="4"/>
      <c r="L119" s="3"/>
      <c r="M119" s="3"/>
    </row>
    <row r="120">
      <c r="A120" s="3"/>
      <c r="B120" s="56" t="s">
        <v>110</v>
      </c>
      <c r="C120" s="77" t="s">
        <v>44</v>
      </c>
      <c r="D120" s="77">
        <f>IFERROR((D118-C118)*10000,"n/a")</f>
        <v>164.4879099110458</v>
      </c>
      <c r="E120" s="77">
        <f>IFERROR((E118-D118)*10000,"n/a")</f>
        <v>7.350380289048997</v>
      </c>
      <c r="F120" s="77">
        <f>IFERROR((F118-E118)*10000,"n/a")</f>
        <v>-339.5398624965493</v>
      </c>
      <c r="G120" s="77" t="s">
        <v>44</v>
      </c>
      <c r="H120" s="77">
        <f>IFERROR((H118-F118)*10000,"n/a")</f>
        <v>179.94106944764832</v>
      </c>
      <c r="I120" s="77">
        <f>IFERROR((I118-H118)*10000,"n/a")</f>
        <v>113.21105194368936</v>
      </c>
      <c r="J120" s="78">
        <f>IFERROR((J118-I118)*10000,"n/a")</f>
        <v>41.45142450036721</v>
      </c>
      <c r="K120" s="4"/>
      <c r="L120" s="3"/>
      <c r="M120" s="3"/>
    </row>
    <row r="121">
      <c r="A121" s="3"/>
      <c r="B121" s="3" t="s">
        <v>312</v>
      </c>
      <c r="C121" s="19">
        <v>39</v>
      </c>
      <c r="D121" s="19">
        <v>39</v>
      </c>
      <c r="E121" s="19">
        <v>38</v>
      </c>
      <c r="F121" s="19">
        <v>49</v>
      </c>
      <c r="G121" s="1">
        <f>SUM(C121:F121)</f>
        <v>165</v>
      </c>
      <c r="H121" s="19">
        <v>59</v>
      </c>
      <c r="I121" s="19">
        <v>59</v>
      </c>
      <c r="J121" s="16">
        <f>AVERAGE(H121:I121)</f>
        <v>59</v>
      </c>
      <c r="K121" s="4" t="s">
        <v>313</v>
      </c>
      <c r="L121" s="3"/>
      <c r="M121" s="3"/>
    </row>
    <row r="122">
      <c r="A122" s="3"/>
      <c r="B122" s="56" t="s">
        <v>77</v>
      </c>
      <c r="C122" s="7" t="s">
        <v>44</v>
      </c>
      <c r="D122" s="7" t="s">
        <v>44</v>
      </c>
      <c r="E122" s="7" t="s">
        <v>44</v>
      </c>
      <c r="F122" s="7" t="s">
        <v>44</v>
      </c>
      <c r="G122" s="7" t="s">
        <v>44</v>
      </c>
      <c r="H122" s="7">
        <f>IFERROR(IF(OR(H121&lt;0,C121&lt;0),"n.m.",H121/C121-1),"n/a")</f>
        <v>0.5128205128205128</v>
      </c>
      <c r="I122" s="7">
        <f>IFERROR(IF(OR(I121&lt;0,D121&lt;0),"n.m.",I121/D121-1),"n/a")</f>
        <v>0.5128205128205128</v>
      </c>
      <c r="J122" s="25">
        <f>IFERROR(IF(OR(J121&lt;0,E121&lt;0),"n.m.",J121/E121-1),"n/a")</f>
        <v>0.5526315789473684</v>
      </c>
      <c r="K122" s="4"/>
      <c r="L122" s="3"/>
      <c r="M122" s="3"/>
    </row>
    <row r="123">
      <c r="A123" s="3"/>
      <c r="B123" s="29" t="s">
        <v>94</v>
      </c>
      <c r="C123" s="1" t="s">
        <v>44</v>
      </c>
      <c r="D123" s="1">
        <f>IFERROR(D121-C121,"n/a")</f>
        <v>0</v>
      </c>
      <c r="E123" s="1">
        <f>IFERROR(E121-D121,"n/a")</f>
        <v>-1</v>
      </c>
      <c r="F123" s="1">
        <f>IFERROR(F121-E121,"n/a")</f>
        <v>11</v>
      </c>
      <c r="G123" s="1" t="s">
        <v>44</v>
      </c>
      <c r="H123" s="1">
        <f>IFERROR(H121-F121,"n/a")</f>
        <v>10</v>
      </c>
      <c r="I123" s="1">
        <f>IFERROR(I121-H121,"n/a")</f>
        <v>0</v>
      </c>
      <c r="J123" s="16">
        <f>IFERROR(J121-I121,"n/a")</f>
        <v>0</v>
      </c>
      <c r="K123" s="4"/>
      <c r="L123" s="3"/>
      <c r="M123" s="3"/>
    </row>
    <row r="124">
      <c r="A124" s="3"/>
      <c r="B124" s="3" t="s">
        <v>236</v>
      </c>
      <c r="C124" s="1">
        <f>C31</f>
        <v>-264</v>
      </c>
      <c r="D124" s="1">
        <f>D31</f>
        <v>-260</v>
      </c>
      <c r="E124" s="1">
        <f>E31</f>
        <v>-264</v>
      </c>
      <c r="F124" s="1">
        <f>F31</f>
        <v>-333</v>
      </c>
      <c r="G124" s="1">
        <f>G31</f>
        <v>-1121</v>
      </c>
      <c r="H124" s="1">
        <f>H31</f>
        <v>-301</v>
      </c>
      <c r="I124" s="1">
        <f>I31</f>
        <v>-230</v>
      </c>
      <c r="J124" s="16">
        <f>J31</f>
        <v>-270</v>
      </c>
      <c r="K124" s="4"/>
      <c r="L124" s="3"/>
      <c r="M124" s="3"/>
    </row>
    <row r="125">
      <c r="A125" s="3"/>
      <c r="B125" s="15" t="s">
        <v>314</v>
      </c>
      <c r="C125" s="21">
        <f>C116+C121+C124</f>
        <v>2564</v>
      </c>
      <c r="D125" s="21">
        <f>D116+D121+D124</f>
        <v>3690</v>
      </c>
      <c r="E125" s="21">
        <f>E116+E121+E124</f>
        <v>3911</v>
      </c>
      <c r="F125" s="21">
        <f>F116+F121+F124</f>
        <v>3791</v>
      </c>
      <c r="G125" s="21">
        <f>G116+G121+G124</f>
        <v>13956</v>
      </c>
      <c r="H125" s="21">
        <f>H116+H121+H124</f>
        <v>2808</v>
      </c>
      <c r="I125" s="21">
        <f>I116+I121+I124</f>
        <v>3896</v>
      </c>
      <c r="J125" s="43">
        <f>J116+J121+J124</f>
        <v>4094.0213301761787</v>
      </c>
      <c r="K125" s="4"/>
      <c r="L125" s="3"/>
      <c r="M125" s="3"/>
    </row>
    <row r="126">
      <c r="A126" s="3"/>
      <c r="B126" s="3" t="s">
        <v>315</v>
      </c>
      <c r="C126" s="19">
        <v>524</v>
      </c>
      <c r="D126" s="19">
        <v>767</v>
      </c>
      <c r="E126" s="19">
        <v>759</v>
      </c>
      <c r="F126" s="19">
        <v>675</v>
      </c>
      <c r="G126" s="1">
        <f>SUM(C126:F126)</f>
        <v>2725</v>
      </c>
      <c r="H126" s="19">
        <v>593</v>
      </c>
      <c r="I126" s="19">
        <v>857</v>
      </c>
      <c r="J126" s="16">
        <f>J125*J127</f>
        <v>921.1547992896402</v>
      </c>
      <c r="K126" s="4" t="s">
        <v>316</v>
      </c>
      <c r="L126" s="3"/>
      <c r="M126" s="3"/>
    </row>
    <row r="127">
      <c r="A127" s="3"/>
      <c r="B127" s="12" t="s">
        <v>317</v>
      </c>
      <c r="C127" s="7">
        <f>IFERROR(C126/C125,"n/a")</f>
        <v>0.20436817472698907</v>
      </c>
      <c r="D127" s="7">
        <f>IFERROR(D126/D125,"n/a")</f>
        <v>0.2078590785907859</v>
      </c>
      <c r="E127" s="7">
        <f>IFERROR(E126/E125,"n/a")</f>
        <v>0.19406801329583226</v>
      </c>
      <c r="F127" s="7">
        <f>IFERROR(F126/F125,"n/a")</f>
        <v>0.1780532840939066</v>
      </c>
      <c r="G127" s="7">
        <f>IFERROR(G126/G125,"n/a")</f>
        <v>0.19525652049297793</v>
      </c>
      <c r="H127" s="7">
        <f>IFERROR(H126/H125,"n/a")</f>
        <v>0.21118233618233617</v>
      </c>
      <c r="I127" s="7">
        <f>IFERROR(I126/I125,"n/a")</f>
        <v>0.21996919917864477</v>
      </c>
      <c r="J127" s="79">
        <v>0.225</v>
      </c>
      <c r="K127" s="4" t="s">
        <v>318</v>
      </c>
      <c r="L127" s="3"/>
      <c r="M127" s="3"/>
    </row>
    <row r="128">
      <c r="A128" s="3"/>
      <c r="B128" s="56" t="s">
        <v>109</v>
      </c>
      <c r="C128" s="77" t="s">
        <v>44</v>
      </c>
      <c r="D128" s="77" t="s">
        <v>44</v>
      </c>
      <c r="E128" s="77" t="s">
        <v>44</v>
      </c>
      <c r="F128" s="77" t="s">
        <v>44</v>
      </c>
      <c r="G128" s="77" t="s">
        <v>44</v>
      </c>
      <c r="H128" s="77">
        <f>IFERROR((H127-C127)*10000,"n/a")</f>
        <v>68.14161455347106</v>
      </c>
      <c r="I128" s="77">
        <f>IFERROR((I127-D127)*10000,"n/a")</f>
        <v>121.10120587858874</v>
      </c>
      <c r="J128" s="78">
        <f>IFERROR((J127-E127)*10000,"n/a")</f>
        <v>309.31986704167747</v>
      </c>
      <c r="K128" s="4"/>
      <c r="L128" s="3"/>
      <c r="M128" s="3"/>
    </row>
    <row r="129">
      <c r="A129" s="3"/>
      <c r="B129" s="56" t="s">
        <v>110</v>
      </c>
      <c r="C129" s="77" t="s">
        <v>44</v>
      </c>
      <c r="D129" s="77">
        <f>IFERROR((D127-C127)*10000,"n/a")</f>
        <v>34.909038637968294</v>
      </c>
      <c r="E129" s="77">
        <f>IFERROR((E127-D127)*10000,"n/a")</f>
        <v>-137.91065294953637</v>
      </c>
      <c r="F129" s="77">
        <f>IFERROR((F127-E127)*10000,"n/a")</f>
        <v>-160.14729201925647</v>
      </c>
      <c r="G129" s="77" t="s">
        <v>44</v>
      </c>
      <c r="H129" s="77">
        <f>IFERROR((H127-F127)*10000,"n/a")</f>
        <v>331.29052088429563</v>
      </c>
      <c r="I129" s="77">
        <f>IFERROR((I127-H127)*10000,"n/a")</f>
        <v>87.86862996308598</v>
      </c>
      <c r="J129" s="78">
        <f>IFERROR((J127-I127)*10000,"n/a")</f>
        <v>50.308008213552355</v>
      </c>
      <c r="K129" s="4"/>
      <c r="L129" s="3"/>
      <c r="M129" s="3"/>
    </row>
    <row r="130">
      <c r="A130" s="3"/>
      <c r="B130" s="3" t="s">
        <v>243</v>
      </c>
      <c r="C130" s="1">
        <f>C40</f>
        <v>9</v>
      </c>
      <c r="D130" s="1">
        <f>D40</f>
        <v>16</v>
      </c>
      <c r="E130" s="1">
        <f>E40</f>
        <v>15</v>
      </c>
      <c r="F130" s="1">
        <f>F40</f>
        <v>15</v>
      </c>
      <c r="G130" s="1">
        <f>G40</f>
        <v>55</v>
      </c>
      <c r="H130" s="1">
        <f>H40</f>
        <v>11</v>
      </c>
      <c r="I130" s="1">
        <f>I40</f>
        <v>23</v>
      </c>
      <c r="J130" s="16">
        <f>J40</f>
        <v>18</v>
      </c>
      <c r="K130" s="4"/>
      <c r="L130" s="3"/>
      <c r="M130" s="3"/>
    </row>
    <row r="131">
      <c r="A131" s="3"/>
      <c r="B131" s="15" t="s">
        <v>46</v>
      </c>
      <c r="C131" s="21">
        <f>C125-C126-C130</f>
        <v>2031</v>
      </c>
      <c r="D131" s="21">
        <f>D125-D126-D130</f>
        <v>2907</v>
      </c>
      <c r="E131" s="21">
        <f>E125-E126-E130</f>
        <v>3137</v>
      </c>
      <c r="F131" s="21">
        <f>F125-F126-F130</f>
        <v>3101</v>
      </c>
      <c r="G131" s="21">
        <f>G125-G126-G130</f>
        <v>11176</v>
      </c>
      <c r="H131" s="21">
        <f>H125-H126-H130</f>
        <v>2204</v>
      </c>
      <c r="I131" s="21">
        <f>I125-I126-I130</f>
        <v>3016</v>
      </c>
      <c r="J131" s="43">
        <f>J125-J126-J130</f>
        <v>3154.8665308865384</v>
      </c>
      <c r="K131" s="4"/>
      <c r="L131" s="3"/>
      <c r="M131" s="3"/>
    </row>
    <row r="132">
      <c r="A132" s="3"/>
      <c r="B132" s="56" t="s">
        <v>77</v>
      </c>
      <c r="C132" s="7" t="s">
        <v>44</v>
      </c>
      <c r="D132" s="7" t="s">
        <v>44</v>
      </c>
      <c r="E132" s="7" t="s">
        <v>44</v>
      </c>
      <c r="F132" s="7" t="s">
        <v>44</v>
      </c>
      <c r="G132" s="7" t="s">
        <v>44</v>
      </c>
      <c r="H132" s="7">
        <f>IFERROR(IF(OR(H131&lt;0,C131&lt;0),"n.m.",H131/C131-1),"n/a")</f>
        <v>0.08517971442639105</v>
      </c>
      <c r="I132" s="7">
        <f>IFERROR(IF(OR(I131&lt;0,D131&lt;0),"n.m.",I131/D131-1),"n/a")</f>
        <v>0.037495700034399615</v>
      </c>
      <c r="J132" s="25">
        <f>IFERROR(IF(OR(J131&lt;0,E131&lt;0),"n.m.",J131/E131-1),"n/a")</f>
        <v>0.0056954194729161856</v>
      </c>
      <c r="K132" s="4"/>
      <c r="L132" s="3"/>
      <c r="M132" s="3"/>
    </row>
    <row r="133">
      <c r="A133" s="3"/>
      <c r="B133" s="15" t="s">
        <v>319</v>
      </c>
      <c r="C133" s="116">
        <f>C131/C49</f>
        <v>1.476017441860465</v>
      </c>
      <c r="D133" s="116">
        <f>D131/D49</f>
        <v>2.1172614712308815</v>
      </c>
      <c r="E133" s="116">
        <f>E131/E49</f>
        <v>2.2864431486880465</v>
      </c>
      <c r="F133" s="116">
        <f>F131/F49</f>
        <v>2.2618526622902992</v>
      </c>
      <c r="G133" s="116">
        <f>G131/G49</f>
        <v>8.139839766933722</v>
      </c>
      <c r="H133" s="116">
        <f>H131/H49</f>
        <v>1.6075857038657915</v>
      </c>
      <c r="I133" s="116">
        <f>I131/I49</f>
        <v>2.2030679327976626</v>
      </c>
      <c r="J133" s="124">
        <f>J131/J49</f>
        <v>2.3053496267820277</v>
      </c>
      <c r="K133" s="4" t="s">
        <v>320</v>
      </c>
      <c r="L133" s="3"/>
      <c r="M133" s="3"/>
    </row>
    <row r="134">
      <c r="A134" s="3"/>
      <c r="B134" s="56" t="s">
        <v>77</v>
      </c>
      <c r="C134" s="7">
        <f>IFERROR(IF(OR(C133&lt;0,C143&lt;0),"n.m.",C133/C143-1),"n/a")</f>
        <v>-0.08321898021089136</v>
      </c>
      <c r="D134" s="7">
        <f>IFERROR(IF(OR(D133&lt;0,D143&lt;0),"n.m.",D133/D143-1),"n/a")</f>
        <v>-0.07137654770575363</v>
      </c>
      <c r="E134" s="7">
        <f>IFERROR(IF(OR(E133&lt;0,E143&lt;0),"n.m.",E133/E143-1),"n/a")</f>
        <v>-0.01019777113071585</v>
      </c>
      <c r="F134" s="7">
        <f>IFERROR(IF(OR(F133&lt;0,F143&lt;0),"n.m.",F133/F143-1),"n/a")</f>
        <v>0.15400646035219356</v>
      </c>
      <c r="G134" s="7">
        <f>IFERROR(IF(OR(G133&lt;0,G143&lt;0),"n.m.",G133/G143-1),"n/a")</f>
        <v>-0.0024706167973379545</v>
      </c>
      <c r="H134" s="7">
        <f>IFERROR(IF(OR(H133&lt;0,C133&lt;0),"n.m.",H133/C133-1),"n/a")</f>
        <v>0.08913733555850767</v>
      </c>
      <c r="I134" s="7">
        <f>IFERROR(IF(OR(I133&lt;0,D133&lt;0),"n.m.",I133/D133-1),"n/a")</f>
        <v>0.04052709725875148</v>
      </c>
      <c r="J134" s="25">
        <f>IFERROR(IF(OR(J133&lt;0,E133&lt;0),"n.m.",J133/E133-1),"n/a")</f>
        <v>0.008268947384425296</v>
      </c>
      <c r="K134" s="4"/>
      <c r="L134" s="3"/>
      <c r="M134" s="3"/>
    </row>
    <row r="135">
      <c r="A135" s="3"/>
      <c r="B135" s="3" t="s">
        <v>321</v>
      </c>
      <c r="C135" s="104">
        <v>1.48</v>
      </c>
      <c r="D135" s="104">
        <v>2.12</v>
      </c>
      <c r="E135" s="104">
        <v>2.29</v>
      </c>
      <c r="F135" s="104">
        <v>2.26</v>
      </c>
      <c r="G135" s="104">
        <v>8.14</v>
      </c>
      <c r="H135" s="104">
        <v>1.61</v>
      </c>
      <c r="I135" s="104">
        <v>2.2</v>
      </c>
      <c r="J135" s="100" t="s">
        <v>44</v>
      </c>
      <c r="K135" s="4"/>
      <c r="L135" s="3"/>
      <c r="M135" s="3"/>
    </row>
    <row r="136">
      <c r="A136" s="3"/>
      <c r="B136" s="12" t="s">
        <v>322</v>
      </c>
      <c r="C136" s="101">
        <f>ROUND(C133,2)-C135</f>
        <v>0</v>
      </c>
      <c r="D136" s="101">
        <f>ROUND(D133,2)-D135</f>
        <v>0</v>
      </c>
      <c r="E136" s="101">
        <f>ROUND(E133,2)-E135</f>
        <v>0</v>
      </c>
      <c r="F136" s="101">
        <f>ROUND(F133,2)-F135</f>
        <v>0</v>
      </c>
      <c r="G136" s="101">
        <f>ROUND(G133,2)-G135</f>
        <v>0</v>
      </c>
      <c r="H136" s="101">
        <f>ROUND(H133,2)-H135</f>
        <v>0</v>
      </c>
      <c r="I136" s="101">
        <f>ROUND(I133,2)-I135</f>
        <v>0</v>
      </c>
      <c r="J136" s="97" t="s">
        <v>44</v>
      </c>
      <c r="K136" s="4"/>
      <c r="L136" s="3"/>
      <c r="M136" s="3"/>
    </row>
    <row r="137">
      <c r="A137" s="3"/>
      <c r="B137" s="3"/>
      <c r="C137" s="1"/>
      <c r="D137" s="1"/>
      <c r="E137" s="1"/>
      <c r="F137" s="1"/>
      <c r="G137" s="1"/>
      <c r="H137" s="1"/>
      <c r="I137" s="1"/>
      <c r="J137" s="16"/>
      <c r="K137" s="4"/>
      <c r="L137" s="3"/>
      <c r="M137" s="3"/>
    </row>
    <row r="138">
      <c r="A138" s="3"/>
      <c r="B138" s="15" t="s">
        <v>323</v>
      </c>
      <c r="C138" s="5"/>
      <c r="D138" s="5"/>
      <c r="E138" s="5"/>
      <c r="F138" s="5"/>
      <c r="G138" s="5"/>
      <c r="H138" s="5"/>
      <c r="I138" s="5"/>
      <c r="J138" s="22"/>
      <c r="K138" s="4"/>
      <c r="L138" s="3"/>
      <c r="M138" s="3"/>
    </row>
    <row r="139">
      <c r="A139" s="3"/>
      <c r="B139" s="29" t="s">
        <v>324</v>
      </c>
      <c r="C139" s="17">
        <f>'Revenue summary'!C41</f>
        <v>18250</v>
      </c>
      <c r="D139" s="17">
        <f>'Revenue summary'!D41</f>
        <v>22501</v>
      </c>
      <c r="E139" s="17">
        <f>'Revenue summary'!E41</f>
        <v>23319</v>
      </c>
      <c r="F139" s="17">
        <f>'Revenue summary'!F41</f>
        <v>27784</v>
      </c>
      <c r="G139" s="17">
        <f>'Revenue summary'!G41</f>
        <v>91854</v>
      </c>
      <c r="H139" s="17">
        <f>'Revenue summary'!H41</f>
        <v>17919</v>
      </c>
      <c r="I139" s="17">
        <f>'Revenue summary'!I41</f>
        <v>22726</v>
      </c>
      <c r="J139" s="64">
        <f>'Revenue summary'!J41</f>
        <v>23937</v>
      </c>
      <c r="K139" s="4" t="s">
        <v>325</v>
      </c>
      <c r="L139" s="3"/>
      <c r="M139" s="3"/>
    </row>
    <row r="140">
      <c r="A140" s="3"/>
      <c r="B140" s="29" t="s">
        <v>183</v>
      </c>
      <c r="C140" s="19">
        <v>2939</v>
      </c>
      <c r="D140" s="19">
        <v>4121</v>
      </c>
      <c r="E140" s="19">
        <v>4176</v>
      </c>
      <c r="F140" s="19">
        <v>3462</v>
      </c>
      <c r="G140" s="1">
        <f>SUM(C140:F140)</f>
        <v>14698</v>
      </c>
      <c r="H140" s="1">
        <f>C116</f>
        <v>2789</v>
      </c>
      <c r="I140" s="1">
        <f>D116</f>
        <v>3911</v>
      </c>
      <c r="J140" s="16">
        <f>E116</f>
        <v>4137</v>
      </c>
      <c r="K140" s="4" t="s">
        <v>326</v>
      </c>
      <c r="L140" s="3"/>
      <c r="M140" s="3"/>
    </row>
    <row r="141">
      <c r="A141" s="3"/>
      <c r="B141" s="56" t="s">
        <v>185</v>
      </c>
      <c r="C141" s="115">
        <f>IFERROR(C140/C139,"n/a")</f>
        <v>0.16104109589041096</v>
      </c>
      <c r="D141" s="115">
        <f>IFERROR(D140/D139,"n/a")</f>
        <v>0.18314741567041465</v>
      </c>
      <c r="E141" s="115">
        <f>IFERROR(E140/E139,"n/a")</f>
        <v>0.17908143573909688</v>
      </c>
      <c r="F141" s="115">
        <f>IFERROR(F140/F139,"n/a")</f>
        <v>0.12460408868413475</v>
      </c>
      <c r="G141" s="115">
        <f>IFERROR(G140/G139,"n/a")</f>
        <v>0.16001480610534108</v>
      </c>
      <c r="H141" s="7">
        <f>IFERROR(H140/H139,"n/a")</f>
        <v>0.15564484625258107</v>
      </c>
      <c r="I141" s="7">
        <f>IFERROR(I140/I139,"n/a")</f>
        <v>0.17209363724368565</v>
      </c>
      <c r="J141" s="25">
        <f>IFERROR(J140/J139,"n/a")</f>
        <v>0.17282867527259055</v>
      </c>
      <c r="K141" s="4"/>
      <c r="L141" s="3"/>
      <c r="M141" s="3"/>
    </row>
    <row r="142">
      <c r="A142" s="3"/>
      <c r="B142" s="29" t="s">
        <v>327</v>
      </c>
      <c r="C142" s="104">
        <v>1.48</v>
      </c>
      <c r="D142" s="104">
        <v>2.23</v>
      </c>
      <c r="E142" s="104">
        <v>2.13</v>
      </c>
      <c r="F142" s="104">
        <v>1.11</v>
      </c>
      <c r="G142" s="104">
        <v>6.95</v>
      </c>
      <c r="H142" s="95">
        <f>C53</f>
        <v>1.33</v>
      </c>
      <c r="I142" s="95">
        <f>D53</f>
        <v>0.92</v>
      </c>
      <c r="J142" s="100">
        <f>E53</f>
        <v>1.9</v>
      </c>
      <c r="K142" s="4" t="s">
        <v>326</v>
      </c>
      <c r="L142" s="3"/>
      <c r="M142" s="3"/>
    </row>
    <row r="143">
      <c r="A143" s="3"/>
      <c r="B143" s="29" t="s">
        <v>328</v>
      </c>
      <c r="C143" s="104">
        <v>1.61</v>
      </c>
      <c r="D143" s="104">
        <v>2.28</v>
      </c>
      <c r="E143" s="104">
        <v>2.31</v>
      </c>
      <c r="F143" s="104">
        <v>1.96</v>
      </c>
      <c r="G143" s="104">
        <v>8.16</v>
      </c>
      <c r="H143" s="95">
        <f>C133</f>
        <v>1.476017441860465</v>
      </c>
      <c r="I143" s="95">
        <f>D133</f>
        <v>2.1172614712308815</v>
      </c>
      <c r="J143" s="100">
        <f>E133</f>
        <v>2.2864431486880465</v>
      </c>
      <c r="K143" s="4" t="s">
        <v>326</v>
      </c>
      <c r="L143" s="3"/>
      <c r="M143" s="3"/>
    </row>
    <row r="144">
      <c r="A144" s="3"/>
      <c r="B144" s="3"/>
      <c r="C144" s="1"/>
      <c r="D144" s="1"/>
      <c r="E144" s="1"/>
      <c r="F144" s="1"/>
      <c r="G144" s="1"/>
      <c r="H144" s="1"/>
      <c r="I144" s="1"/>
      <c r="J144" s="16"/>
      <c r="K144" s="4"/>
      <c r="L144" s="3"/>
      <c r="M144" s="3"/>
    </row>
    <row r="145">
      <c r="A145" s="3"/>
      <c r="B145" s="15" t="s">
        <v>329</v>
      </c>
      <c r="C145" s="5"/>
      <c r="D145" s="5"/>
      <c r="E145" s="5"/>
      <c r="F145" s="5"/>
      <c r="G145" s="5"/>
      <c r="H145" s="5"/>
      <c r="I145" s="5"/>
      <c r="J145" s="22"/>
      <c r="K145" s="4"/>
      <c r="L145" s="3"/>
      <c r="M145" s="3"/>
    </row>
    <row r="146">
      <c r="A146" s="3"/>
      <c r="B146" s="3" t="s">
        <v>330</v>
      </c>
      <c r="C146" s="99">
        <f>Inputs!C101</f>
        <v>1.49</v>
      </c>
      <c r="D146" s="99">
        <f>Inputs!D101</f>
        <v>2.03</v>
      </c>
      <c r="E146" s="99">
        <f>Inputs!E101</f>
        <v>2.26</v>
      </c>
      <c r="F146" s="99">
        <f>Inputs!F101</f>
        <v>2.24</v>
      </c>
      <c r="G146" s="95" t="s">
        <v>44</v>
      </c>
      <c r="H146" s="99">
        <f>Inputs!H101</f>
        <v>1.55</v>
      </c>
      <c r="I146" s="99">
        <f>Inputs!I101</f>
        <v>2.21</v>
      </c>
      <c r="J146" s="125">
        <f>Inputs!J37</f>
        <v>2.3</v>
      </c>
      <c r="K146" s="4" t="s">
        <v>331</v>
      </c>
      <c r="L146" s="3"/>
      <c r="M146" s="3"/>
    </row>
    <row r="147">
      <c r="A147" s="3"/>
      <c r="B147" s="3" t="s">
        <v>332</v>
      </c>
      <c r="C147" s="99">
        <f>Inputs!C102</f>
        <v>1.48</v>
      </c>
      <c r="D147" s="99">
        <f>Inputs!D102</f>
        <v>2.12</v>
      </c>
      <c r="E147" s="99">
        <f>Inputs!E102</f>
        <v>2.29</v>
      </c>
      <c r="F147" s="99">
        <f>Inputs!F102</f>
        <v>2.26</v>
      </c>
      <c r="G147" s="95" t="s">
        <v>44</v>
      </c>
      <c r="H147" s="99">
        <f>Inputs!H102</f>
        <v>1.61</v>
      </c>
      <c r="I147" s="99">
        <f>Inputs!I102</f>
        <v>2.2</v>
      </c>
      <c r="J147" s="100" t="s">
        <v>44</v>
      </c>
      <c r="K147" s="4"/>
      <c r="L147" s="3"/>
      <c r="M147" s="3"/>
    </row>
    <row r="148">
      <c r="A148" s="3"/>
      <c r="B148" s="12" t="s">
        <v>333</v>
      </c>
      <c r="C148" s="101">
        <f>IFERROR(ROUND(C133,2)-C147,"n/a")</f>
        <v>0</v>
      </c>
      <c r="D148" s="101">
        <f>IFERROR(ROUND(D133,2)-D147,"n/a")</f>
        <v>0</v>
      </c>
      <c r="E148" s="101">
        <f>IFERROR(ROUND(E133,2)-E147,"n/a")</f>
        <v>0</v>
      </c>
      <c r="F148" s="101">
        <f>IFERROR(ROUND(F133,2)-F147,"n/a")</f>
        <v>0</v>
      </c>
      <c r="G148" s="101" t="s">
        <v>44</v>
      </c>
      <c r="H148" s="101">
        <f>IFERROR(ROUND(H133,2)-H147,"n/a")</f>
        <v>0</v>
      </c>
      <c r="I148" s="101">
        <f>IFERROR(ROUND(I133,2)-I147,"n/a")</f>
        <v>0</v>
      </c>
      <c r="J148" s="97" t="s">
        <v>44</v>
      </c>
      <c r="K148" s="4"/>
      <c r="L148" s="3"/>
      <c r="M148" s="3"/>
    </row>
    <row r="149">
      <c r="A149" s="3"/>
      <c r="B149" s="12" t="s">
        <v>334</v>
      </c>
      <c r="C149" s="101">
        <f>IFERROR(ROUND(C133,2)-C146,"n/a")</f>
        <v>-0.010000000000000009</v>
      </c>
      <c r="D149" s="101">
        <f>IFERROR(ROUND(D133,2)-D146,"n/a")</f>
        <v>0.0900000000000003</v>
      </c>
      <c r="E149" s="101">
        <f>IFERROR(ROUND(E133,2)-E146,"n/a")</f>
        <v>0.03000000000000025</v>
      </c>
      <c r="F149" s="101">
        <f>IFERROR(ROUND(F133,2)-F146,"n/a")</f>
        <v>0.019999999999999574</v>
      </c>
      <c r="G149" s="101" t="s">
        <v>44</v>
      </c>
      <c r="H149" s="101">
        <f>IFERROR(ROUND(H133,2)-H146,"n/a")</f>
        <v>0.06000000000000005</v>
      </c>
      <c r="I149" s="101">
        <f>IFERROR(ROUND(I133,2)-I146,"n/a")</f>
        <v>-0.009999999999999787</v>
      </c>
      <c r="J149" s="97">
        <f>IFERROR(ROUND(J133,2)-J146,"n/a")</f>
        <v>0.010000000000000231</v>
      </c>
      <c r="K149" s="4"/>
      <c r="L149" s="3"/>
      <c r="M149" s="3"/>
    </row>
    <row r="150">
      <c r="A150" s="3"/>
      <c r="B150" s="3" t="s">
        <v>335</v>
      </c>
      <c r="C150" s="17">
        <f>Inputs!C105</f>
        <v>17728.73</v>
      </c>
      <c r="D150" s="17">
        <f>Inputs!D105</f>
        <v>22304.24</v>
      </c>
      <c r="E150" s="17">
        <f>Inputs!E105</f>
        <v>23844.32</v>
      </c>
      <c r="F150" s="17">
        <f>Inputs!F105</f>
        <v>28969.91</v>
      </c>
      <c r="G150" s="1" t="s">
        <v>44</v>
      </c>
      <c r="H150" s="17">
        <f>Inputs!H105</f>
        <v>18941.92</v>
      </c>
      <c r="I150" s="17">
        <f>Inputs!I105</f>
        <v>23966.26</v>
      </c>
      <c r="J150" s="64">
        <f>Inputs!J53</f>
        <v>24970.63</v>
      </c>
      <c r="K150" s="4" t="s">
        <v>336</v>
      </c>
      <c r="L150" s="3"/>
      <c r="M150" s="3"/>
    </row>
    <row r="151">
      <c r="A151" s="3"/>
      <c r="B151" s="12" t="s">
        <v>337</v>
      </c>
      <c r="C151" s="7">
        <f>IFERROR(IF(OR(C10&lt;0,C150&lt;0),"n.m.",C10/C150-1),"n/a")</f>
        <v>0.010732297237309174</v>
      </c>
      <c r="D151" s="7">
        <f>IFERROR(IF(OR(D10&lt;0,D150&lt;0),"n.m.",D10/D150-1),"n/a")</f>
        <v>0.01890940915269912</v>
      </c>
      <c r="E151" s="7">
        <f>IFERROR(IF(OR(E10&lt;0,E150&lt;0),"n.m.",E10/E150-1),"n/a")</f>
        <v>0.003886879558737677</v>
      </c>
      <c r="F151" s="7">
        <f>IFERROR(IF(OR(F10&lt;0,F150&lt;0),"n.m.",F10/F150-1),"n/a")</f>
        <v>0.012878535004078318</v>
      </c>
      <c r="G151" s="7" t="s">
        <v>44</v>
      </c>
      <c r="H151" s="7">
        <f>IFERROR(IF(OR(H10&lt;0,H150&lt;0),"n.m.",H10/H150-1),"n/a")</f>
        <v>0.02645349573855249</v>
      </c>
      <c r="I151" s="7">
        <f>IFERROR(IF(OR(I10&lt;0,I150&lt;0),"n.m.",I10/I150-1),"n/a")</f>
        <v>0.008960096402192086</v>
      </c>
      <c r="J151" s="25">
        <f>IFERROR(IF(OR(J10&lt;0,J150&lt;0),"n.m.",J10/J150-1),"n/a")</f>
        <v>0.0003966059326498961</v>
      </c>
      <c r="K151" s="4"/>
      <c r="L151" s="3"/>
      <c r="M151" s="3"/>
    </row>
    <row r="152">
      <c r="A152" s="3"/>
      <c r="B152" s="3" t="s">
        <v>338</v>
      </c>
      <c r="C152" s="99">
        <f>Inputs!C103</f>
        <v>1.5</v>
      </c>
      <c r="D152" s="99">
        <f>Inputs!D103</f>
        <v>2.03</v>
      </c>
      <c r="E152" s="99">
        <f>Inputs!E103</f>
        <v>2.27</v>
      </c>
      <c r="F152" s="99">
        <f>Inputs!F103</f>
        <v>2.21</v>
      </c>
      <c r="G152" s="95" t="s">
        <v>44</v>
      </c>
      <c r="H152" s="99">
        <f>Inputs!H103</f>
        <v>1.53</v>
      </c>
      <c r="I152" s="99">
        <f>Inputs!I103</f>
        <v>2.16</v>
      </c>
      <c r="J152" s="125">
        <f>Inputs!J46</f>
        <v>2.28</v>
      </c>
      <c r="K152" s="4"/>
      <c r="L152" s="3"/>
      <c r="M152" s="3"/>
    </row>
    <row r="153">
      <c r="A153" s="3"/>
      <c r="B153" s="3" t="s">
        <v>339</v>
      </c>
      <c r="C153" s="99">
        <f>Inputs!C104</f>
        <v>1.33</v>
      </c>
      <c r="D153" s="99">
        <f>Inputs!D104</f>
        <v>0.92</v>
      </c>
      <c r="E153" s="99">
        <f>Inputs!E104</f>
        <v>1.9</v>
      </c>
      <c r="F153" s="99">
        <f>Inputs!F104</f>
        <v>1.85</v>
      </c>
      <c r="G153" s="95" t="s">
        <v>44</v>
      </c>
      <c r="H153" s="99">
        <f>Inputs!H104</f>
        <v>1.7</v>
      </c>
      <c r="I153" s="99">
        <f>Inputs!I104</f>
        <v>2.18</v>
      </c>
      <c r="J153" s="100" t="s">
        <v>44</v>
      </c>
      <c r="K153" s="4"/>
      <c r="L153" s="3"/>
      <c r="M153" s="3"/>
    </row>
    <row r="154">
      <c r="A154" s="3"/>
      <c r="B154" s="12" t="s">
        <v>340</v>
      </c>
      <c r="C154" s="101">
        <f>IFERROR(ROUND(C51,2)-C153,"n/a")</f>
        <v>0</v>
      </c>
      <c r="D154" s="101">
        <f>IFERROR(ROUND(D51,2)-D153,"n/a")</f>
        <v>0</v>
      </c>
      <c r="E154" s="101">
        <f>IFERROR(ROUND(E51,2)-E153,"n/a")</f>
        <v>0</v>
      </c>
      <c r="F154" s="101">
        <f>IFERROR(ROUND(F51,2)-F153,"n/a")</f>
        <v>0</v>
      </c>
      <c r="G154" s="101" t="s">
        <v>44</v>
      </c>
      <c r="H154" s="101">
        <f>IFERROR(ROUND(H51,2)-H153,"n/a")</f>
        <v>0</v>
      </c>
      <c r="I154" s="101">
        <f>IFERROR(ROUND(I51,2)-I153,"n/a")</f>
        <v>0</v>
      </c>
      <c r="J154" s="97" t="s">
        <v>44</v>
      </c>
      <c r="K154" s="4"/>
      <c r="L154" s="3"/>
      <c r="M154" s="3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M5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341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342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3" t="s">
        <v>343</v>
      </c>
      <c r="C10" s="19">
        <v>8268</v>
      </c>
      <c r="D10" s="19">
        <v>7631</v>
      </c>
      <c r="E10" s="19">
        <v>8126</v>
      </c>
      <c r="F10" s="19">
        <v>9159</v>
      </c>
      <c r="G10" s="1">
        <f>F10</f>
        <v>9159</v>
      </c>
      <c r="H10" s="19">
        <v>10475</v>
      </c>
      <c r="I10" s="19">
        <v>10251</v>
      </c>
      <c r="J10" s="64">
        <f>I10+'Cash Flow Statement'!J97</f>
        <v>11763.339377040385</v>
      </c>
      <c r="K10" s="4" t="s">
        <v>344</v>
      </c>
      <c r="L10" s="3"/>
      <c r="M10" s="3"/>
    </row>
    <row r="11">
      <c r="A11" s="3"/>
      <c r="B11" s="3" t="s">
        <v>345</v>
      </c>
      <c r="C11" s="19">
        <v>314</v>
      </c>
      <c r="D11" s="19">
        <v>342</v>
      </c>
      <c r="E11" s="19">
        <v>535</v>
      </c>
      <c r="F11" s="19">
        <v>371</v>
      </c>
      <c r="G11" s="1">
        <f>F11</f>
        <v>371</v>
      </c>
      <c r="H11" s="19">
        <v>353</v>
      </c>
      <c r="I11" s="19">
        <v>465</v>
      </c>
      <c r="J11" s="64">
        <f>I11-('Cash Flow Statement'!J72+'Cash Flow Statement'!J73+'Cash Flow Statement'!J74+'Cash Flow Statement'!J75)</f>
        <v>465</v>
      </c>
      <c r="K11" s="4" t="s">
        <v>344</v>
      </c>
      <c r="L11" s="3"/>
      <c r="M11" s="3"/>
    </row>
    <row r="12">
      <c r="A12" s="3"/>
      <c r="B12" s="3" t="s">
        <v>346</v>
      </c>
      <c r="C12" s="19">
        <v>10800</v>
      </c>
      <c r="D12" s="19">
        <v>12390</v>
      </c>
      <c r="E12" s="19">
        <v>12634</v>
      </c>
      <c r="F12" s="19">
        <v>11506</v>
      </c>
      <c r="G12" s="1">
        <f>F12</f>
        <v>11506</v>
      </c>
      <c r="H12" s="19">
        <v>12171</v>
      </c>
      <c r="I12" s="19">
        <v>13496</v>
      </c>
      <c r="J12" s="64">
        <f>I12-'Cash Flow Statement'!J44</f>
        <v>13661</v>
      </c>
      <c r="K12" s="4" t="s">
        <v>344</v>
      </c>
      <c r="L12" s="3"/>
      <c r="M12" s="3"/>
    </row>
    <row r="13">
      <c r="A13" s="3"/>
      <c r="B13" s="29" t="s">
        <v>347</v>
      </c>
      <c r="C13" s="19">
        <v>2673</v>
      </c>
      <c r="D13" s="19">
        <v>2940</v>
      </c>
      <c r="E13" s="19">
        <v>2805</v>
      </c>
      <c r="F13" s="19">
        <v>2581</v>
      </c>
      <c r="G13" s="1">
        <f>F13</f>
        <v>2581</v>
      </c>
      <c r="H13" s="19">
        <v>2714</v>
      </c>
      <c r="I13" s="19">
        <v>2948</v>
      </c>
      <c r="J13" s="16">
        <f>I13</f>
        <v>2948</v>
      </c>
      <c r="K13" s="4"/>
      <c r="L13" s="3"/>
      <c r="M13" s="3"/>
    </row>
    <row r="14">
      <c r="A14" s="3"/>
      <c r="B14" s="29" t="s">
        <v>348</v>
      </c>
      <c r="C14" s="19">
        <v>118</v>
      </c>
      <c r="D14" s="19">
        <v>135</v>
      </c>
      <c r="E14" s="19">
        <v>154</v>
      </c>
      <c r="F14" s="19">
        <v>143</v>
      </c>
      <c r="G14" s="1">
        <f>F14</f>
        <v>143</v>
      </c>
      <c r="H14" s="19">
        <v>133</v>
      </c>
      <c r="I14" s="19">
        <v>163</v>
      </c>
      <c r="J14" s="16">
        <f>I14</f>
        <v>163</v>
      </c>
      <c r="K14" s="4"/>
      <c r="L14" s="3"/>
      <c r="M14" s="3"/>
    </row>
    <row r="15">
      <c r="A15" s="3"/>
      <c r="B15" s="29" t="s">
        <v>349</v>
      </c>
      <c r="C15" s="19">
        <v>2869</v>
      </c>
      <c r="D15" s="19">
        <v>3412</v>
      </c>
      <c r="E15" s="19">
        <v>3134</v>
      </c>
      <c r="F15" s="19">
        <v>3121</v>
      </c>
      <c r="G15" s="1">
        <f>F15</f>
        <v>3121</v>
      </c>
      <c r="H15" s="19">
        <v>3364</v>
      </c>
      <c r="I15" s="19">
        <v>3623</v>
      </c>
      <c r="J15" s="64">
        <f>I15-'Cash Flow Statement'!J47</f>
        <v>3272</v>
      </c>
      <c r="K15" s="4" t="s">
        <v>350</v>
      </c>
      <c r="L15" s="3"/>
      <c r="M15" s="3"/>
    </row>
    <row r="16">
      <c r="A16" s="3"/>
      <c r="B16" s="15" t="s">
        <v>351</v>
      </c>
      <c r="C16" s="21">
        <f>C13+C14+C15</f>
        <v>5660</v>
      </c>
      <c r="D16" s="21">
        <f>D13+D14+D15</f>
        <v>6487</v>
      </c>
      <c r="E16" s="21">
        <f>E13+E14+E15</f>
        <v>6093</v>
      </c>
      <c r="F16" s="21">
        <f>F13+F14+F15</f>
        <v>5845</v>
      </c>
      <c r="G16" s="21">
        <f>G13+G14+G15</f>
        <v>5845</v>
      </c>
      <c r="H16" s="21">
        <f>H13+H14+H15</f>
        <v>6211</v>
      </c>
      <c r="I16" s="21">
        <f>I13+I14+I15</f>
        <v>6734</v>
      </c>
      <c r="J16" s="43">
        <f>J13+J14+J15</f>
        <v>6383</v>
      </c>
      <c r="K16" s="4"/>
      <c r="L16" s="3"/>
      <c r="M16" s="3"/>
    </row>
    <row r="17">
      <c r="A17" s="3"/>
      <c r="B17" s="3" t="s">
        <v>352</v>
      </c>
      <c r="C17" s="19">
        <v>1246</v>
      </c>
      <c r="D17" s="19">
        <v>1360</v>
      </c>
      <c r="E17" s="19">
        <v>1334</v>
      </c>
      <c r="F17" s="19">
        <v>1068</v>
      </c>
      <c r="G17" s="1">
        <f>F17</f>
        <v>1068</v>
      </c>
      <c r="H17" s="19">
        <v>1706</v>
      </c>
      <c r="I17" s="19">
        <v>1829</v>
      </c>
      <c r="J17" s="64">
        <f>I17-'Cash Flow Statement'!J50</f>
        <v>1698</v>
      </c>
      <c r="K17" s="4" t="s">
        <v>344</v>
      </c>
      <c r="L17" s="3"/>
      <c r="M17" s="3"/>
    </row>
    <row r="18">
      <c r="A18" s="3"/>
      <c r="B18" s="15" t="s">
        <v>353</v>
      </c>
      <c r="C18" s="21">
        <f>C10+C11+C12+C16+C17</f>
        <v>26288</v>
      </c>
      <c r="D18" s="21">
        <f>D10+D11+D12+D16+D17</f>
        <v>28210</v>
      </c>
      <c r="E18" s="21">
        <f>E10+E11+E12+E16+E17</f>
        <v>28722</v>
      </c>
      <c r="F18" s="21">
        <f>F10+F11+F12+F16+F17</f>
        <v>27949</v>
      </c>
      <c r="G18" s="21">
        <f>G10+G11+G12+G16+G17</f>
        <v>27949</v>
      </c>
      <c r="H18" s="21">
        <f>H10+H11+H12+H16+H17</f>
        <v>30916</v>
      </c>
      <c r="I18" s="21">
        <f>I10+I11+I12+I16+I17</f>
        <v>32775</v>
      </c>
      <c r="J18" s="43">
        <f>J10+J11+J12+J16+J17</f>
        <v>33970.339377040385</v>
      </c>
      <c r="K18" s="4"/>
      <c r="L18" s="3"/>
      <c r="M18" s="3"/>
    </row>
    <row r="19">
      <c r="A19" s="3"/>
      <c r="B19" s="3" t="s">
        <v>354</v>
      </c>
      <c r="C19" s="19">
        <v>28213</v>
      </c>
      <c r="D19" s="19">
        <v>28797</v>
      </c>
      <c r="E19" s="19">
        <v>29053</v>
      </c>
      <c r="F19" s="19">
        <v>29905</v>
      </c>
      <c r="G19" s="1">
        <f>F19</f>
        <v>29905</v>
      </c>
      <c r="H19" s="19">
        <v>29807</v>
      </c>
      <c r="I19" s="19">
        <v>29771</v>
      </c>
      <c r="J19" s="64">
        <f>I19-'Cash Flow Statement'!J14-'Cash Flow Statement'!J64-'Cash Flow Statement'!J67</f>
        <v>29763</v>
      </c>
      <c r="K19" s="4" t="s">
        <v>344</v>
      </c>
      <c r="L19" s="3"/>
      <c r="M19" s="3"/>
    </row>
    <row r="20">
      <c r="A20" s="3"/>
      <c r="B20" s="3" t="s">
        <v>355</v>
      </c>
      <c r="C20" s="19">
        <v>1157</v>
      </c>
      <c r="D20" s="19">
        <v>1311</v>
      </c>
      <c r="E20" s="19">
        <v>1241</v>
      </c>
      <c r="F20" s="19">
        <v>1219</v>
      </c>
      <c r="G20" s="1">
        <f>F20</f>
        <v>1219</v>
      </c>
      <c r="H20" s="19">
        <v>1209</v>
      </c>
      <c r="I20" s="19">
        <v>1187</v>
      </c>
      <c r="J20" s="16">
        <f>I20</f>
        <v>1187</v>
      </c>
      <c r="K20" s="4" t="s">
        <v>344</v>
      </c>
      <c r="L20" s="3"/>
      <c r="M20" s="3"/>
    </row>
    <row r="21">
      <c r="A21" s="3"/>
      <c r="B21" s="3" t="s">
        <v>356</v>
      </c>
      <c r="C21" s="19">
        <v>18364</v>
      </c>
      <c r="D21" s="19">
        <v>18952</v>
      </c>
      <c r="E21" s="19">
        <v>18845</v>
      </c>
      <c r="F21" s="19">
        <v>18916</v>
      </c>
      <c r="G21" s="1">
        <f>F21</f>
        <v>18916</v>
      </c>
      <c r="H21" s="19">
        <v>19021</v>
      </c>
      <c r="I21" s="19">
        <v>19093</v>
      </c>
      <c r="J21" s="16">
        <f>I21</f>
        <v>19093</v>
      </c>
      <c r="K21" s="4" t="s">
        <v>344</v>
      </c>
      <c r="L21" s="3"/>
      <c r="M21" s="3"/>
    </row>
    <row r="22">
      <c r="A22" s="3"/>
      <c r="B22" s="3" t="s">
        <v>357</v>
      </c>
      <c r="C22" s="19">
        <v>14206</v>
      </c>
      <c r="D22" s="19">
        <v>14212</v>
      </c>
      <c r="E22" s="19">
        <v>13611</v>
      </c>
      <c r="F22" s="19">
        <v>13847</v>
      </c>
      <c r="G22" s="1">
        <f>F22</f>
        <v>13847</v>
      </c>
      <c r="H22" s="19">
        <v>13934</v>
      </c>
      <c r="I22" s="19">
        <v>13990</v>
      </c>
      <c r="J22" s="64">
        <f>I22-'Cash Flow Statement'!J17</f>
        <v>13990</v>
      </c>
      <c r="K22" s="4" t="s">
        <v>344</v>
      </c>
      <c r="L22" s="3"/>
      <c r="M22" s="3"/>
    </row>
    <row r="23">
      <c r="A23" s="3"/>
      <c r="B23" s="3" t="s">
        <v>358</v>
      </c>
      <c r="C23" s="19">
        <v>1996</v>
      </c>
      <c r="D23" s="19">
        <v>2061</v>
      </c>
      <c r="E23" s="19">
        <v>2084</v>
      </c>
      <c r="F23" s="19">
        <v>2038</v>
      </c>
      <c r="G23" s="1">
        <f>F23</f>
        <v>2038</v>
      </c>
      <c r="H23" s="19">
        <v>2135</v>
      </c>
      <c r="I23" s="19">
        <v>2180</v>
      </c>
      <c r="J23" s="16">
        <f>I23</f>
        <v>2180</v>
      </c>
      <c r="K23" s="4" t="s">
        <v>344</v>
      </c>
      <c r="L23" s="3"/>
      <c r="M23" s="3"/>
    </row>
    <row r="24">
      <c r="A24" s="3"/>
      <c r="B24" s="3" t="s">
        <v>359</v>
      </c>
      <c r="C24" s="19">
        <v>4350</v>
      </c>
      <c r="D24" s="19">
        <v>4293</v>
      </c>
      <c r="E24" s="19">
        <v>4341</v>
      </c>
      <c r="F24" s="19">
        <v>4541</v>
      </c>
      <c r="G24" s="1">
        <f>F24</f>
        <v>4541</v>
      </c>
      <c r="H24" s="19">
        <v>4560</v>
      </c>
      <c r="I24" s="19">
        <v>4455</v>
      </c>
      <c r="J24" s="16">
        <f>I24</f>
        <v>4455</v>
      </c>
      <c r="K24" s="4" t="s">
        <v>344</v>
      </c>
      <c r="L24" s="3"/>
      <c r="M24" s="3"/>
    </row>
    <row r="25">
      <c r="A25" s="3"/>
      <c r="B25" s="3" t="s">
        <v>360</v>
      </c>
      <c r="C25" s="19">
        <v>7163</v>
      </c>
      <c r="D25" s="19">
        <v>7509</v>
      </c>
      <c r="E25" s="19">
        <v>8661</v>
      </c>
      <c r="F25" s="19">
        <v>8984</v>
      </c>
      <c r="G25" s="1">
        <f>F25</f>
        <v>8984</v>
      </c>
      <c r="H25" s="19">
        <v>9064</v>
      </c>
      <c r="I25" s="19">
        <v>8738</v>
      </c>
      <c r="J25" s="64">
        <f>I25-'Cash Flow Statement'!J20-'Cash Flow Statement'!J70-'Cash Flow Statement'!J71-'Cash Flow Statement'!J76</f>
        <v>8553</v>
      </c>
      <c r="K25" s="4" t="s">
        <v>344</v>
      </c>
      <c r="L25" s="3"/>
      <c r="M25" s="3"/>
    </row>
    <row r="26">
      <c r="A26" s="3"/>
      <c r="B26" s="15" t="s">
        <v>361</v>
      </c>
      <c r="C26" s="21">
        <f>C18+C19+C20+C21+C22+C23+C24+C25</f>
        <v>101737</v>
      </c>
      <c r="D26" s="21">
        <f>D18+D19+D20+D21+D22+D23+D24+D25</f>
        <v>105345</v>
      </c>
      <c r="E26" s="21">
        <f>E18+E19+E20+E21+E22+E23+E24+E25</f>
        <v>106558</v>
      </c>
      <c r="F26" s="21">
        <f>F18+F19+F20+F21+F22+F23+F24+F25</f>
        <v>107399</v>
      </c>
      <c r="G26" s="21">
        <f>G18+G19+G20+G21+G22+G23+G24+G25</f>
        <v>107399</v>
      </c>
      <c r="H26" s="21">
        <f>H18+H19+H20+H21+H22+H23+H24+H25</f>
        <v>110646</v>
      </c>
      <c r="I26" s="21">
        <f>I18+I19+I20+I21+I22+I23+I24+I25</f>
        <v>112189</v>
      </c>
      <c r="J26" s="43">
        <f>J18+J19+J20+J21+J22+J23+J24+J25</f>
        <v>113191.33937704039</v>
      </c>
      <c r="K26" s="4"/>
      <c r="L26" s="3"/>
      <c r="M26" s="3"/>
    </row>
    <row r="27">
      <c r="A27" s="3"/>
      <c r="B27" s="56" t="s">
        <v>77</v>
      </c>
      <c r="C27" s="7" t="s">
        <v>44</v>
      </c>
      <c r="D27" s="7" t="s">
        <v>44</v>
      </c>
      <c r="E27" s="7" t="s">
        <v>44</v>
      </c>
      <c r="F27" s="7" t="s">
        <v>44</v>
      </c>
      <c r="G27" s="7" t="s">
        <v>44</v>
      </c>
      <c r="H27" s="7">
        <f>IFERROR(IF(OR(H26&lt;0,C26&lt;0),"n.m.",H26/C26-1),"n/a")</f>
        <v>0.0875689277254097</v>
      </c>
      <c r="I27" s="7">
        <f>IFERROR(IF(OR(I26&lt;0,D26&lt;0),"n.m.",I26/D26-1),"n/a")</f>
        <v>0.06496748777825245</v>
      </c>
      <c r="J27" s="25">
        <f>IFERROR(IF(OR(J26&lt;0,E26&lt;0),"n.m.",J26/E26-1),"n/a")</f>
        <v>0.06225097484037234</v>
      </c>
      <c r="K27" s="4"/>
      <c r="L27" s="3"/>
      <c r="M27" s="3"/>
    </row>
    <row r="28">
      <c r="A28" s="3"/>
      <c r="B28" s="29" t="s">
        <v>362</v>
      </c>
      <c r="C28" s="19">
        <v>101737</v>
      </c>
      <c r="D28" s="19">
        <v>105345</v>
      </c>
      <c r="E28" s="19">
        <v>106558</v>
      </c>
      <c r="F28" s="19">
        <v>107399</v>
      </c>
      <c r="G28" s="1">
        <f>F28</f>
        <v>107399</v>
      </c>
      <c r="H28" s="19">
        <v>110646</v>
      </c>
      <c r="I28" s="19">
        <v>112189</v>
      </c>
      <c r="J28" s="16" t="s">
        <v>44</v>
      </c>
      <c r="K28" s="4"/>
      <c r="L28" s="3"/>
      <c r="M28" s="3"/>
    </row>
    <row r="29">
      <c r="A29" s="3"/>
      <c r="B29" s="12" t="s">
        <v>363</v>
      </c>
      <c r="C29" s="52">
        <f>C26-C28</f>
        <v>0</v>
      </c>
      <c r="D29" s="52">
        <f>D26-D28</f>
        <v>0</v>
      </c>
      <c r="E29" s="52">
        <f>E26-E28</f>
        <v>0</v>
      </c>
      <c r="F29" s="52">
        <f>F26-F28</f>
        <v>0</v>
      </c>
      <c r="G29" s="52">
        <f>G26-G28</f>
        <v>0</v>
      </c>
      <c r="H29" s="52">
        <f>H26-H28</f>
        <v>0</v>
      </c>
      <c r="I29" s="52">
        <f>I26-I28</f>
        <v>0</v>
      </c>
      <c r="J29" s="62" t="s">
        <v>44</v>
      </c>
      <c r="K29" s="4"/>
      <c r="L29" s="3"/>
      <c r="M29" s="3"/>
    </row>
    <row r="30">
      <c r="A30" s="3"/>
      <c r="B30" s="3"/>
      <c r="C30" s="1"/>
      <c r="D30" s="1"/>
      <c r="E30" s="1"/>
      <c r="F30" s="1"/>
      <c r="G30" s="1"/>
      <c r="H30" s="1"/>
      <c r="I30" s="1"/>
      <c r="J30" s="16"/>
      <c r="K30" s="4"/>
      <c r="L30" s="3"/>
      <c r="M30" s="3"/>
    </row>
    <row r="31">
      <c r="A31" s="3"/>
      <c r="B31" s="15" t="s">
        <v>364</v>
      </c>
      <c r="C31" s="5"/>
      <c r="D31" s="5"/>
      <c r="E31" s="5"/>
      <c r="F31" s="5"/>
      <c r="G31" s="5"/>
      <c r="H31" s="5"/>
      <c r="I31" s="5"/>
      <c r="J31" s="22"/>
      <c r="K31" s="4"/>
      <c r="L31" s="3"/>
      <c r="M31" s="3"/>
    </row>
    <row r="32">
      <c r="A32" s="3"/>
      <c r="B32" s="3" t="s">
        <v>365</v>
      </c>
      <c r="C32" s="19">
        <v>9099</v>
      </c>
      <c r="D32" s="19">
        <v>12056</v>
      </c>
      <c r="E32" s="19">
        <v>6736</v>
      </c>
      <c r="F32" s="19">
        <v>6861</v>
      </c>
      <c r="G32" s="1">
        <f>F32</f>
        <v>6861</v>
      </c>
      <c r="H32" s="19">
        <v>10151</v>
      </c>
      <c r="I32" s="19">
        <v>10602</v>
      </c>
      <c r="J32" s="64">
        <f>I32+'Cash Flow Statement'!J81+'Cash Flow Statement'!J82+'Cash Flow Statement'!J83</f>
        <v>10602</v>
      </c>
      <c r="K32" s="4" t="s">
        <v>344</v>
      </c>
      <c r="L32" s="3"/>
      <c r="M32" s="3"/>
    </row>
    <row r="33">
      <c r="A33" s="3"/>
      <c r="B33" s="3" t="s">
        <v>366</v>
      </c>
      <c r="C33" s="19">
        <v>22412</v>
      </c>
      <c r="D33" s="19">
        <v>24340</v>
      </c>
      <c r="E33" s="19">
        <v>24763</v>
      </c>
      <c r="F33" s="19">
        <v>25903</v>
      </c>
      <c r="G33" s="1">
        <f>F33</f>
        <v>25903</v>
      </c>
      <c r="H33" s="19">
        <v>24326</v>
      </c>
      <c r="I33" s="19">
        <v>24504</v>
      </c>
      <c r="J33" s="64">
        <f>I33+'Cash Flow Statement'!J53+'Cash Flow Statement'!J56</f>
        <v>24531</v>
      </c>
      <c r="K33" s="4" t="s">
        <v>344</v>
      </c>
      <c r="L33" s="3"/>
      <c r="M33" s="3"/>
    </row>
    <row r="34">
      <c r="A34" s="3"/>
      <c r="B34" s="15" t="s">
        <v>367</v>
      </c>
      <c r="C34" s="21">
        <f>C32+C33</f>
        <v>31511</v>
      </c>
      <c r="D34" s="21">
        <f>D32+D33</f>
        <v>36396</v>
      </c>
      <c r="E34" s="21">
        <f>E32+E33</f>
        <v>31499</v>
      </c>
      <c r="F34" s="21">
        <f>F32+F33</f>
        <v>32764</v>
      </c>
      <c r="G34" s="21">
        <f>G32+G33</f>
        <v>32764</v>
      </c>
      <c r="H34" s="21">
        <f>H32+H33</f>
        <v>34477</v>
      </c>
      <c r="I34" s="21">
        <f>I32+I33</f>
        <v>35106</v>
      </c>
      <c r="J34" s="43">
        <f>J32+J33</f>
        <v>35133</v>
      </c>
      <c r="K34" s="4"/>
      <c r="L34" s="3"/>
      <c r="M34" s="3"/>
    </row>
    <row r="35">
      <c r="A35" s="3"/>
      <c r="B35" s="3" t="s">
        <v>368</v>
      </c>
      <c r="C35" s="19">
        <v>39419</v>
      </c>
      <c r="D35" s="19">
        <v>39328</v>
      </c>
      <c r="E35" s="19">
        <v>44113</v>
      </c>
      <c r="F35" s="19">
        <v>42321</v>
      </c>
      <c r="G35" s="1">
        <f>F35</f>
        <v>42321</v>
      </c>
      <c r="H35" s="19">
        <v>42577</v>
      </c>
      <c r="I35" s="19">
        <v>42612</v>
      </c>
      <c r="J35" s="64">
        <f>I35+'Cash Flow Statement'!J79+'Cash Flow Statement'!J80</f>
        <v>42612</v>
      </c>
      <c r="K35" s="4" t="s">
        <v>344</v>
      </c>
      <c r="L35" s="3"/>
      <c r="M35" s="3"/>
    </row>
    <row r="36">
      <c r="A36" s="3"/>
      <c r="B36" s="3" t="s">
        <v>369</v>
      </c>
      <c r="C36" s="19">
        <v>3541</v>
      </c>
      <c r="D36" s="19">
        <v>3102</v>
      </c>
      <c r="E36" s="19">
        <v>3474</v>
      </c>
      <c r="F36" s="19">
        <v>3802</v>
      </c>
      <c r="G36" s="1">
        <f>F36</f>
        <v>3802</v>
      </c>
      <c r="H36" s="19">
        <v>4048</v>
      </c>
      <c r="I36" s="19">
        <v>4055</v>
      </c>
      <c r="J36" s="16">
        <f>I36</f>
        <v>4055</v>
      </c>
      <c r="K36" s="4" t="s">
        <v>344</v>
      </c>
      <c r="L36" s="3"/>
      <c r="M36" s="3"/>
    </row>
    <row r="37">
      <c r="A37" s="3"/>
      <c r="B37" s="3" t="s">
        <v>370</v>
      </c>
      <c r="C37" s="19">
        <v>8737</v>
      </c>
      <c r="D37" s="19">
        <v>7960</v>
      </c>
      <c r="E37" s="19">
        <v>7929</v>
      </c>
      <c r="F37" s="19">
        <v>7965</v>
      </c>
      <c r="G37" s="1">
        <f>F37</f>
        <v>7965</v>
      </c>
      <c r="H37" s="19">
        <v>8008</v>
      </c>
      <c r="I37" s="19">
        <v>8146</v>
      </c>
      <c r="J37" s="64">
        <f>I37+'Cash Flow Statement'!J18+'Cash Flow Statement'!J19+'Cash Flow Statement'!J26+'Cash Flow Statement'!J27+'Cash Flow Statement'!J30+'Cash Flow Statement'!J31+'Cash Flow Statement'!J34+'Cash Flow Statement'!J37+'Cash Flow Statement'!J40+'Cash Flow Statement'!J43+'Cash Flow Statement'!J59+'Cash Flow Statement'!J92</f>
        <v>8214.5</v>
      </c>
      <c r="K37" s="4" t="s">
        <v>344</v>
      </c>
      <c r="L37" s="3"/>
      <c r="M37" s="3"/>
    </row>
    <row r="38">
      <c r="A38" s="3"/>
      <c r="B38" s="15" t="s">
        <v>371</v>
      </c>
      <c r="C38" s="21">
        <f>C34+C35+C36+C37</f>
        <v>83208</v>
      </c>
      <c r="D38" s="21">
        <f>D34+D35+D36+D37</f>
        <v>86786</v>
      </c>
      <c r="E38" s="21">
        <f>E34+E35+E36+E37</f>
        <v>87015</v>
      </c>
      <c r="F38" s="21">
        <f>F34+F35+F36+F37</f>
        <v>86852</v>
      </c>
      <c r="G38" s="21">
        <f>G34+G35+G36+G37</f>
        <v>86852</v>
      </c>
      <c r="H38" s="21">
        <f>H34+H35+H36+H37</f>
        <v>89110</v>
      </c>
      <c r="I38" s="21">
        <f>I34+I35+I36+I37</f>
        <v>89919</v>
      </c>
      <c r="J38" s="43">
        <f>J34+J35+J36+J37</f>
        <v>90014.5</v>
      </c>
      <c r="K38" s="4"/>
      <c r="L38" s="3"/>
      <c r="M38" s="3"/>
    </row>
    <row r="39">
      <c r="A39" s="3"/>
      <c r="B39" s="3"/>
      <c r="C39" s="1"/>
      <c r="D39" s="1"/>
      <c r="E39" s="1"/>
      <c r="F39" s="1"/>
      <c r="G39" s="1"/>
      <c r="H39" s="1"/>
      <c r="I39" s="1"/>
      <c r="J39" s="16"/>
      <c r="K39" s="4"/>
      <c r="L39" s="3"/>
      <c r="M39" s="3"/>
    </row>
    <row r="40">
      <c r="A40" s="3"/>
      <c r="B40" s="15" t="s">
        <v>372</v>
      </c>
      <c r="C40" s="5"/>
      <c r="D40" s="5"/>
      <c r="E40" s="5"/>
      <c r="F40" s="5"/>
      <c r="G40" s="5"/>
      <c r="H40" s="5"/>
      <c r="I40" s="5"/>
      <c r="J40" s="22"/>
      <c r="K40" s="4"/>
      <c r="L40" s="3"/>
      <c r="M40" s="3"/>
    </row>
    <row r="41">
      <c r="A41" s="3"/>
      <c r="B41" s="3" t="s">
        <v>373</v>
      </c>
      <c r="C41" s="19">
        <v>23</v>
      </c>
      <c r="D41" s="19">
        <v>23</v>
      </c>
      <c r="E41" s="19">
        <v>23</v>
      </c>
      <c r="F41" s="19">
        <v>23</v>
      </c>
      <c r="G41" s="1">
        <f>F41</f>
        <v>23</v>
      </c>
      <c r="H41" s="19">
        <v>23</v>
      </c>
      <c r="I41" s="19">
        <v>23</v>
      </c>
      <c r="J41" s="16">
        <f>I41</f>
        <v>23</v>
      </c>
      <c r="K41" s="4" t="s">
        <v>344</v>
      </c>
      <c r="L41" s="3"/>
      <c r="M41" s="3"/>
    </row>
    <row r="42">
      <c r="A42" s="3"/>
      <c r="B42" s="3" t="s">
        <v>374</v>
      </c>
      <c r="C42" s="19">
        <v>4274</v>
      </c>
      <c r="D42" s="19">
        <v>4299</v>
      </c>
      <c r="E42" s="19">
        <v>4374</v>
      </c>
      <c r="F42" s="19">
        <v>4451</v>
      </c>
      <c r="G42" s="1">
        <f>F42</f>
        <v>4451</v>
      </c>
      <c r="H42" s="19">
        <v>4401</v>
      </c>
      <c r="I42" s="19">
        <v>4447</v>
      </c>
      <c r="J42" s="64">
        <f>I42+'Cash Flow Statement'!J23+'Cash Flow Statement'!J86+'Cash Flow Statement'!J89</f>
        <v>4533</v>
      </c>
      <c r="K42" s="4" t="s">
        <v>344</v>
      </c>
      <c r="L42" s="3"/>
      <c r="M42" s="3"/>
    </row>
    <row r="43">
      <c r="A43" s="3"/>
      <c r="B43" s="3" t="s">
        <v>375</v>
      </c>
      <c r="C43" s="19">
        <v>72238</v>
      </c>
      <c r="D43" s="19">
        <v>71547</v>
      </c>
      <c r="E43" s="19">
        <v>72197</v>
      </c>
      <c r="F43" s="19">
        <v>72788</v>
      </c>
      <c r="G43" s="1">
        <f>F43</f>
        <v>72788</v>
      </c>
      <c r="H43" s="19">
        <v>73165</v>
      </c>
      <c r="I43" s="19">
        <v>74116</v>
      </c>
      <c r="J43" s="64">
        <f>I43+'Income Statement'!J43+'Cash Flow Statement'!J84</f>
        <v>75179.33937704038</v>
      </c>
      <c r="K43" s="4" t="s">
        <v>344</v>
      </c>
      <c r="L43" s="3"/>
      <c r="M43" s="3"/>
    </row>
    <row r="44">
      <c r="A44" s="3"/>
      <c r="B44" s="3" t="s">
        <v>376</v>
      </c>
      <c r="C44" s="19">
        <v>-17078</v>
      </c>
      <c r="D44" s="19">
        <v>-16090</v>
      </c>
      <c r="E44" s="19">
        <v>-15597</v>
      </c>
      <c r="F44" s="19">
        <v>-15024</v>
      </c>
      <c r="G44" s="1">
        <f>F44</f>
        <v>-15024</v>
      </c>
      <c r="H44" s="19">
        <v>-14342</v>
      </c>
      <c r="I44" s="19">
        <v>-14343</v>
      </c>
      <c r="J44" s="64">
        <f>I44+'Cash Flow Statement'!J96</f>
        <v>-14343</v>
      </c>
      <c r="K44" s="4" t="s">
        <v>344</v>
      </c>
      <c r="L44" s="3"/>
      <c r="M44" s="3"/>
    </row>
    <row r="45">
      <c r="A45" s="3"/>
      <c r="B45" s="3" t="s">
        <v>377</v>
      </c>
      <c r="C45" s="19">
        <v>-41068</v>
      </c>
      <c r="D45" s="19">
        <v>-41361</v>
      </c>
      <c r="E45" s="19">
        <v>-41609</v>
      </c>
      <c r="F45" s="19">
        <v>-41832</v>
      </c>
      <c r="G45" s="1">
        <f>F45</f>
        <v>-41832</v>
      </c>
      <c r="H45" s="19">
        <v>-41864</v>
      </c>
      <c r="I45" s="19">
        <v>-42145</v>
      </c>
      <c r="J45" s="64">
        <f>I45+'Cash Flow Statement'!J85</f>
        <v>-42405.5</v>
      </c>
      <c r="K45" s="4" t="s">
        <v>344</v>
      </c>
      <c r="L45" s="3"/>
      <c r="M45" s="3"/>
    </row>
    <row r="46">
      <c r="A46" s="3"/>
      <c r="B46" s="15" t="s">
        <v>378</v>
      </c>
      <c r="C46" s="21">
        <f>C41+C42+C43+C44+C45</f>
        <v>18389</v>
      </c>
      <c r="D46" s="21">
        <f>D41+D42+D43+D44+D45</f>
        <v>18418</v>
      </c>
      <c r="E46" s="21">
        <f>E41+E42+E43+E44+E45</f>
        <v>19388</v>
      </c>
      <c r="F46" s="21">
        <f>F41+F42+F43+F44+F45</f>
        <v>20406</v>
      </c>
      <c r="G46" s="21">
        <f>G41+G42+G43+G44+G45</f>
        <v>20406</v>
      </c>
      <c r="H46" s="21">
        <f>H41+H42+H43+H44+H45</f>
        <v>21383</v>
      </c>
      <c r="I46" s="21">
        <f>I41+I42+I43+I44+I45</f>
        <v>22098</v>
      </c>
      <c r="J46" s="43">
        <f>J41+J42+J43+J44+J45</f>
        <v>22986.839377040378</v>
      </c>
      <c r="K46" s="4"/>
      <c r="L46" s="3"/>
      <c r="M46" s="3"/>
    </row>
    <row r="47">
      <c r="A47" s="3"/>
      <c r="B47" s="3" t="s">
        <v>379</v>
      </c>
      <c r="C47" s="19">
        <v>140</v>
      </c>
      <c r="D47" s="19">
        <v>141</v>
      </c>
      <c r="E47" s="19">
        <v>155</v>
      </c>
      <c r="F47" s="19">
        <v>141</v>
      </c>
      <c r="G47" s="1">
        <f>F47</f>
        <v>141</v>
      </c>
      <c r="H47" s="19">
        <v>153</v>
      </c>
      <c r="I47" s="19">
        <v>172</v>
      </c>
      <c r="J47" s="64">
        <f>I47+'Income Statement'!J40</f>
        <v>190</v>
      </c>
      <c r="K47" s="4" t="s">
        <v>344</v>
      </c>
      <c r="L47" s="3"/>
      <c r="M47" s="3"/>
    </row>
    <row r="48">
      <c r="A48" s="3"/>
      <c r="B48" s="15" t="s">
        <v>380</v>
      </c>
      <c r="C48" s="21">
        <f>C46+C47</f>
        <v>18529</v>
      </c>
      <c r="D48" s="21">
        <f>D46+D47</f>
        <v>18559</v>
      </c>
      <c r="E48" s="21">
        <f>E46+E47</f>
        <v>19543</v>
      </c>
      <c r="F48" s="21">
        <f>F46+F47</f>
        <v>20547</v>
      </c>
      <c r="G48" s="21">
        <f>G46+G47</f>
        <v>20547</v>
      </c>
      <c r="H48" s="21">
        <f>H46+H47</f>
        <v>21536</v>
      </c>
      <c r="I48" s="21">
        <f>I46+I47</f>
        <v>22270</v>
      </c>
      <c r="J48" s="43">
        <f>J46+J47</f>
        <v>23176.839377040378</v>
      </c>
      <c r="K48" s="4"/>
      <c r="L48" s="3"/>
      <c r="M48" s="3"/>
    </row>
    <row r="49">
      <c r="A49" s="3"/>
      <c r="B49" s="15" t="s">
        <v>381</v>
      </c>
      <c r="C49" s="21">
        <f>C38+C48</f>
        <v>101737</v>
      </c>
      <c r="D49" s="21">
        <f>D38+D48</f>
        <v>105345</v>
      </c>
      <c r="E49" s="21">
        <f>E38+E48</f>
        <v>106558</v>
      </c>
      <c r="F49" s="21">
        <f>F38+F48</f>
        <v>107399</v>
      </c>
      <c r="G49" s="21">
        <f>G38+G48</f>
        <v>107399</v>
      </c>
      <c r="H49" s="21">
        <f>H38+H48</f>
        <v>110646</v>
      </c>
      <c r="I49" s="21">
        <f>I38+I48</f>
        <v>112189</v>
      </c>
      <c r="J49" s="43">
        <f>J38+J48</f>
        <v>113191.33937704038</v>
      </c>
      <c r="K49" s="4"/>
      <c r="L49" s="3"/>
      <c r="M49" s="3"/>
    </row>
    <row r="50">
      <c r="A50" s="3"/>
      <c r="B50" s="12" t="s">
        <v>382</v>
      </c>
      <c r="C50" s="52">
        <f>C26-C38-C48</f>
        <v>0</v>
      </c>
      <c r="D50" s="52">
        <f>D26-D38-D48</f>
        <v>0</v>
      </c>
      <c r="E50" s="52">
        <f>E26-E38-E48</f>
        <v>0</v>
      </c>
      <c r="F50" s="52">
        <f>F26-F38-F48</f>
        <v>0</v>
      </c>
      <c r="G50" s="52">
        <f>G26-G38-G48</f>
        <v>0</v>
      </c>
      <c r="H50" s="52">
        <f>H26-H38-H48</f>
        <v>0</v>
      </c>
      <c r="I50" s="52">
        <f>I26-I38-I48</f>
        <v>0</v>
      </c>
      <c r="J50" s="62">
        <f>J26-J38-J48</f>
        <v>0</v>
      </c>
      <c r="K50" s="4"/>
      <c r="L50" s="3"/>
      <c r="M50" s="3"/>
    </row>
    <row r="51">
      <c r="A51" s="3"/>
      <c r="B51" s="3"/>
      <c r="C51" s="1"/>
      <c r="D51" s="1"/>
      <c r="E51" s="1"/>
      <c r="F51" s="1"/>
      <c r="G51" s="1"/>
      <c r="H51" s="1"/>
      <c r="I51" s="1"/>
      <c r="J51" s="16"/>
      <c r="K51" s="4"/>
      <c r="L51" s="3"/>
      <c r="M51" s="3"/>
    </row>
    <row r="52">
      <c r="A52" s="3"/>
      <c r="B52" s="15" t="s">
        <v>383</v>
      </c>
      <c r="C52" s="5"/>
      <c r="D52" s="5"/>
      <c r="E52" s="5"/>
      <c r="F52" s="5"/>
      <c r="G52" s="5"/>
      <c r="H52" s="5"/>
      <c r="I52" s="5"/>
      <c r="J52" s="22"/>
      <c r="K52" s="4"/>
      <c r="L52" s="3"/>
      <c r="M52" s="3"/>
    </row>
    <row r="53">
      <c r="A53" s="3"/>
      <c r="B53" s="15" t="s">
        <v>384</v>
      </c>
      <c r="C53" s="21">
        <f>C32+C35-C10-C11</f>
        <v>39936</v>
      </c>
      <c r="D53" s="21">
        <f>D32+D35-D10-D11</f>
        <v>43411</v>
      </c>
      <c r="E53" s="21">
        <f>E32+E35-E10-E11</f>
        <v>42188</v>
      </c>
      <c r="F53" s="21">
        <f>F32+F35-F10-F11</f>
        <v>39652</v>
      </c>
      <c r="G53" s="21">
        <f>G32+G35-G10-G11</f>
        <v>39652</v>
      </c>
      <c r="H53" s="21">
        <f>H32+H35-H10-H11</f>
        <v>41900</v>
      </c>
      <c r="I53" s="21">
        <f>I32+I35-I10-I11</f>
        <v>42498</v>
      </c>
      <c r="J53" s="43">
        <f>J32+J35-J10-J11</f>
        <v>40985.660622959615</v>
      </c>
      <c r="K53" s="4" t="s">
        <v>385</v>
      </c>
      <c r="L53" s="3"/>
      <c r="M53" s="3"/>
    </row>
    <row r="54">
      <c r="A54" s="3"/>
      <c r="B54" s="29" t="s">
        <v>94</v>
      </c>
      <c r="C54" s="1" t="s">
        <v>44</v>
      </c>
      <c r="D54" s="1">
        <f>IFERROR(D53-C53,"n/a")</f>
        <v>3475</v>
      </c>
      <c r="E54" s="1">
        <f>IFERROR(E53-D53,"n/a")</f>
        <v>-1223</v>
      </c>
      <c r="F54" s="1">
        <f>IFERROR(F53-E53,"n/a")</f>
        <v>-2536</v>
      </c>
      <c r="G54" s="1" t="s">
        <v>44</v>
      </c>
      <c r="H54" s="1">
        <f>IFERROR(H53-F53,"n/a")</f>
        <v>2248</v>
      </c>
      <c r="I54" s="1">
        <f>IFERROR(I53-H53,"n/a")</f>
        <v>598</v>
      </c>
      <c r="J54" s="16">
        <f>IFERROR(J53-I53,"n/a")</f>
        <v>-1512.3393770403854</v>
      </c>
      <c r="K54" s="4"/>
      <c r="L54" s="3"/>
      <c r="M54" s="3"/>
    </row>
    <row r="55">
      <c r="A55" s="3"/>
      <c r="B55" s="3" t="s">
        <v>386</v>
      </c>
      <c r="C55" s="1">
        <f>C12+C16-C33</f>
        <v>-5952</v>
      </c>
      <c r="D55" s="1">
        <f>D12+D16-D33</f>
        <v>-5463</v>
      </c>
      <c r="E55" s="1">
        <f>E12+E16-E33</f>
        <v>-6036</v>
      </c>
      <c r="F55" s="1">
        <f>F12+F16-F33</f>
        <v>-8552</v>
      </c>
      <c r="G55" s="1">
        <f>G12+G16-G33</f>
        <v>-8552</v>
      </c>
      <c r="H55" s="1">
        <f>H12+H16-H33</f>
        <v>-5944</v>
      </c>
      <c r="I55" s="1">
        <f>I12+I16-I33</f>
        <v>-4274</v>
      </c>
      <c r="J55" s="16">
        <f>J12+J16-J33</f>
        <v>-4487</v>
      </c>
      <c r="K55" s="4"/>
      <c r="L55" s="3"/>
      <c r="M55" s="3"/>
    </row>
    <row r="56">
      <c r="A56" s="3"/>
      <c r="B56" s="29" t="s">
        <v>94</v>
      </c>
      <c r="C56" s="1" t="s">
        <v>44</v>
      </c>
      <c r="D56" s="1">
        <f>IFERROR(D55-C55,"n/a")</f>
        <v>489</v>
      </c>
      <c r="E56" s="1">
        <f>IFERROR(E55-D55,"n/a")</f>
        <v>-573</v>
      </c>
      <c r="F56" s="1">
        <f>IFERROR(F55-E55,"n/a")</f>
        <v>-2516</v>
      </c>
      <c r="G56" s="1" t="s">
        <v>44</v>
      </c>
      <c r="H56" s="1">
        <f>IFERROR(H55-F55,"n/a")</f>
        <v>2608</v>
      </c>
      <c r="I56" s="1">
        <f>IFERROR(I55-H55,"n/a")</f>
        <v>1670</v>
      </c>
      <c r="J56" s="16">
        <f>IFERROR(J55-I55,"n/a")</f>
        <v>-213</v>
      </c>
      <c r="K56" s="4"/>
      <c r="L56" s="3"/>
      <c r="M56" s="3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M208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387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388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15" t="s">
        <v>389</v>
      </c>
      <c r="C10" s="5"/>
      <c r="D10" s="5"/>
      <c r="E10" s="5"/>
      <c r="F10" s="5"/>
      <c r="G10" s="5"/>
      <c r="H10" s="5"/>
      <c r="I10" s="5"/>
      <c r="J10" s="22"/>
      <c r="K10" s="4"/>
      <c r="L10" s="3"/>
      <c r="M10" s="3"/>
    </row>
    <row r="11">
      <c r="A11" s="3"/>
      <c r="B11" s="29" t="s">
        <v>242</v>
      </c>
      <c r="C11" s="1">
        <f>C164</f>
        <v>1843</v>
      </c>
      <c r="D11" s="1">
        <f>D164-C164</f>
        <v>1279</v>
      </c>
      <c r="E11" s="1">
        <f>E164-D164</f>
        <v>2618</v>
      </c>
      <c r="F11" s="1">
        <f>F164-E164</f>
        <v>2555</v>
      </c>
      <c r="G11" s="1">
        <f>SUM(C11:F11)</f>
        <v>8295</v>
      </c>
      <c r="H11" s="1">
        <f>H164</f>
        <v>2338</v>
      </c>
      <c r="I11" s="1">
        <f>I164-H164</f>
        <v>3004</v>
      </c>
      <c r="J11" s="64">
        <f>'Income Statement'!J39</f>
        <v>3102.2765308865382</v>
      </c>
      <c r="K11" s="4" t="s">
        <v>390</v>
      </c>
      <c r="L11" s="3"/>
      <c r="M11" s="3"/>
    </row>
    <row r="12">
      <c r="A12" s="3"/>
      <c r="B12" s="49" t="s">
        <v>77</v>
      </c>
      <c r="C12" s="7" t="s">
        <v>44</v>
      </c>
      <c r="D12" s="7" t="s">
        <v>44</v>
      </c>
      <c r="E12" s="7" t="s">
        <v>44</v>
      </c>
      <c r="F12" s="7" t="s">
        <v>44</v>
      </c>
      <c r="G12" s="7" t="s">
        <v>44</v>
      </c>
      <c r="H12" s="7">
        <f>IFERROR(IF(OR(H11&lt;0,C11&lt;0),"n.m.",H11/C11-1),"n/a")</f>
        <v>0.2685838307107977</v>
      </c>
      <c r="I12" s="7">
        <f>IFERROR(IF(OR(I11&lt;0,D11&lt;0),"n.m.",I11/D11-1),"n/a")</f>
        <v>1.3487099296325256</v>
      </c>
      <c r="J12" s="25">
        <f>IFERROR(IF(OR(J11&lt;0,E11&lt;0),"n.m.",J11/E11-1),"n/a")</f>
        <v>0.18497957635085505</v>
      </c>
      <c r="K12" s="4"/>
      <c r="L12" s="3"/>
      <c r="M12" s="3"/>
    </row>
    <row r="13">
      <c r="A13" s="3"/>
      <c r="B13" s="63" t="s">
        <v>94</v>
      </c>
      <c r="C13" s="1" t="s">
        <v>44</v>
      </c>
      <c r="D13" s="1">
        <f>IFERROR(D11-C11,"n/a")</f>
        <v>-564</v>
      </c>
      <c r="E13" s="1">
        <f>IFERROR(E11-D11,"n/a")</f>
        <v>1339</v>
      </c>
      <c r="F13" s="1">
        <f>IFERROR(F11-E11,"n/a")</f>
        <v>-63</v>
      </c>
      <c r="G13" s="1" t="s">
        <v>44</v>
      </c>
      <c r="H13" s="1">
        <f>IFERROR(H11-F11,"n/a")</f>
        <v>-217</v>
      </c>
      <c r="I13" s="1">
        <f>IFERROR(I11-H11,"n/a")</f>
        <v>666</v>
      </c>
      <c r="J13" s="16">
        <f>IFERROR(J11-I11,"n/a")</f>
        <v>98.27653088653824</v>
      </c>
      <c r="K13" s="4"/>
      <c r="L13" s="3"/>
      <c r="M13" s="3"/>
    </row>
    <row r="14">
      <c r="A14" s="3"/>
      <c r="B14" s="29" t="s">
        <v>391</v>
      </c>
      <c r="C14" s="1">
        <f>C165</f>
        <v>684</v>
      </c>
      <c r="D14" s="1">
        <f>D165-C165</f>
        <v>807</v>
      </c>
      <c r="E14" s="1">
        <f>E165-D165</f>
        <v>824</v>
      </c>
      <c r="F14" s="1">
        <f>F165-E165</f>
        <v>1136</v>
      </c>
      <c r="G14" s="1">
        <f>SUM(C14:F14)</f>
        <v>3451</v>
      </c>
      <c r="H14" s="1">
        <f>H165</f>
        <v>742</v>
      </c>
      <c r="I14" s="1">
        <f>I165-H165</f>
        <v>897</v>
      </c>
      <c r="J14" s="16">
        <f>J160</f>
        <v>897</v>
      </c>
      <c r="K14" s="4" t="s">
        <v>390</v>
      </c>
      <c r="L14" s="3"/>
      <c r="M14" s="3"/>
    </row>
    <row r="15">
      <c r="A15" s="3"/>
      <c r="B15" s="49" t="s">
        <v>77</v>
      </c>
      <c r="C15" s="7" t="s">
        <v>44</v>
      </c>
      <c r="D15" s="7" t="s">
        <v>44</v>
      </c>
      <c r="E15" s="7" t="s">
        <v>44</v>
      </c>
      <c r="F15" s="7" t="s">
        <v>44</v>
      </c>
      <c r="G15" s="7" t="s">
        <v>44</v>
      </c>
      <c r="H15" s="7">
        <f>IFERROR(IF(OR(H14&lt;0,C14&lt;0),"n.m.",H14/C14-1),"n/a")</f>
        <v>0.08479532163742687</v>
      </c>
      <c r="I15" s="7">
        <f>IFERROR(IF(OR(I14&lt;0,D14&lt;0),"n.m.",I14/D14-1),"n/a")</f>
        <v>0.11152416356877315</v>
      </c>
      <c r="J15" s="25">
        <f>IFERROR(IF(OR(J14&lt;0,E14&lt;0),"n.m.",J14/E14-1),"n/a")</f>
        <v>0.08859223300970864</v>
      </c>
      <c r="K15" s="4"/>
      <c r="L15" s="3"/>
      <c r="M15" s="3"/>
    </row>
    <row r="16">
      <c r="A16" s="3"/>
      <c r="B16" s="63" t="s">
        <v>94</v>
      </c>
      <c r="C16" s="1" t="s">
        <v>44</v>
      </c>
      <c r="D16" s="1">
        <f>IFERROR(D14-C14,"n/a")</f>
        <v>123</v>
      </c>
      <c r="E16" s="1">
        <f>IFERROR(E14-D14,"n/a")</f>
        <v>17</v>
      </c>
      <c r="F16" s="1">
        <f>IFERROR(F14-E14,"n/a")</f>
        <v>312</v>
      </c>
      <c r="G16" s="1" t="s">
        <v>44</v>
      </c>
      <c r="H16" s="1">
        <f>IFERROR(H14-F14,"n/a")</f>
        <v>-394</v>
      </c>
      <c r="I16" s="1">
        <f>IFERROR(I14-H14,"n/a")</f>
        <v>155</v>
      </c>
      <c r="J16" s="16">
        <f>IFERROR(J14-I14,"n/a")</f>
        <v>0</v>
      </c>
      <c r="K16" s="4"/>
      <c r="L16" s="3"/>
      <c r="M16" s="3"/>
    </row>
    <row r="17">
      <c r="A17" s="3"/>
      <c r="B17" s="29" t="s">
        <v>195</v>
      </c>
      <c r="C17" s="1">
        <f>C166</f>
        <v>0</v>
      </c>
      <c r="D17" s="1">
        <f>D166-C166</f>
        <v>1860</v>
      </c>
      <c r="E17" s="1">
        <f>E166-D166</f>
        <v>100</v>
      </c>
      <c r="F17" s="1">
        <f>F166-E166</f>
        <v>-14</v>
      </c>
      <c r="G17" s="1">
        <f>SUM(C17:F17)</f>
        <v>1946</v>
      </c>
      <c r="H17" s="1">
        <f>H166</f>
        <v>0</v>
      </c>
      <c r="I17" s="1">
        <f>I166-H166</f>
        <v>0</v>
      </c>
      <c r="J17" s="51">
        <v>0</v>
      </c>
      <c r="K17" s="4" t="s">
        <v>392</v>
      </c>
      <c r="L17" s="3"/>
      <c r="M17" s="3"/>
    </row>
    <row r="18">
      <c r="A18" s="3"/>
      <c r="B18" s="29" t="s">
        <v>393</v>
      </c>
      <c r="C18" s="1">
        <f>C167</f>
        <v>0</v>
      </c>
      <c r="D18" s="1">
        <f>D167-C167</f>
        <v>0</v>
      </c>
      <c r="E18" s="1">
        <f>E167-D167</f>
        <v>0</v>
      </c>
      <c r="F18" s="1">
        <f>F167-E167</f>
        <v>0</v>
      </c>
      <c r="G18" s="1">
        <f>SUM(C18:F18)</f>
        <v>0</v>
      </c>
      <c r="H18" s="1">
        <f>H167</f>
        <v>0</v>
      </c>
      <c r="I18" s="1">
        <f>I167-H167</f>
        <v>0</v>
      </c>
      <c r="J18" s="51">
        <v>0</v>
      </c>
      <c r="K18" s="4" t="s">
        <v>392</v>
      </c>
      <c r="L18" s="3"/>
      <c r="M18" s="3"/>
    </row>
    <row r="19">
      <c r="A19" s="3"/>
      <c r="B19" s="29" t="s">
        <v>394</v>
      </c>
      <c r="C19" s="1">
        <f>C168</f>
        <v>0</v>
      </c>
      <c r="D19" s="1">
        <f>D168-C168</f>
        <v>0</v>
      </c>
      <c r="E19" s="1">
        <f>E168-D168</f>
        <v>-5</v>
      </c>
      <c r="F19" s="1">
        <f>F168-E168</f>
        <v>-1</v>
      </c>
      <c r="G19" s="1">
        <f>SUM(C19:F19)</f>
        <v>-6</v>
      </c>
      <c r="H19" s="1">
        <f>H168</f>
        <v>0</v>
      </c>
      <c r="I19" s="1">
        <f>I168-H168</f>
        <v>0</v>
      </c>
      <c r="J19" s="51">
        <v>0</v>
      </c>
      <c r="K19" s="4" t="s">
        <v>395</v>
      </c>
      <c r="L19" s="3"/>
      <c r="M19" s="3"/>
    </row>
    <row r="20">
      <c r="A20" s="3"/>
      <c r="B20" s="29" t="s">
        <v>396</v>
      </c>
      <c r="C20" s="1">
        <f>C169</f>
        <v>145</v>
      </c>
      <c r="D20" s="1">
        <f>D169-C169</f>
        <v>170</v>
      </c>
      <c r="E20" s="1">
        <f>E169-D169</f>
        <v>174</v>
      </c>
      <c r="F20" s="1">
        <f>F169-E169</f>
        <v>238</v>
      </c>
      <c r="G20" s="1">
        <f>SUM(C20:F20)</f>
        <v>727</v>
      </c>
      <c r="H20" s="1">
        <f>H169</f>
        <v>162</v>
      </c>
      <c r="I20" s="1">
        <f>I169-H169</f>
        <v>185</v>
      </c>
      <c r="J20" s="16">
        <f>I20</f>
        <v>185</v>
      </c>
      <c r="K20" s="4" t="s">
        <v>397</v>
      </c>
      <c r="L20" s="3"/>
      <c r="M20" s="3"/>
    </row>
    <row r="21">
      <c r="A21" s="3"/>
      <c r="B21" s="49" t="s">
        <v>77</v>
      </c>
      <c r="C21" s="7" t="s">
        <v>44</v>
      </c>
      <c r="D21" s="7" t="s">
        <v>44</v>
      </c>
      <c r="E21" s="7" t="s">
        <v>44</v>
      </c>
      <c r="F21" s="7" t="s">
        <v>44</v>
      </c>
      <c r="G21" s="7" t="s">
        <v>44</v>
      </c>
      <c r="H21" s="7">
        <f>IFERROR(IF(OR(H20&lt;0,C20&lt;0),"n.m.",H20/C20-1),"n/a")</f>
        <v>0.11724137931034484</v>
      </c>
      <c r="I21" s="7">
        <f>IFERROR(IF(OR(I20&lt;0,D20&lt;0),"n.m.",I20/D20-1),"n/a")</f>
        <v>0.08823529411764697</v>
      </c>
      <c r="J21" s="25">
        <f>IFERROR(IF(OR(J20&lt;0,E20&lt;0),"n.m.",J20/E20-1),"n/a")</f>
        <v>0.06321839080459779</v>
      </c>
      <c r="K21" s="4"/>
      <c r="L21" s="3"/>
      <c r="M21" s="3"/>
    </row>
    <row r="22">
      <c r="A22" s="3"/>
      <c r="B22" s="63" t="s">
        <v>94</v>
      </c>
      <c r="C22" s="1" t="s">
        <v>44</v>
      </c>
      <c r="D22" s="1">
        <f>IFERROR(D20-C20,"n/a")</f>
        <v>25</v>
      </c>
      <c r="E22" s="1">
        <f>IFERROR(E20-D20,"n/a")</f>
        <v>4</v>
      </c>
      <c r="F22" s="1">
        <f>IFERROR(F20-E20,"n/a")</f>
        <v>64</v>
      </c>
      <c r="G22" s="1" t="s">
        <v>44</v>
      </c>
      <c r="H22" s="1">
        <f>IFERROR(H20-F20,"n/a")</f>
        <v>-76</v>
      </c>
      <c r="I22" s="1">
        <f>IFERROR(I20-H20,"n/a")</f>
        <v>23</v>
      </c>
      <c r="J22" s="16">
        <f>IFERROR(J20-I20,"n/a")</f>
        <v>0</v>
      </c>
      <c r="K22" s="4"/>
      <c r="L22" s="3"/>
      <c r="M22" s="3"/>
    </row>
    <row r="23">
      <c r="A23" s="3"/>
      <c r="B23" s="29" t="s">
        <v>398</v>
      </c>
      <c r="C23" s="1">
        <f>C170</f>
        <v>77</v>
      </c>
      <c r="D23" s="1">
        <f>D170-C170</f>
        <v>54</v>
      </c>
      <c r="E23" s="1">
        <f>E170-D170</f>
        <v>76</v>
      </c>
      <c r="F23" s="1">
        <f>F170-E170</f>
        <v>81</v>
      </c>
      <c r="G23" s="1">
        <f>SUM(C23:F23)</f>
        <v>288</v>
      </c>
      <c r="H23" s="1">
        <f>H170</f>
        <v>93</v>
      </c>
      <c r="I23" s="1">
        <f>I170-H170</f>
        <v>69</v>
      </c>
      <c r="J23" s="16">
        <f>I23</f>
        <v>69</v>
      </c>
      <c r="K23" s="4" t="s">
        <v>397</v>
      </c>
      <c r="L23" s="3"/>
      <c r="M23" s="3"/>
    </row>
    <row r="24">
      <c r="A24" s="3"/>
      <c r="B24" s="49" t="s">
        <v>77</v>
      </c>
      <c r="C24" s="7" t="s">
        <v>44</v>
      </c>
      <c r="D24" s="7" t="s">
        <v>44</v>
      </c>
      <c r="E24" s="7" t="s">
        <v>44</v>
      </c>
      <c r="F24" s="7" t="s">
        <v>44</v>
      </c>
      <c r="G24" s="7" t="s">
        <v>44</v>
      </c>
      <c r="H24" s="7">
        <f>IFERROR(IF(OR(H23&lt;0,C23&lt;0),"n.m.",H23/C23-1),"n/a")</f>
        <v>0.20779220779220786</v>
      </c>
      <c r="I24" s="7">
        <f>IFERROR(IF(OR(I23&lt;0,D23&lt;0),"n.m.",I23/D23-1),"n/a")</f>
        <v>0.2777777777777777</v>
      </c>
      <c r="J24" s="25">
        <f>IFERROR(IF(OR(J23&lt;0,E23&lt;0),"n.m.",J23/E23-1),"n/a")</f>
        <v>-0.09210526315789469</v>
      </c>
      <c r="K24" s="4"/>
      <c r="L24" s="3"/>
      <c r="M24" s="3"/>
    </row>
    <row r="25">
      <c r="A25" s="3"/>
      <c r="B25" s="63" t="s">
        <v>94</v>
      </c>
      <c r="C25" s="1" t="s">
        <v>44</v>
      </c>
      <c r="D25" s="1">
        <f>IFERROR(D23-C23,"n/a")</f>
        <v>-23</v>
      </c>
      <c r="E25" s="1">
        <f>IFERROR(E23-D23,"n/a")</f>
        <v>22</v>
      </c>
      <c r="F25" s="1">
        <f>IFERROR(F23-E23,"n/a")</f>
        <v>5</v>
      </c>
      <c r="G25" s="1" t="s">
        <v>44</v>
      </c>
      <c r="H25" s="1">
        <f>IFERROR(H23-F23,"n/a")</f>
        <v>12</v>
      </c>
      <c r="I25" s="1">
        <f>IFERROR(I23-H23,"n/a")</f>
        <v>-24</v>
      </c>
      <c r="J25" s="16">
        <f>IFERROR(J23-I23,"n/a")</f>
        <v>0</v>
      </c>
      <c r="K25" s="4"/>
      <c r="L25" s="3"/>
      <c r="M25" s="3"/>
    </row>
    <row r="26">
      <c r="A26" s="3"/>
      <c r="B26" s="29" t="s">
        <v>191</v>
      </c>
      <c r="C26" s="1">
        <f>C171</f>
        <v>213</v>
      </c>
      <c r="D26" s="1">
        <f>D171-C171</f>
        <v>213</v>
      </c>
      <c r="E26" s="1">
        <f>E171-D171</f>
        <v>141</v>
      </c>
      <c r="F26" s="1">
        <f>F171-E171</f>
        <v>416</v>
      </c>
      <c r="G26" s="1">
        <f>SUM(C26:F26)</f>
        <v>983</v>
      </c>
      <c r="H26" s="1">
        <f>H171</f>
        <v>133</v>
      </c>
      <c r="I26" s="1">
        <f>I171-H171</f>
        <v>49</v>
      </c>
      <c r="J26" s="64">
        <f>'Income Statement'!J86</f>
        <v>90.5</v>
      </c>
      <c r="K26" s="4" t="s">
        <v>390</v>
      </c>
      <c r="L26" s="3"/>
      <c r="M26" s="3"/>
    </row>
    <row r="27">
      <c r="A27" s="3"/>
      <c r="B27" s="29" t="s">
        <v>399</v>
      </c>
      <c r="C27" s="1">
        <f>C172</f>
        <v>-232</v>
      </c>
      <c r="D27" s="1">
        <f>D172-C172</f>
        <v>-155</v>
      </c>
      <c r="E27" s="1">
        <f>E172-D172</f>
        <v>-167</v>
      </c>
      <c r="F27" s="1">
        <f>F172-E172</f>
        <v>-242</v>
      </c>
      <c r="G27" s="1">
        <f>SUM(C27:F27)</f>
        <v>-796</v>
      </c>
      <c r="H27" s="1">
        <f>H172</f>
        <v>-145</v>
      </c>
      <c r="I27" s="1">
        <f>I172-H172</f>
        <v>-119</v>
      </c>
      <c r="J27" s="16">
        <f>E27</f>
        <v>-167</v>
      </c>
      <c r="K27" s="4" t="s">
        <v>400</v>
      </c>
      <c r="L27" s="3"/>
      <c r="M27" s="3"/>
    </row>
    <row r="28">
      <c r="A28" s="3"/>
      <c r="B28" s="49" t="s">
        <v>77</v>
      </c>
      <c r="C28" s="7" t="s">
        <v>44</v>
      </c>
      <c r="D28" s="7" t="s">
        <v>44</v>
      </c>
      <c r="E28" s="7" t="s">
        <v>44</v>
      </c>
      <c r="F28" s="7" t="s">
        <v>44</v>
      </c>
      <c r="G28" s="7" t="s">
        <v>44</v>
      </c>
      <c r="H28" s="7" t="str">
        <f>IFERROR(IF(OR(H27&lt;0,C27&lt;0),"n.m.",H27/C27-1),"n/a")</f>
        <v>n.m.</v>
      </c>
      <c r="I28" s="7" t="str">
        <f>IFERROR(IF(OR(I27&lt;0,D27&lt;0),"n.m.",I27/D27-1),"n/a")</f>
        <v>n.m.</v>
      </c>
      <c r="J28" s="25" t="str">
        <f>IFERROR(IF(OR(J27&lt;0,E27&lt;0),"n.m.",J27/E27-1),"n/a")</f>
        <v>n.m.</v>
      </c>
      <c r="K28" s="4"/>
      <c r="L28" s="3"/>
      <c r="M28" s="3"/>
    </row>
    <row r="29">
      <c r="A29" s="3"/>
      <c r="B29" s="63" t="s">
        <v>94</v>
      </c>
      <c r="C29" s="1" t="s">
        <v>44</v>
      </c>
      <c r="D29" s="1">
        <f>IFERROR(D27-C27,"n/a")</f>
        <v>77</v>
      </c>
      <c r="E29" s="1">
        <f>IFERROR(E27-D27,"n/a")</f>
        <v>-12</v>
      </c>
      <c r="F29" s="1">
        <f>IFERROR(F27-E27,"n/a")</f>
        <v>-75</v>
      </c>
      <c r="G29" s="1" t="s">
        <v>44</v>
      </c>
      <c r="H29" s="1">
        <f>IFERROR(H27-F27,"n/a")</f>
        <v>97</v>
      </c>
      <c r="I29" s="1">
        <f>IFERROR(I27-H27,"n/a")</f>
        <v>26</v>
      </c>
      <c r="J29" s="16">
        <f>IFERROR(J27-I27,"n/a")</f>
        <v>-48</v>
      </c>
      <c r="K29" s="4"/>
      <c r="L29" s="3"/>
      <c r="M29" s="3"/>
    </row>
    <row r="30">
      <c r="A30" s="3"/>
      <c r="B30" s="29" t="s">
        <v>401</v>
      </c>
      <c r="C30" s="1">
        <f>C173</f>
        <v>25</v>
      </c>
      <c r="D30" s="1">
        <f>D173-C173</f>
        <v>62</v>
      </c>
      <c r="E30" s="1">
        <f>E173-D173</f>
        <v>221</v>
      </c>
      <c r="F30" s="1">
        <f>F173-E173</f>
        <v>145</v>
      </c>
      <c r="G30" s="1">
        <f>SUM(C30:F30)</f>
        <v>453</v>
      </c>
      <c r="H30" s="1">
        <f>H173</f>
        <v>-113</v>
      </c>
      <c r="I30" s="1">
        <f>I173-H173</f>
        <v>-45</v>
      </c>
      <c r="J30" s="64">
        <f>'Income Statement'!J87</f>
        <v>0</v>
      </c>
      <c r="K30" s="4" t="s">
        <v>390</v>
      </c>
      <c r="L30" s="3"/>
      <c r="M30" s="3"/>
    </row>
    <row r="31">
      <c r="A31" s="3"/>
      <c r="B31" s="29" t="s">
        <v>402</v>
      </c>
      <c r="C31" s="1">
        <f>C174</f>
        <v>-13</v>
      </c>
      <c r="D31" s="1">
        <f>D174-C174</f>
        <v>-45</v>
      </c>
      <c r="E31" s="1">
        <f>E174-D174</f>
        <v>-22</v>
      </c>
      <c r="F31" s="1">
        <f>F174-E174</f>
        <v>-148</v>
      </c>
      <c r="G31" s="1">
        <f>SUM(C31:F31)</f>
        <v>-228</v>
      </c>
      <c r="H31" s="1">
        <f>H174</f>
        <v>-14</v>
      </c>
      <c r="I31" s="1">
        <f>I174-H174</f>
        <v>0</v>
      </c>
      <c r="J31" s="16">
        <f>E31</f>
        <v>-22</v>
      </c>
      <c r="K31" s="4" t="s">
        <v>403</v>
      </c>
      <c r="L31" s="3"/>
      <c r="M31" s="3"/>
    </row>
    <row r="32">
      <c r="A32" s="3"/>
      <c r="B32" s="49" t="s">
        <v>77</v>
      </c>
      <c r="C32" s="7" t="s">
        <v>44</v>
      </c>
      <c r="D32" s="7" t="s">
        <v>44</v>
      </c>
      <c r="E32" s="7" t="s">
        <v>44</v>
      </c>
      <c r="F32" s="7" t="s">
        <v>44</v>
      </c>
      <c r="G32" s="7" t="s">
        <v>44</v>
      </c>
      <c r="H32" s="7" t="str">
        <f>IFERROR(IF(OR(H31&lt;0,C31&lt;0),"n.m.",H31/C31-1),"n/a")</f>
        <v>n.m.</v>
      </c>
      <c r="I32" s="7" t="str">
        <f>IFERROR(IF(OR(I31&lt;0,D31&lt;0),"n.m.",I31/D31-1),"n/a")</f>
        <v>n.m.</v>
      </c>
      <c r="J32" s="25" t="str">
        <f>IFERROR(IF(OR(J31&lt;0,E31&lt;0),"n.m.",J31/E31-1),"n/a")</f>
        <v>n.m.</v>
      </c>
      <c r="K32" s="4"/>
      <c r="L32" s="3"/>
      <c r="M32" s="3"/>
    </row>
    <row r="33">
      <c r="A33" s="3"/>
      <c r="B33" s="63" t="s">
        <v>94</v>
      </c>
      <c r="C33" s="1" t="s">
        <v>44</v>
      </c>
      <c r="D33" s="1">
        <f>IFERROR(D31-C31,"n/a")</f>
        <v>-32</v>
      </c>
      <c r="E33" s="1">
        <f>IFERROR(E31-D31,"n/a")</f>
        <v>23</v>
      </c>
      <c r="F33" s="1">
        <f>IFERROR(F31-E31,"n/a")</f>
        <v>-126</v>
      </c>
      <c r="G33" s="1" t="s">
        <v>44</v>
      </c>
      <c r="H33" s="1">
        <f>IFERROR(H31-F31,"n/a")</f>
        <v>134</v>
      </c>
      <c r="I33" s="1">
        <f>IFERROR(I31-H31,"n/a")</f>
        <v>14</v>
      </c>
      <c r="J33" s="16">
        <f>IFERROR(J31-I31,"n/a")</f>
        <v>-22</v>
      </c>
      <c r="K33" s="4"/>
      <c r="L33" s="3"/>
      <c r="M33" s="3"/>
    </row>
    <row r="34">
      <c r="A34" s="3"/>
      <c r="B34" s="29" t="s">
        <v>404</v>
      </c>
      <c r="C34" s="1">
        <f>C175</f>
        <v>48</v>
      </c>
      <c r="D34" s="1">
        <f>D175-C175</f>
        <v>51</v>
      </c>
      <c r="E34" s="1">
        <f>E175-D175</f>
        <v>65</v>
      </c>
      <c r="F34" s="1">
        <f>F175-E175</f>
        <v>340</v>
      </c>
      <c r="G34" s="1">
        <f>SUM(C34:F34)</f>
        <v>504</v>
      </c>
      <c r="H34" s="1">
        <f>H175</f>
        <v>13</v>
      </c>
      <c r="I34" s="1">
        <f>I175-H175</f>
        <v>17</v>
      </c>
      <c r="J34" s="16">
        <f>E34</f>
        <v>65</v>
      </c>
      <c r="K34" s="4" t="s">
        <v>400</v>
      </c>
      <c r="L34" s="3"/>
      <c r="M34" s="3"/>
    </row>
    <row r="35">
      <c r="A35" s="3"/>
      <c r="B35" s="49" t="s">
        <v>77</v>
      </c>
      <c r="C35" s="7" t="s">
        <v>44</v>
      </c>
      <c r="D35" s="7" t="s">
        <v>44</v>
      </c>
      <c r="E35" s="7" t="s">
        <v>44</v>
      </c>
      <c r="F35" s="7" t="s">
        <v>44</v>
      </c>
      <c r="G35" s="7" t="s">
        <v>44</v>
      </c>
      <c r="H35" s="7">
        <f>IFERROR(IF(OR(H34&lt;0,C34&lt;0),"n.m.",H34/C34-1),"n/a")</f>
        <v>-0.7291666666666667</v>
      </c>
      <c r="I35" s="7">
        <f>IFERROR(IF(OR(I34&lt;0,D34&lt;0),"n.m.",I34/D34-1),"n/a")</f>
        <v>-0.6666666666666667</v>
      </c>
      <c r="J35" s="25">
        <f>IFERROR(IF(OR(J34&lt;0,E34&lt;0),"n.m.",J34/E34-1),"n/a")</f>
        <v>0</v>
      </c>
      <c r="K35" s="4"/>
      <c r="L35" s="3"/>
      <c r="M35" s="3"/>
    </row>
    <row r="36">
      <c r="A36" s="3"/>
      <c r="B36" s="63" t="s">
        <v>94</v>
      </c>
      <c r="C36" s="1" t="s">
        <v>44</v>
      </c>
      <c r="D36" s="1">
        <f>IFERROR(D34-C34,"n/a")</f>
        <v>3</v>
      </c>
      <c r="E36" s="1">
        <f>IFERROR(E34-D34,"n/a")</f>
        <v>14</v>
      </c>
      <c r="F36" s="1">
        <f>IFERROR(F34-E34,"n/a")</f>
        <v>275</v>
      </c>
      <c r="G36" s="1" t="s">
        <v>44</v>
      </c>
      <c r="H36" s="1">
        <f>IFERROR(H34-F34,"n/a")</f>
        <v>-327</v>
      </c>
      <c r="I36" s="1">
        <f>IFERROR(I34-H34,"n/a")</f>
        <v>4</v>
      </c>
      <c r="J36" s="16">
        <f>IFERROR(J34-I34,"n/a")</f>
        <v>48</v>
      </c>
      <c r="K36" s="4"/>
      <c r="L36" s="3"/>
      <c r="M36" s="3"/>
    </row>
    <row r="37">
      <c r="A37" s="3"/>
      <c r="B37" s="29" t="s">
        <v>405</v>
      </c>
      <c r="C37" s="1">
        <f>C176</f>
        <v>-317</v>
      </c>
      <c r="D37" s="1">
        <f>D176-C176</f>
        <v>-37</v>
      </c>
      <c r="E37" s="1">
        <f>E176-D176</f>
        <v>-46</v>
      </c>
      <c r="F37" s="1">
        <f>F176-E176</f>
        <v>-72</v>
      </c>
      <c r="G37" s="1">
        <f>SUM(C37:F37)</f>
        <v>-472</v>
      </c>
      <c r="H37" s="1">
        <f>H176</f>
        <v>-270</v>
      </c>
      <c r="I37" s="1">
        <f>I176-H176</f>
        <v>-45</v>
      </c>
      <c r="J37" s="16">
        <f>E37</f>
        <v>-46</v>
      </c>
      <c r="K37" s="4" t="s">
        <v>400</v>
      </c>
      <c r="L37" s="3"/>
      <c r="M37" s="3"/>
    </row>
    <row r="38">
      <c r="A38" s="3"/>
      <c r="B38" s="49" t="s">
        <v>77</v>
      </c>
      <c r="C38" s="7" t="s">
        <v>44</v>
      </c>
      <c r="D38" s="7" t="s">
        <v>44</v>
      </c>
      <c r="E38" s="7" t="s">
        <v>44</v>
      </c>
      <c r="F38" s="7" t="s">
        <v>44</v>
      </c>
      <c r="G38" s="7" t="s">
        <v>44</v>
      </c>
      <c r="H38" s="7" t="str">
        <f>IFERROR(IF(OR(H37&lt;0,C37&lt;0),"n.m.",H37/C37-1),"n/a")</f>
        <v>n.m.</v>
      </c>
      <c r="I38" s="7" t="str">
        <f>IFERROR(IF(OR(I37&lt;0,D37&lt;0),"n.m.",I37/D37-1),"n/a")</f>
        <v>n.m.</v>
      </c>
      <c r="J38" s="25" t="str">
        <f>IFERROR(IF(OR(J37&lt;0,E37&lt;0),"n.m.",J37/E37-1),"n/a")</f>
        <v>n.m.</v>
      </c>
      <c r="K38" s="4"/>
      <c r="L38" s="3"/>
      <c r="M38" s="3"/>
    </row>
    <row r="39">
      <c r="A39" s="3"/>
      <c r="B39" s="63" t="s">
        <v>94</v>
      </c>
      <c r="C39" s="1" t="s">
        <v>44</v>
      </c>
      <c r="D39" s="1">
        <f>IFERROR(D37-C37,"n/a")</f>
        <v>280</v>
      </c>
      <c r="E39" s="1">
        <f>IFERROR(E37-D37,"n/a")</f>
        <v>-9</v>
      </c>
      <c r="F39" s="1">
        <f>IFERROR(F37-E37,"n/a")</f>
        <v>-26</v>
      </c>
      <c r="G39" s="1" t="s">
        <v>44</v>
      </c>
      <c r="H39" s="1">
        <f>IFERROR(H37-F37,"n/a")</f>
        <v>-198</v>
      </c>
      <c r="I39" s="1">
        <f>IFERROR(I37-H37,"n/a")</f>
        <v>225</v>
      </c>
      <c r="J39" s="16">
        <f>IFERROR(J37-I37,"n/a")</f>
        <v>-1</v>
      </c>
      <c r="K39" s="4"/>
      <c r="L39" s="3"/>
      <c r="M39" s="3"/>
    </row>
    <row r="40">
      <c r="A40" s="3"/>
      <c r="B40" s="29" t="s">
        <v>406</v>
      </c>
      <c r="C40" s="1">
        <f>C177</f>
        <v>111</v>
      </c>
      <c r="D40" s="1">
        <f>D177-C177</f>
        <v>-371</v>
      </c>
      <c r="E40" s="1">
        <f>E177-D177</f>
        <v>290</v>
      </c>
      <c r="F40" s="1">
        <f>F177-E177</f>
        <v>41</v>
      </c>
      <c r="G40" s="1">
        <f>SUM(C40:F40)</f>
        <v>71</v>
      </c>
      <c r="H40" s="1">
        <f>H177</f>
        <v>226</v>
      </c>
      <c r="I40" s="1">
        <f>I177-H177</f>
        <v>268</v>
      </c>
      <c r="J40" s="16">
        <f>E40</f>
        <v>290</v>
      </c>
      <c r="K40" s="4" t="s">
        <v>400</v>
      </c>
      <c r="L40" s="3"/>
      <c r="M40" s="3"/>
    </row>
    <row r="41">
      <c r="A41" s="3"/>
      <c r="B41" s="49" t="s">
        <v>77</v>
      </c>
      <c r="C41" s="7" t="s">
        <v>44</v>
      </c>
      <c r="D41" s="7" t="s">
        <v>44</v>
      </c>
      <c r="E41" s="7" t="s">
        <v>44</v>
      </c>
      <c r="F41" s="7" t="s">
        <v>44</v>
      </c>
      <c r="G41" s="7" t="s">
        <v>44</v>
      </c>
      <c r="H41" s="7">
        <f>IFERROR(IF(OR(H40&lt;0,C40&lt;0),"n.m.",H40/C40-1),"n/a")</f>
        <v>1.0360360360360361</v>
      </c>
      <c r="I41" s="7" t="str">
        <f>IFERROR(IF(OR(I40&lt;0,D40&lt;0),"n.m.",I40/D40-1),"n/a")</f>
        <v>n.m.</v>
      </c>
      <c r="J41" s="25">
        <f>IFERROR(IF(OR(J40&lt;0,E40&lt;0),"n.m.",J40/E40-1),"n/a")</f>
        <v>0</v>
      </c>
      <c r="K41" s="4"/>
      <c r="L41" s="3"/>
      <c r="M41" s="3"/>
    </row>
    <row r="42">
      <c r="A42" s="3"/>
      <c r="B42" s="63" t="s">
        <v>94</v>
      </c>
      <c r="C42" s="1" t="s">
        <v>44</v>
      </c>
      <c r="D42" s="1">
        <f>IFERROR(D40-C40,"n/a")</f>
        <v>-482</v>
      </c>
      <c r="E42" s="1">
        <f>IFERROR(E40-D40,"n/a")</f>
        <v>661</v>
      </c>
      <c r="F42" s="1">
        <f>IFERROR(F40-E40,"n/a")</f>
        <v>-249</v>
      </c>
      <c r="G42" s="1" t="s">
        <v>44</v>
      </c>
      <c r="H42" s="1">
        <f>IFERROR(H40-F40,"n/a")</f>
        <v>185</v>
      </c>
      <c r="I42" s="1">
        <f>IFERROR(I40-H40,"n/a")</f>
        <v>42</v>
      </c>
      <c r="J42" s="16">
        <f>IFERROR(J40-I40,"n/a")</f>
        <v>22</v>
      </c>
      <c r="K42" s="4"/>
      <c r="L42" s="3"/>
      <c r="M42" s="3"/>
    </row>
    <row r="43">
      <c r="A43" s="3"/>
      <c r="B43" s="29" t="s">
        <v>407</v>
      </c>
      <c r="C43" s="1">
        <f>C178</f>
        <v>0</v>
      </c>
      <c r="D43" s="1">
        <f>D178-C178</f>
        <v>-772</v>
      </c>
      <c r="E43" s="1">
        <f>E178-D178</f>
        <v>0</v>
      </c>
      <c r="F43" s="1">
        <f>F178-E178</f>
        <v>0</v>
      </c>
      <c r="G43" s="1">
        <f>SUM(C43:F43)</f>
        <v>-772</v>
      </c>
      <c r="H43" s="1">
        <f>H178</f>
        <v>0</v>
      </c>
      <c r="I43" s="1">
        <f>I178-H178</f>
        <v>-965</v>
      </c>
      <c r="J43" s="51">
        <v>0</v>
      </c>
      <c r="K43" s="4" t="s">
        <v>392</v>
      </c>
      <c r="L43" s="3"/>
      <c r="M43" s="3"/>
    </row>
    <row r="44">
      <c r="A44" s="3"/>
      <c r="B44" s="29" t="s">
        <v>408</v>
      </c>
      <c r="C44" s="1">
        <f>C179</f>
        <v>-318</v>
      </c>
      <c r="D44" s="1">
        <f>D179-C179</f>
        <v>-1264</v>
      </c>
      <c r="E44" s="1">
        <f>E179-D179</f>
        <v>-165</v>
      </c>
      <c r="F44" s="1">
        <f>F179-E179</f>
        <v>1167</v>
      </c>
      <c r="G44" s="1">
        <f>SUM(C44:F44)</f>
        <v>-580</v>
      </c>
      <c r="H44" s="1">
        <f>H179</f>
        <v>-530</v>
      </c>
      <c r="I44" s="1">
        <f>I179-H179</f>
        <v>-1327</v>
      </c>
      <c r="J44" s="16">
        <f>E44</f>
        <v>-165</v>
      </c>
      <c r="K44" s="4" t="s">
        <v>400</v>
      </c>
      <c r="L44" s="3"/>
      <c r="M44" s="3"/>
    </row>
    <row r="45">
      <c r="A45" s="3"/>
      <c r="B45" s="49" t="s">
        <v>77</v>
      </c>
      <c r="C45" s="7" t="s">
        <v>44</v>
      </c>
      <c r="D45" s="7" t="s">
        <v>44</v>
      </c>
      <c r="E45" s="7" t="s">
        <v>44</v>
      </c>
      <c r="F45" s="7" t="s">
        <v>44</v>
      </c>
      <c r="G45" s="7" t="s">
        <v>44</v>
      </c>
      <c r="H45" s="7" t="str">
        <f>IFERROR(IF(OR(H44&lt;0,C44&lt;0),"n.m.",H44/C44-1),"n/a")</f>
        <v>n.m.</v>
      </c>
      <c r="I45" s="7" t="str">
        <f>IFERROR(IF(OR(I44&lt;0,D44&lt;0),"n.m.",I44/D44-1),"n/a")</f>
        <v>n.m.</v>
      </c>
      <c r="J45" s="25" t="str">
        <f>IFERROR(IF(OR(J44&lt;0,E44&lt;0),"n.m.",J44/E44-1),"n/a")</f>
        <v>n.m.</v>
      </c>
      <c r="K45" s="4"/>
      <c r="L45" s="3"/>
      <c r="M45" s="3"/>
    </row>
    <row r="46">
      <c r="A46" s="3"/>
      <c r="B46" s="63" t="s">
        <v>94</v>
      </c>
      <c r="C46" s="1" t="s">
        <v>44</v>
      </c>
      <c r="D46" s="1">
        <f>IFERROR(D44-C44,"n/a")</f>
        <v>-946</v>
      </c>
      <c r="E46" s="1">
        <f>IFERROR(E44-D44,"n/a")</f>
        <v>1099</v>
      </c>
      <c r="F46" s="1">
        <f>IFERROR(F44-E44,"n/a")</f>
        <v>1332</v>
      </c>
      <c r="G46" s="1" t="s">
        <v>44</v>
      </c>
      <c r="H46" s="1">
        <f>IFERROR(H44-F44,"n/a")</f>
        <v>-1697</v>
      </c>
      <c r="I46" s="1">
        <f>IFERROR(I44-H44,"n/a")</f>
        <v>-797</v>
      </c>
      <c r="J46" s="16">
        <f>IFERROR(J44-I44,"n/a")</f>
        <v>1162</v>
      </c>
      <c r="K46" s="4"/>
      <c r="L46" s="3"/>
      <c r="M46" s="3"/>
    </row>
    <row r="47">
      <c r="A47" s="3"/>
      <c r="B47" s="29" t="s">
        <v>409</v>
      </c>
      <c r="C47" s="1">
        <f>C180</f>
        <v>-238</v>
      </c>
      <c r="D47" s="1">
        <f>D180-C180</f>
        <v>-562</v>
      </c>
      <c r="E47" s="1">
        <f>E180-D180</f>
        <v>351</v>
      </c>
      <c r="F47" s="1">
        <f>F180-E180</f>
        <v>299</v>
      </c>
      <c r="G47" s="1">
        <f>SUM(C47:F47)</f>
        <v>-150</v>
      </c>
      <c r="H47" s="1">
        <f>H180</f>
        <v>-315</v>
      </c>
      <c r="I47" s="1">
        <f>I180-H180</f>
        <v>-487</v>
      </c>
      <c r="J47" s="16">
        <f>E47</f>
        <v>351</v>
      </c>
      <c r="K47" s="4" t="s">
        <v>400</v>
      </c>
      <c r="L47" s="3"/>
      <c r="M47" s="3"/>
    </row>
    <row r="48">
      <c r="A48" s="3"/>
      <c r="B48" s="49" t="s">
        <v>77</v>
      </c>
      <c r="C48" s="7" t="s">
        <v>44</v>
      </c>
      <c r="D48" s="7" t="s">
        <v>44</v>
      </c>
      <c r="E48" s="7" t="s">
        <v>44</v>
      </c>
      <c r="F48" s="7" t="s">
        <v>44</v>
      </c>
      <c r="G48" s="7" t="s">
        <v>44</v>
      </c>
      <c r="H48" s="7" t="str">
        <f>IFERROR(IF(OR(H47&lt;0,C47&lt;0),"n.m.",H47/C47-1),"n/a")</f>
        <v>n.m.</v>
      </c>
      <c r="I48" s="7" t="str">
        <f>IFERROR(IF(OR(I47&lt;0,D47&lt;0),"n.m.",I47/D47-1),"n/a")</f>
        <v>n.m.</v>
      </c>
      <c r="J48" s="25">
        <f>IFERROR(IF(OR(J47&lt;0,E47&lt;0),"n.m.",J47/E47-1),"n/a")</f>
        <v>0</v>
      </c>
      <c r="K48" s="4"/>
      <c r="L48" s="3"/>
      <c r="M48" s="3"/>
    </row>
    <row r="49">
      <c r="A49" s="3"/>
      <c r="B49" s="63" t="s">
        <v>94</v>
      </c>
      <c r="C49" s="1" t="s">
        <v>44</v>
      </c>
      <c r="D49" s="1">
        <f>IFERROR(D47-C47,"n/a")</f>
        <v>-324</v>
      </c>
      <c r="E49" s="1">
        <f>IFERROR(E47-D47,"n/a")</f>
        <v>913</v>
      </c>
      <c r="F49" s="1">
        <f>IFERROR(F47-E47,"n/a")</f>
        <v>-52</v>
      </c>
      <c r="G49" s="1" t="s">
        <v>44</v>
      </c>
      <c r="H49" s="1">
        <f>IFERROR(H47-F47,"n/a")</f>
        <v>-614</v>
      </c>
      <c r="I49" s="1">
        <f>IFERROR(I47-H47,"n/a")</f>
        <v>-172</v>
      </c>
      <c r="J49" s="16">
        <f>IFERROR(J47-I47,"n/a")</f>
        <v>838</v>
      </c>
      <c r="K49" s="4"/>
      <c r="L49" s="3"/>
      <c r="M49" s="3"/>
    </row>
    <row r="50">
      <c r="A50" s="3"/>
      <c r="B50" s="29" t="s">
        <v>410</v>
      </c>
      <c r="C50" s="1">
        <f>C181</f>
        <v>-307</v>
      </c>
      <c r="D50" s="1">
        <f>D181-C181</f>
        <v>-47</v>
      </c>
      <c r="E50" s="1">
        <f>E181-D181</f>
        <v>131</v>
      </c>
      <c r="F50" s="1">
        <f>F181-E181</f>
        <v>418</v>
      </c>
      <c r="G50" s="1">
        <f>SUM(C50:F50)</f>
        <v>195</v>
      </c>
      <c r="H50" s="1">
        <f>H181</f>
        <v>-406</v>
      </c>
      <c r="I50" s="1">
        <f>I181-H181</f>
        <v>135</v>
      </c>
      <c r="J50" s="16">
        <f>E50</f>
        <v>131</v>
      </c>
      <c r="K50" s="4" t="s">
        <v>400</v>
      </c>
      <c r="L50" s="3"/>
      <c r="M50" s="3"/>
    </row>
    <row r="51">
      <c r="A51" s="3"/>
      <c r="B51" s="49" t="s">
        <v>77</v>
      </c>
      <c r="C51" s="7" t="s">
        <v>44</v>
      </c>
      <c r="D51" s="7" t="s">
        <v>44</v>
      </c>
      <c r="E51" s="7" t="s">
        <v>44</v>
      </c>
      <c r="F51" s="7" t="s">
        <v>44</v>
      </c>
      <c r="G51" s="7" t="s">
        <v>44</v>
      </c>
      <c r="H51" s="7" t="str">
        <f>IFERROR(IF(OR(H50&lt;0,C50&lt;0),"n.m.",H50/C50-1),"n/a")</f>
        <v>n.m.</v>
      </c>
      <c r="I51" s="7" t="str">
        <f>IFERROR(IF(OR(I50&lt;0,D50&lt;0),"n.m.",I50/D50-1),"n/a")</f>
        <v>n.m.</v>
      </c>
      <c r="J51" s="25">
        <f>IFERROR(IF(OR(J50&lt;0,E50&lt;0),"n.m.",J50/E50-1),"n/a")</f>
        <v>0</v>
      </c>
      <c r="K51" s="4"/>
      <c r="L51" s="3"/>
      <c r="M51" s="3"/>
    </row>
    <row r="52">
      <c r="A52" s="3"/>
      <c r="B52" s="63" t="s">
        <v>94</v>
      </c>
      <c r="C52" s="1" t="s">
        <v>44</v>
      </c>
      <c r="D52" s="1">
        <f>IFERROR(D50-C50,"n/a")</f>
        <v>260</v>
      </c>
      <c r="E52" s="1">
        <f>IFERROR(E50-D50,"n/a")</f>
        <v>178</v>
      </c>
      <c r="F52" s="1">
        <f>IFERROR(F50-E50,"n/a")</f>
        <v>287</v>
      </c>
      <c r="G52" s="1" t="s">
        <v>44</v>
      </c>
      <c r="H52" s="1">
        <f>IFERROR(H50-F50,"n/a")</f>
        <v>-824</v>
      </c>
      <c r="I52" s="1">
        <f>IFERROR(I50-H50,"n/a")</f>
        <v>541</v>
      </c>
      <c r="J52" s="16">
        <f>IFERROR(J50-I50,"n/a")</f>
        <v>-4</v>
      </c>
      <c r="K52" s="4"/>
      <c r="L52" s="3"/>
      <c r="M52" s="3"/>
    </row>
    <row r="53">
      <c r="A53" s="3"/>
      <c r="B53" s="29" t="s">
        <v>411</v>
      </c>
      <c r="C53" s="1">
        <f>C182</f>
        <v>-2671</v>
      </c>
      <c r="D53" s="1">
        <f>D182-C182</f>
        <v>588</v>
      </c>
      <c r="E53" s="1">
        <f>E182-D182</f>
        <v>436</v>
      </c>
      <c r="F53" s="1">
        <f>F182-E182</f>
        <v>970</v>
      </c>
      <c r="G53" s="1">
        <f>SUM(C53:F53)</f>
        <v>-677</v>
      </c>
      <c r="H53" s="1">
        <f>H182</f>
        <v>-1847</v>
      </c>
      <c r="I53" s="1">
        <f>I182-H182</f>
        <v>647</v>
      </c>
      <c r="J53" s="16">
        <f>E53</f>
        <v>436</v>
      </c>
      <c r="K53" s="4" t="s">
        <v>400</v>
      </c>
      <c r="L53" s="3"/>
      <c r="M53" s="3"/>
    </row>
    <row r="54">
      <c r="A54" s="3"/>
      <c r="B54" s="49" t="s">
        <v>77</v>
      </c>
      <c r="C54" s="7" t="s">
        <v>44</v>
      </c>
      <c r="D54" s="7" t="s">
        <v>44</v>
      </c>
      <c r="E54" s="7" t="s">
        <v>44</v>
      </c>
      <c r="F54" s="7" t="s">
        <v>44</v>
      </c>
      <c r="G54" s="7" t="s">
        <v>44</v>
      </c>
      <c r="H54" s="7" t="str">
        <f>IFERROR(IF(OR(H53&lt;0,C53&lt;0),"n.m.",H53/C53-1),"n/a")</f>
        <v>n.m.</v>
      </c>
      <c r="I54" s="7">
        <f>IFERROR(IF(OR(I53&lt;0,D53&lt;0),"n.m.",I53/D53-1),"n/a")</f>
        <v>0.10034013605442182</v>
      </c>
      <c r="J54" s="25">
        <f>IFERROR(IF(OR(J53&lt;0,E53&lt;0),"n.m.",J53/E53-1),"n/a")</f>
        <v>0</v>
      </c>
      <c r="K54" s="4"/>
      <c r="L54" s="3"/>
      <c r="M54" s="3"/>
    </row>
    <row r="55">
      <c r="A55" s="3"/>
      <c r="B55" s="63" t="s">
        <v>94</v>
      </c>
      <c r="C55" s="1" t="s">
        <v>44</v>
      </c>
      <c r="D55" s="1">
        <f>IFERROR(D53-C53,"n/a")</f>
        <v>3259</v>
      </c>
      <c r="E55" s="1">
        <f>IFERROR(E53-D53,"n/a")</f>
        <v>-152</v>
      </c>
      <c r="F55" s="1">
        <f>IFERROR(F53-E53,"n/a")</f>
        <v>534</v>
      </c>
      <c r="G55" s="1" t="s">
        <v>44</v>
      </c>
      <c r="H55" s="1">
        <f>IFERROR(H53-F53,"n/a")</f>
        <v>-2817</v>
      </c>
      <c r="I55" s="1">
        <f>IFERROR(I53-H53,"n/a")</f>
        <v>2494</v>
      </c>
      <c r="J55" s="16">
        <f>IFERROR(J53-I53,"n/a")</f>
        <v>-211</v>
      </c>
      <c r="K55" s="4"/>
      <c r="L55" s="3"/>
      <c r="M55" s="3"/>
    </row>
    <row r="56">
      <c r="A56" s="3"/>
      <c r="B56" s="29" t="s">
        <v>412</v>
      </c>
      <c r="C56" s="1">
        <f>C183</f>
        <v>223</v>
      </c>
      <c r="D56" s="1">
        <f>D183-C183</f>
        <v>192</v>
      </c>
      <c r="E56" s="1">
        <f>E183-D183</f>
        <v>-409</v>
      </c>
      <c r="F56" s="1">
        <f>F183-E183</f>
        <v>-439</v>
      </c>
      <c r="G56" s="1">
        <f>SUM(C56:F56)</f>
        <v>-433</v>
      </c>
      <c r="H56" s="1">
        <f>H183</f>
        <v>131</v>
      </c>
      <c r="I56" s="1">
        <f>I183-H183</f>
        <v>182</v>
      </c>
      <c r="J56" s="16">
        <f>E56</f>
        <v>-409</v>
      </c>
      <c r="K56" s="4" t="s">
        <v>400</v>
      </c>
      <c r="L56" s="3"/>
      <c r="M56" s="3"/>
    </row>
    <row r="57">
      <c r="A57" s="3"/>
      <c r="B57" s="49" t="s">
        <v>77</v>
      </c>
      <c r="C57" s="7" t="s">
        <v>44</v>
      </c>
      <c r="D57" s="7" t="s">
        <v>44</v>
      </c>
      <c r="E57" s="7" t="s">
        <v>44</v>
      </c>
      <c r="F57" s="7" t="s">
        <v>44</v>
      </c>
      <c r="G57" s="7" t="s">
        <v>44</v>
      </c>
      <c r="H57" s="7">
        <f>IFERROR(IF(OR(H56&lt;0,C56&lt;0),"n.m.",H56/C56-1),"n/a")</f>
        <v>-0.41255605381165916</v>
      </c>
      <c r="I57" s="7">
        <f>IFERROR(IF(OR(I56&lt;0,D56&lt;0),"n.m.",I56/D56-1),"n/a")</f>
        <v>-0.05208333333333337</v>
      </c>
      <c r="J57" s="25" t="str">
        <f>IFERROR(IF(OR(J56&lt;0,E56&lt;0),"n.m.",J56/E56-1),"n/a")</f>
        <v>n.m.</v>
      </c>
      <c r="K57" s="4"/>
      <c r="L57" s="3"/>
      <c r="M57" s="3"/>
    </row>
    <row r="58">
      <c r="A58" s="3"/>
      <c r="B58" s="63" t="s">
        <v>94</v>
      </c>
      <c r="C58" s="1" t="s">
        <v>44</v>
      </c>
      <c r="D58" s="1">
        <f>IFERROR(D56-C56,"n/a")</f>
        <v>-31</v>
      </c>
      <c r="E58" s="1">
        <f>IFERROR(E56-D56,"n/a")</f>
        <v>-601</v>
      </c>
      <c r="F58" s="1">
        <f>IFERROR(F56-E56,"n/a")</f>
        <v>-30</v>
      </c>
      <c r="G58" s="1" t="s">
        <v>44</v>
      </c>
      <c r="H58" s="1">
        <f>IFERROR(H56-F56,"n/a")</f>
        <v>570</v>
      </c>
      <c r="I58" s="1">
        <f>IFERROR(I56-H56,"n/a")</f>
        <v>51</v>
      </c>
      <c r="J58" s="16">
        <f>IFERROR(J56-I56,"n/a")</f>
        <v>-591</v>
      </c>
      <c r="K58" s="4"/>
      <c r="L58" s="3"/>
      <c r="M58" s="3"/>
    </row>
    <row r="59">
      <c r="A59" s="3"/>
      <c r="B59" s="29" t="s">
        <v>413</v>
      </c>
      <c r="C59" s="1">
        <f>C184</f>
        <v>-246</v>
      </c>
      <c r="D59" s="1">
        <f>D184-C184</f>
        <v>-54</v>
      </c>
      <c r="E59" s="1">
        <f>E184-D184</f>
        <v>-141</v>
      </c>
      <c r="F59" s="1">
        <f>F184-E184</f>
        <v>-271</v>
      </c>
      <c r="G59" s="1">
        <f>SUM(C59:F59)</f>
        <v>-712</v>
      </c>
      <c r="H59" s="1">
        <f>H184</f>
        <v>-157</v>
      </c>
      <c r="I59" s="1">
        <f>I184-H184</f>
        <v>-141</v>
      </c>
      <c r="J59" s="16">
        <f>E59</f>
        <v>-141</v>
      </c>
      <c r="K59" s="4" t="s">
        <v>414</v>
      </c>
      <c r="L59" s="3"/>
      <c r="M59" s="3"/>
    </row>
    <row r="60">
      <c r="A60" s="3"/>
      <c r="B60" s="49" t="s">
        <v>77</v>
      </c>
      <c r="C60" s="7" t="s">
        <v>44</v>
      </c>
      <c r="D60" s="7" t="s">
        <v>44</v>
      </c>
      <c r="E60" s="7" t="s">
        <v>44</v>
      </c>
      <c r="F60" s="7" t="s">
        <v>44</v>
      </c>
      <c r="G60" s="7" t="s">
        <v>44</v>
      </c>
      <c r="H60" s="7" t="str">
        <f>IFERROR(IF(OR(H59&lt;0,C59&lt;0),"n.m.",H59/C59-1),"n/a")</f>
        <v>n.m.</v>
      </c>
      <c r="I60" s="7" t="str">
        <f>IFERROR(IF(OR(I59&lt;0,D59&lt;0),"n.m.",I59/D59-1),"n/a")</f>
        <v>n.m.</v>
      </c>
      <c r="J60" s="25" t="str">
        <f>IFERROR(IF(OR(J59&lt;0,E59&lt;0),"n.m.",J59/E59-1),"n/a")</f>
        <v>n.m.</v>
      </c>
      <c r="K60" s="4"/>
      <c r="L60" s="3"/>
      <c r="M60" s="3"/>
    </row>
    <row r="61">
      <c r="A61" s="3"/>
      <c r="B61" s="63" t="s">
        <v>94</v>
      </c>
      <c r="C61" s="1" t="s">
        <v>44</v>
      </c>
      <c r="D61" s="1">
        <f>IFERROR(D59-C59,"n/a")</f>
        <v>192</v>
      </c>
      <c r="E61" s="1">
        <f>IFERROR(E59-D59,"n/a")</f>
        <v>-87</v>
      </c>
      <c r="F61" s="1">
        <f>IFERROR(F59-E59,"n/a")</f>
        <v>-130</v>
      </c>
      <c r="G61" s="1" t="s">
        <v>44</v>
      </c>
      <c r="H61" s="1">
        <f>IFERROR(H59-F59,"n/a")</f>
        <v>114</v>
      </c>
      <c r="I61" s="1">
        <f>IFERROR(I59-H59,"n/a")</f>
        <v>16</v>
      </c>
      <c r="J61" s="16">
        <f>IFERROR(J59-I59,"n/a")</f>
        <v>0</v>
      </c>
      <c r="K61" s="4"/>
      <c r="L61" s="3"/>
      <c r="M61" s="3"/>
    </row>
    <row r="62">
      <c r="A62" s="3"/>
      <c r="B62" s="15" t="s">
        <v>415</v>
      </c>
      <c r="C62" s="21">
        <f>C11+C14+C17+C18+C19+C20+C23+C26+C27+C30+C31+C34+C37+C40+C43+C44+C47+C50+C53+C56+C59</f>
        <v>-973</v>
      </c>
      <c r="D62" s="21">
        <f>D11+D14+D17+D18+D19+D20+D23+D26+D27+D30+D31+D34+D37+D40+D43+D44+D47+D50+D53+D56+D59</f>
        <v>1969</v>
      </c>
      <c r="E62" s="21">
        <f>E11+E14+E17+E18+E19+E20+E23+E26+E27+E30+E31+E34+E37+E40+E43+E44+E47+E50+E53+E56+E59</f>
        <v>4472</v>
      </c>
      <c r="F62" s="21">
        <f>F11+F14+F17+F18+F19+F20+F23+F26+F27+F30+F31+F34+F37+F40+F43+F44+F47+F50+F53+F56+F59</f>
        <v>6619</v>
      </c>
      <c r="G62" s="21">
        <f>G11+G14+G17+G18+G19+G20+G23+G26+G27+G30+G31+G34+G37+G40+G43+G44+G47+G50+G53+G56+G59</f>
        <v>12087</v>
      </c>
      <c r="H62" s="21">
        <f>H11+H14+H17+H18+H19+H20+H23+H26+H27+H30+H31+H34+H37+H40+H43+H44+H47+H50+H53+H56+H59</f>
        <v>41</v>
      </c>
      <c r="I62" s="21">
        <f>I11+I14+I17+I18+I19+I20+I23+I26+I27+I30+I31+I34+I37+I40+I43+I44+I47+I50+I53+I56+I59</f>
        <v>2324</v>
      </c>
      <c r="J62" s="43">
        <f>J11+J14+J17+J18+J19+J20+J23+J26+J27+J30+J31+J34+J37+J40+J43+J44+J47+J50+J53+J56+J59</f>
        <v>4666.776530886538</v>
      </c>
      <c r="K62" s="4"/>
      <c r="L62" s="3"/>
      <c r="M62" s="3"/>
    </row>
    <row r="63">
      <c r="A63" s="3"/>
      <c r="B63" s="15" t="s">
        <v>416</v>
      </c>
      <c r="C63" s="5"/>
      <c r="D63" s="5"/>
      <c r="E63" s="5"/>
      <c r="F63" s="5"/>
      <c r="G63" s="5"/>
      <c r="H63" s="5"/>
      <c r="I63" s="5"/>
      <c r="J63" s="22"/>
      <c r="K63" s="4"/>
      <c r="L63" s="3"/>
      <c r="M63" s="3"/>
    </row>
    <row r="64">
      <c r="A64" s="3"/>
      <c r="B64" s="29" t="s">
        <v>417</v>
      </c>
      <c r="C64" s="1">
        <f>C185</f>
        <v>-603</v>
      </c>
      <c r="D64" s="1">
        <f>D185-C185</f>
        <v>-904</v>
      </c>
      <c r="E64" s="1">
        <f>E185-D185</f>
        <v>-992</v>
      </c>
      <c r="F64" s="1">
        <f>F185-E185</f>
        <v>-1916</v>
      </c>
      <c r="G64" s="1">
        <f>SUM(C64:F64)</f>
        <v>-4415</v>
      </c>
      <c r="H64" s="1">
        <f>H185</f>
        <v>-447</v>
      </c>
      <c r="I64" s="1">
        <f>I185-H185</f>
        <v>-819</v>
      </c>
      <c r="J64" s="16">
        <f>-J134</f>
        <v>-992</v>
      </c>
      <c r="K64" s="4" t="s">
        <v>390</v>
      </c>
      <c r="L64" s="3"/>
      <c r="M64" s="3"/>
    </row>
    <row r="65">
      <c r="A65" s="3"/>
      <c r="B65" s="49" t="s">
        <v>77</v>
      </c>
      <c r="C65" s="7" t="s">
        <v>44</v>
      </c>
      <c r="D65" s="7" t="s">
        <v>44</v>
      </c>
      <c r="E65" s="7" t="s">
        <v>44</v>
      </c>
      <c r="F65" s="7" t="s">
        <v>44</v>
      </c>
      <c r="G65" s="7" t="s">
        <v>44</v>
      </c>
      <c r="H65" s="7" t="str">
        <f>IFERROR(IF(OR(H64&lt;0,C64&lt;0),"n.m.",H64/C64-1),"n/a")</f>
        <v>n.m.</v>
      </c>
      <c r="I65" s="7" t="str">
        <f>IFERROR(IF(OR(I64&lt;0,D64&lt;0),"n.m.",I64/D64-1),"n/a")</f>
        <v>n.m.</v>
      </c>
      <c r="J65" s="25" t="str">
        <f>IFERROR(IF(OR(J64&lt;0,E64&lt;0),"n.m.",J64/E64-1),"n/a")</f>
        <v>n.m.</v>
      </c>
      <c r="K65" s="4"/>
      <c r="L65" s="3"/>
      <c r="M65" s="3"/>
    </row>
    <row r="66">
      <c r="A66" s="3"/>
      <c r="B66" s="63" t="s">
        <v>94</v>
      </c>
      <c r="C66" s="1" t="s">
        <v>44</v>
      </c>
      <c r="D66" s="1">
        <f>IFERROR(D64-C64,"n/a")</f>
        <v>-301</v>
      </c>
      <c r="E66" s="1">
        <f>IFERROR(E64-D64,"n/a")</f>
        <v>-88</v>
      </c>
      <c r="F66" s="1">
        <f>IFERROR(F64-E64,"n/a")</f>
        <v>-924</v>
      </c>
      <c r="G66" s="1" t="s">
        <v>44</v>
      </c>
      <c r="H66" s="1">
        <f>IFERROR(H64-F64,"n/a")</f>
        <v>1469</v>
      </c>
      <c r="I66" s="1">
        <f>IFERROR(I64-H64,"n/a")</f>
        <v>-372</v>
      </c>
      <c r="J66" s="16">
        <f>IFERROR(J64-I64,"n/a")</f>
        <v>-173</v>
      </c>
      <c r="K66" s="4"/>
      <c r="L66" s="3"/>
      <c r="M66" s="3"/>
    </row>
    <row r="67">
      <c r="A67" s="3"/>
      <c r="B67" s="29" t="s">
        <v>418</v>
      </c>
      <c r="C67" s="1">
        <f>C186</f>
        <v>132</v>
      </c>
      <c r="D67" s="1">
        <f>D186-C186</f>
        <v>37</v>
      </c>
      <c r="E67" s="1">
        <f>E186-D186</f>
        <v>103</v>
      </c>
      <c r="F67" s="1">
        <f>F186-E186</f>
        <v>256</v>
      </c>
      <c r="G67" s="1">
        <f>SUM(C67:F67)</f>
        <v>528</v>
      </c>
      <c r="H67" s="1">
        <f>H186</f>
        <v>13</v>
      </c>
      <c r="I67" s="1">
        <f>I186-H186</f>
        <v>58</v>
      </c>
      <c r="J67" s="16">
        <f>E67</f>
        <v>103</v>
      </c>
      <c r="K67" s="4" t="s">
        <v>400</v>
      </c>
      <c r="L67" s="3"/>
      <c r="M67" s="3"/>
    </row>
    <row r="68">
      <c r="A68" s="3"/>
      <c r="B68" s="49" t="s">
        <v>77</v>
      </c>
      <c r="C68" s="7" t="s">
        <v>44</v>
      </c>
      <c r="D68" s="7" t="s">
        <v>44</v>
      </c>
      <c r="E68" s="7" t="s">
        <v>44</v>
      </c>
      <c r="F68" s="7" t="s">
        <v>44</v>
      </c>
      <c r="G68" s="7" t="s">
        <v>44</v>
      </c>
      <c r="H68" s="7">
        <f>IFERROR(IF(OR(H67&lt;0,C67&lt;0),"n.m.",H67/C67-1),"n/a")</f>
        <v>-0.9015151515151515</v>
      </c>
      <c r="I68" s="7">
        <f>IFERROR(IF(OR(I67&lt;0,D67&lt;0),"n.m.",I67/D67-1),"n/a")</f>
        <v>0.5675675675675675</v>
      </c>
      <c r="J68" s="25">
        <f>IFERROR(IF(OR(J67&lt;0,E67&lt;0),"n.m.",J67/E67-1),"n/a")</f>
        <v>0</v>
      </c>
      <c r="K68" s="4"/>
      <c r="L68" s="3"/>
      <c r="M68" s="3"/>
    </row>
    <row r="69">
      <c r="A69" s="3"/>
      <c r="B69" s="63" t="s">
        <v>94</v>
      </c>
      <c r="C69" s="1" t="s">
        <v>44</v>
      </c>
      <c r="D69" s="1">
        <f>IFERROR(D67-C67,"n/a")</f>
        <v>-95</v>
      </c>
      <c r="E69" s="1">
        <f>IFERROR(E67-D67,"n/a")</f>
        <v>66</v>
      </c>
      <c r="F69" s="1">
        <f>IFERROR(F67-E67,"n/a")</f>
        <v>153</v>
      </c>
      <c r="G69" s="1" t="s">
        <v>44</v>
      </c>
      <c r="H69" s="1">
        <f>IFERROR(H67-F67,"n/a")</f>
        <v>-243</v>
      </c>
      <c r="I69" s="1">
        <f>IFERROR(I67-H67,"n/a")</f>
        <v>45</v>
      </c>
      <c r="J69" s="16">
        <f>IFERROR(J67-I67,"n/a")</f>
        <v>45</v>
      </c>
      <c r="K69" s="4"/>
      <c r="L69" s="3"/>
      <c r="M69" s="3"/>
    </row>
    <row r="70">
      <c r="A70" s="3"/>
      <c r="B70" s="29" t="s">
        <v>419</v>
      </c>
      <c r="C70" s="1">
        <f>C187</f>
        <v>-1200</v>
      </c>
      <c r="D70" s="1">
        <f>D187-C187</f>
        <v>-1930</v>
      </c>
      <c r="E70" s="1">
        <f>E187-D187</f>
        <v>-46</v>
      </c>
      <c r="F70" s="1">
        <f>F187-E187</f>
        <v>-215</v>
      </c>
      <c r="G70" s="1">
        <f>SUM(C70:F70)</f>
        <v>-3391</v>
      </c>
      <c r="H70" s="1">
        <f>H187</f>
        <v>-67</v>
      </c>
      <c r="I70" s="1">
        <f>I187-H187</f>
        <v>-81</v>
      </c>
      <c r="J70" s="51">
        <v>0</v>
      </c>
      <c r="K70" s="4" t="s">
        <v>392</v>
      </c>
      <c r="L70" s="3"/>
      <c r="M70" s="3"/>
    </row>
    <row r="71">
      <c r="A71" s="3"/>
      <c r="B71" s="29" t="s">
        <v>420</v>
      </c>
      <c r="C71" s="1">
        <f>C188</f>
        <v>2</v>
      </c>
      <c r="D71" s="1">
        <f>D188-C188</f>
        <v>3</v>
      </c>
      <c r="E71" s="1">
        <f>E188-D188</f>
        <v>0</v>
      </c>
      <c r="F71" s="1">
        <f>F188-E188</f>
        <v>34</v>
      </c>
      <c r="G71" s="1">
        <f>SUM(C71:F71)</f>
        <v>39</v>
      </c>
      <c r="H71" s="1">
        <f>H188</f>
        <v>0</v>
      </c>
      <c r="I71" s="1">
        <f>I188-H188</f>
        <v>0</v>
      </c>
      <c r="J71" s="51">
        <v>0</v>
      </c>
      <c r="K71" s="4" t="s">
        <v>421</v>
      </c>
      <c r="L71" s="3"/>
      <c r="M71" s="3"/>
    </row>
    <row r="72">
      <c r="A72" s="3"/>
      <c r="B72" s="29" t="s">
        <v>422</v>
      </c>
      <c r="C72" s="1">
        <f>C189</f>
        <v>0</v>
      </c>
      <c r="D72" s="1">
        <f>D189-C189</f>
        <v>0</v>
      </c>
      <c r="E72" s="1">
        <f>E189-D189</f>
        <v>-190</v>
      </c>
      <c r="F72" s="1">
        <f>F189-E189</f>
        <v>0</v>
      </c>
      <c r="G72" s="1">
        <f>SUM(C72:F72)</f>
        <v>-190</v>
      </c>
      <c r="H72" s="1">
        <f>H189</f>
        <v>0</v>
      </c>
      <c r="I72" s="1">
        <f>I189-H189</f>
        <v>-80</v>
      </c>
      <c r="J72" s="51">
        <v>0</v>
      </c>
      <c r="K72" s="4" t="s">
        <v>392</v>
      </c>
      <c r="L72" s="3"/>
      <c r="M72" s="3"/>
    </row>
    <row r="73">
      <c r="A73" s="3"/>
      <c r="B73" s="29" t="s">
        <v>423</v>
      </c>
      <c r="C73" s="1">
        <f>C190</f>
        <v>425</v>
      </c>
      <c r="D73" s="1">
        <f>D190-C190</f>
        <v>0</v>
      </c>
      <c r="E73" s="1">
        <f>E190-D190</f>
        <v>0</v>
      </c>
      <c r="F73" s="1">
        <f>F190-E190</f>
        <v>180</v>
      </c>
      <c r="G73" s="1">
        <f>SUM(C73:F73)</f>
        <v>605</v>
      </c>
      <c r="H73" s="1">
        <f>H190</f>
        <v>0</v>
      </c>
      <c r="I73" s="1">
        <f>I190-H190</f>
        <v>8</v>
      </c>
      <c r="J73" s="51">
        <v>0</v>
      </c>
      <c r="K73" s="4" t="s">
        <v>392</v>
      </c>
      <c r="L73" s="3"/>
      <c r="M73" s="3"/>
    </row>
    <row r="74">
      <c r="A74" s="3"/>
      <c r="B74" s="29" t="s">
        <v>424</v>
      </c>
      <c r="C74" s="1">
        <f>C191</f>
        <v>0</v>
      </c>
      <c r="D74" s="1">
        <f>D191-C191</f>
        <v>0</v>
      </c>
      <c r="E74" s="1">
        <f>E191-D191</f>
        <v>0</v>
      </c>
      <c r="F74" s="1">
        <f>F191-E191</f>
        <v>0</v>
      </c>
      <c r="G74" s="1">
        <f>SUM(C74:F74)</f>
        <v>0</v>
      </c>
      <c r="H74" s="1">
        <f>H191</f>
        <v>14</v>
      </c>
      <c r="I74" s="1">
        <f>I191-H191</f>
        <v>0</v>
      </c>
      <c r="J74" s="51">
        <v>0</v>
      </c>
      <c r="K74" s="4" t="s">
        <v>392</v>
      </c>
      <c r="L74" s="3"/>
      <c r="M74" s="3"/>
    </row>
    <row r="75">
      <c r="A75" s="3"/>
      <c r="B75" s="29" t="s">
        <v>425</v>
      </c>
      <c r="C75" s="1">
        <f>C192</f>
        <v>16</v>
      </c>
      <c r="D75" s="1">
        <f>D192-C192</f>
        <v>6</v>
      </c>
      <c r="E75" s="1">
        <f>E192-D192</f>
        <v>21</v>
      </c>
      <c r="F75" s="1">
        <f>F192-E192</f>
        <v>2</v>
      </c>
      <c r="G75" s="1">
        <f>SUM(C75:F75)</f>
        <v>45</v>
      </c>
      <c r="H75" s="1">
        <f>H192</f>
        <v>-9</v>
      </c>
      <c r="I75" s="1">
        <f>I192-H192</f>
        <v>-1</v>
      </c>
      <c r="J75" s="51">
        <v>0</v>
      </c>
      <c r="K75" s="4" t="s">
        <v>392</v>
      </c>
      <c r="L75" s="3"/>
      <c r="M75" s="3"/>
    </row>
    <row r="76">
      <c r="A76" s="3"/>
      <c r="B76" s="29" t="s">
        <v>426</v>
      </c>
      <c r="C76" s="1">
        <f>C193</f>
        <v>-4</v>
      </c>
      <c r="D76" s="1">
        <f>D193-C193</f>
        <v>-107</v>
      </c>
      <c r="E76" s="1">
        <f>E193-D193</f>
        <v>-6</v>
      </c>
      <c r="F76" s="1">
        <f>F193-E193</f>
        <v>17</v>
      </c>
      <c r="G76" s="1">
        <f>SUM(C76:F76)</f>
        <v>-100</v>
      </c>
      <c r="H76" s="1">
        <f>H193</f>
        <v>19</v>
      </c>
      <c r="I76" s="1">
        <f>I193-H193</f>
        <v>0</v>
      </c>
      <c r="J76" s="51">
        <v>0</v>
      </c>
      <c r="K76" s="4" t="s">
        <v>392</v>
      </c>
      <c r="L76" s="3"/>
      <c r="M76" s="3"/>
    </row>
    <row r="77">
      <c r="A77" s="3"/>
      <c r="B77" s="15" t="s">
        <v>427</v>
      </c>
      <c r="C77" s="21">
        <f>C64+C67+C70+C71+C72+C73+C74+C75+C76</f>
        <v>-1232</v>
      </c>
      <c r="D77" s="21">
        <f>D64+D67+D70+D71+D72+D73+D74+D75+D76</f>
        <v>-2895</v>
      </c>
      <c r="E77" s="21">
        <f>E64+E67+E70+E71+E72+E73+E74+E75+E76</f>
        <v>-1110</v>
      </c>
      <c r="F77" s="21">
        <f>F64+F67+F70+F71+F72+F73+F74+F75+F76</f>
        <v>-1642</v>
      </c>
      <c r="G77" s="21">
        <f>G64+G67+G70+G71+G72+G73+G74+G75+G76</f>
        <v>-6879</v>
      </c>
      <c r="H77" s="21">
        <f>H64+H67+H70+H71+H72+H73+H74+H75+H76</f>
        <v>-477</v>
      </c>
      <c r="I77" s="21">
        <f>I64+I67+I70+I71+I72+I73+I74+I75+I76</f>
        <v>-915</v>
      </c>
      <c r="J77" s="43">
        <f>J64+J67+J70+J71+J72+J73+J74+J75+J76</f>
        <v>-889</v>
      </c>
      <c r="K77" s="4"/>
      <c r="L77" s="3"/>
      <c r="M77" s="3"/>
    </row>
    <row r="78">
      <c r="A78" s="3"/>
      <c r="B78" s="15" t="s">
        <v>428</v>
      </c>
      <c r="C78" s="5"/>
      <c r="D78" s="5"/>
      <c r="E78" s="5"/>
      <c r="F78" s="5"/>
      <c r="G78" s="5"/>
      <c r="H78" s="5"/>
      <c r="I78" s="5"/>
      <c r="J78" s="22"/>
      <c r="K78" s="4"/>
      <c r="L78" s="3"/>
      <c r="M78" s="3"/>
    </row>
    <row r="79">
      <c r="A79" s="3"/>
      <c r="B79" s="29" t="s">
        <v>429</v>
      </c>
      <c r="C79" s="1">
        <f>C194</f>
        <v>3505</v>
      </c>
      <c r="D79" s="1">
        <f>D194-C194</f>
        <v>16</v>
      </c>
      <c r="E79" s="1">
        <f>E194-D194</f>
        <v>4658</v>
      </c>
      <c r="F79" s="1">
        <f>F194-E194</f>
        <v>10</v>
      </c>
      <c r="G79" s="1">
        <f>SUM(C79:F79)</f>
        <v>8189</v>
      </c>
      <c r="H79" s="1">
        <f>H194</f>
        <v>2964</v>
      </c>
      <c r="I79" s="1">
        <f>I194-H194</f>
        <v>10</v>
      </c>
      <c r="J79" s="51">
        <v>0</v>
      </c>
      <c r="K79" s="4" t="s">
        <v>392</v>
      </c>
      <c r="L79" s="3"/>
      <c r="M79" s="3"/>
    </row>
    <row r="80">
      <c r="A80" s="3"/>
      <c r="B80" s="29" t="s">
        <v>430</v>
      </c>
      <c r="C80" s="1">
        <f>C195</f>
        <v>-1541</v>
      </c>
      <c r="D80" s="1">
        <f>D195-C195</f>
        <v>-1002</v>
      </c>
      <c r="E80" s="1">
        <f>E195-D195</f>
        <v>-702</v>
      </c>
      <c r="F80" s="1">
        <f>F195-E195</f>
        <v>-837</v>
      </c>
      <c r="G80" s="1">
        <f>SUM(C80:F80)</f>
        <v>-4082</v>
      </c>
      <c r="H80" s="1">
        <f>H195</f>
        <v>-1629</v>
      </c>
      <c r="I80" s="1">
        <f>I195-H195</f>
        <v>-592</v>
      </c>
      <c r="J80" s="51">
        <v>0</v>
      </c>
      <c r="K80" s="4" t="s">
        <v>392</v>
      </c>
      <c r="L80" s="3"/>
      <c r="M80" s="3"/>
    </row>
    <row r="81">
      <c r="A81" s="3"/>
      <c r="B81" s="29" t="s">
        <v>431</v>
      </c>
      <c r="C81" s="1">
        <f>C196</f>
        <v>3656</v>
      </c>
      <c r="D81" s="1">
        <f>D196-C196</f>
        <v>1595</v>
      </c>
      <c r="E81" s="1">
        <f>E196-D196</f>
        <v>277</v>
      </c>
      <c r="F81" s="1">
        <f>F196-E196</f>
        <v>863</v>
      </c>
      <c r="G81" s="1">
        <f>SUM(C81:F81)</f>
        <v>6391</v>
      </c>
      <c r="H81" s="1">
        <f>H196</f>
        <v>1937</v>
      </c>
      <c r="I81" s="1">
        <f>I196-H196</f>
        <v>2050</v>
      </c>
      <c r="J81" s="51">
        <v>0</v>
      </c>
      <c r="K81" s="4" t="s">
        <v>392</v>
      </c>
      <c r="L81" s="3"/>
      <c r="M81" s="3"/>
    </row>
    <row r="82">
      <c r="A82" s="3"/>
      <c r="B82" s="29" t="s">
        <v>432</v>
      </c>
      <c r="C82" s="1">
        <f>C197</f>
        <v>-2119</v>
      </c>
      <c r="D82" s="1">
        <f>D197-C197</f>
        <v>-373</v>
      </c>
      <c r="E82" s="1">
        <f>E197-D197</f>
        <v>-2925</v>
      </c>
      <c r="F82" s="1">
        <f>F197-E197</f>
        <v>-2503</v>
      </c>
      <c r="G82" s="1">
        <f>SUM(C82:F82)</f>
        <v>-7920</v>
      </c>
      <c r="H82" s="1">
        <f>H197</f>
        <v>-676</v>
      </c>
      <c r="I82" s="1">
        <f>I197-H197</f>
        <v>-1074</v>
      </c>
      <c r="J82" s="51">
        <v>0</v>
      </c>
      <c r="K82" s="4" t="s">
        <v>392</v>
      </c>
      <c r="L82" s="3"/>
      <c r="M82" s="3"/>
    </row>
    <row r="83">
      <c r="A83" s="3"/>
      <c r="B83" s="29" t="s">
        <v>433</v>
      </c>
      <c r="C83" s="1">
        <f>C198</f>
        <v>373</v>
      </c>
      <c r="D83" s="1">
        <f>D198-C198</f>
        <v>2065</v>
      </c>
      <c r="E83" s="1">
        <f>E198-D198</f>
        <v>-1993</v>
      </c>
      <c r="F83" s="1">
        <f>F198-E198</f>
        <v>725</v>
      </c>
      <c r="G83" s="1">
        <f>SUM(C83:F83)</f>
        <v>1170</v>
      </c>
      <c r="H83" s="1">
        <f>H198</f>
        <v>1198</v>
      </c>
      <c r="I83" s="1">
        <f>I198-H198</f>
        <v>73</v>
      </c>
      <c r="J83" s="51">
        <v>0</v>
      </c>
      <c r="K83" s="4" t="s">
        <v>392</v>
      </c>
      <c r="L83" s="3"/>
      <c r="M83" s="3"/>
    </row>
    <row r="84">
      <c r="A84" s="3"/>
      <c r="B84" s="29" t="s">
        <v>434</v>
      </c>
      <c r="C84" s="1">
        <f>C199</f>
        <v>-1882</v>
      </c>
      <c r="D84" s="1">
        <f>D199-C199</f>
        <v>-1861</v>
      </c>
      <c r="E84" s="1">
        <f>E199-D199</f>
        <v>-1949</v>
      </c>
      <c r="F84" s="1">
        <f>F199-E199</f>
        <v>-1946</v>
      </c>
      <c r="G84" s="1">
        <f>SUM(C84:F84)</f>
        <v>-7638</v>
      </c>
      <c r="H84" s="1">
        <f>H199</f>
        <v>-1966</v>
      </c>
      <c r="I84" s="1">
        <f>I199-H199</f>
        <v>-1948</v>
      </c>
      <c r="J84" s="64">
        <f>-'Share Count'!J37</f>
        <v>-2020.937153846154</v>
      </c>
      <c r="K84" s="4" t="s">
        <v>390</v>
      </c>
      <c r="L84" s="3"/>
      <c r="M84" s="3"/>
    </row>
    <row r="85">
      <c r="A85" s="3"/>
      <c r="B85" s="29" t="s">
        <v>435</v>
      </c>
      <c r="C85" s="1">
        <f>C200</f>
        <v>-183</v>
      </c>
      <c r="D85" s="1">
        <f>D200-C200</f>
        <v>-311</v>
      </c>
      <c r="E85" s="1">
        <f>E200-D200</f>
        <v>-258</v>
      </c>
      <c r="F85" s="1">
        <f>F200-E200</f>
        <v>-248</v>
      </c>
      <c r="G85" s="1">
        <f>SUM(C85:F85)</f>
        <v>-1000</v>
      </c>
      <c r="H85" s="1">
        <f>H200</f>
        <v>-182</v>
      </c>
      <c r="I85" s="1">
        <f>I200-H200</f>
        <v>-297</v>
      </c>
      <c r="J85" s="64">
        <f>-'Share Count'!J26</f>
        <v>-260.5</v>
      </c>
      <c r="K85" s="4" t="s">
        <v>390</v>
      </c>
      <c r="L85" s="3"/>
      <c r="M85" s="3"/>
    </row>
    <row r="86">
      <c r="A86" s="3"/>
      <c r="B86" s="29" t="s">
        <v>436</v>
      </c>
      <c r="C86" s="1">
        <f>C201</f>
        <v>50</v>
      </c>
      <c r="D86" s="1">
        <f>D201-C201</f>
        <v>8</v>
      </c>
      <c r="E86" s="1">
        <f>E201-D201</f>
        <v>18</v>
      </c>
      <c r="F86" s="1">
        <f>F201-E201</f>
        <v>21</v>
      </c>
      <c r="G86" s="1">
        <f>SUM(C86:F86)</f>
        <v>97</v>
      </c>
      <c r="H86" s="1">
        <f>H201</f>
        <v>93</v>
      </c>
      <c r="I86" s="1">
        <f>I201-H201</f>
        <v>6</v>
      </c>
      <c r="J86" s="16">
        <f>E86</f>
        <v>18</v>
      </c>
      <c r="K86" s="4" t="s">
        <v>400</v>
      </c>
      <c r="L86" s="3"/>
      <c r="M86" s="3"/>
    </row>
    <row r="87">
      <c r="A87" s="3"/>
      <c r="B87" s="49" t="s">
        <v>77</v>
      </c>
      <c r="C87" s="7" t="s">
        <v>44</v>
      </c>
      <c r="D87" s="7" t="s">
        <v>44</v>
      </c>
      <c r="E87" s="7" t="s">
        <v>44</v>
      </c>
      <c r="F87" s="7" t="s">
        <v>44</v>
      </c>
      <c r="G87" s="7" t="s">
        <v>44</v>
      </c>
      <c r="H87" s="7">
        <f>IFERROR(IF(OR(H86&lt;0,C86&lt;0),"n.m.",H86/C86-1),"n/a")</f>
        <v>0.8600000000000001</v>
      </c>
      <c r="I87" s="7">
        <f>IFERROR(IF(OR(I86&lt;0,D86&lt;0),"n.m.",I86/D86-1),"n/a")</f>
        <v>-0.25</v>
      </c>
      <c r="J87" s="25">
        <f>IFERROR(IF(OR(J86&lt;0,E86&lt;0),"n.m.",J86/E86-1),"n/a")</f>
        <v>0</v>
      </c>
      <c r="K87" s="4"/>
      <c r="L87" s="3"/>
      <c r="M87" s="3"/>
    </row>
    <row r="88">
      <c r="A88" s="3"/>
      <c r="B88" s="63" t="s">
        <v>94</v>
      </c>
      <c r="C88" s="1" t="s">
        <v>44</v>
      </c>
      <c r="D88" s="1">
        <f>IFERROR(D86-C86,"n/a")</f>
        <v>-42</v>
      </c>
      <c r="E88" s="1">
        <f>IFERROR(E86-D86,"n/a")</f>
        <v>10</v>
      </c>
      <c r="F88" s="1">
        <f>IFERROR(F86-E86,"n/a")</f>
        <v>3</v>
      </c>
      <c r="G88" s="1" t="s">
        <v>44</v>
      </c>
      <c r="H88" s="1">
        <f>IFERROR(H86-F86,"n/a")</f>
        <v>72</v>
      </c>
      <c r="I88" s="1">
        <f>IFERROR(I86-H86,"n/a")</f>
        <v>-87</v>
      </c>
      <c r="J88" s="16">
        <f>IFERROR(J86-I86,"n/a")</f>
        <v>12</v>
      </c>
      <c r="K88" s="4"/>
      <c r="L88" s="3"/>
      <c r="M88" s="3"/>
    </row>
    <row r="89">
      <c r="A89" s="3"/>
      <c r="B89" s="29" t="s">
        <v>437</v>
      </c>
      <c r="C89" s="1">
        <f>C202</f>
        <v>-89</v>
      </c>
      <c r="D89" s="1">
        <f>D202-C202</f>
        <v>-22</v>
      </c>
      <c r="E89" s="1">
        <f>E202-D202</f>
        <v>-1</v>
      </c>
      <c r="F89" s="1">
        <f>F202-E202</f>
        <v>-1</v>
      </c>
      <c r="G89" s="1">
        <f>SUM(C89:F89)</f>
        <v>-113</v>
      </c>
      <c r="H89" s="1">
        <f>H202</f>
        <v>-76</v>
      </c>
      <c r="I89" s="1">
        <f>I202-H202</f>
        <v>-19</v>
      </c>
      <c r="J89" s="16">
        <f>E89</f>
        <v>-1</v>
      </c>
      <c r="K89" s="4" t="s">
        <v>400</v>
      </c>
      <c r="L89" s="3"/>
      <c r="M89" s="3"/>
    </row>
    <row r="90">
      <c r="A90" s="3"/>
      <c r="B90" s="49" t="s">
        <v>77</v>
      </c>
      <c r="C90" s="7" t="s">
        <v>44</v>
      </c>
      <c r="D90" s="7" t="s">
        <v>44</v>
      </c>
      <c r="E90" s="7" t="s">
        <v>44</v>
      </c>
      <c r="F90" s="7" t="s">
        <v>44</v>
      </c>
      <c r="G90" s="7" t="s">
        <v>44</v>
      </c>
      <c r="H90" s="7" t="str">
        <f>IFERROR(IF(OR(H89&lt;0,C89&lt;0),"n.m.",H89/C89-1),"n/a")</f>
        <v>n.m.</v>
      </c>
      <c r="I90" s="7" t="str">
        <f>IFERROR(IF(OR(I89&lt;0,D89&lt;0),"n.m.",I89/D89-1),"n/a")</f>
        <v>n.m.</v>
      </c>
      <c r="J90" s="25" t="str">
        <f>IFERROR(IF(OR(J89&lt;0,E89&lt;0),"n.m.",J89/E89-1),"n/a")</f>
        <v>n.m.</v>
      </c>
      <c r="K90" s="4"/>
      <c r="L90" s="3"/>
      <c r="M90" s="3"/>
    </row>
    <row r="91">
      <c r="A91" s="3"/>
      <c r="B91" s="63" t="s">
        <v>94</v>
      </c>
      <c r="C91" s="1" t="s">
        <v>44</v>
      </c>
      <c r="D91" s="1">
        <f>IFERROR(D89-C89,"n/a")</f>
        <v>67</v>
      </c>
      <c r="E91" s="1">
        <f>IFERROR(E89-D89,"n/a")</f>
        <v>21</v>
      </c>
      <c r="F91" s="1">
        <f>IFERROR(F89-E89,"n/a")</f>
        <v>0</v>
      </c>
      <c r="G91" s="1" t="s">
        <v>44</v>
      </c>
      <c r="H91" s="1">
        <f>IFERROR(H89-F89,"n/a")</f>
        <v>-75</v>
      </c>
      <c r="I91" s="1">
        <f>IFERROR(I89-H89,"n/a")</f>
        <v>57</v>
      </c>
      <c r="J91" s="16">
        <f>IFERROR(J89-I89,"n/a")</f>
        <v>18</v>
      </c>
      <c r="K91" s="4"/>
      <c r="L91" s="3"/>
      <c r="M91" s="3"/>
    </row>
    <row r="92">
      <c r="A92" s="3"/>
      <c r="B92" s="29" t="s">
        <v>438</v>
      </c>
      <c r="C92" s="1">
        <f>C203</f>
        <v>-2</v>
      </c>
      <c r="D92" s="1">
        <f>D203-C203</f>
        <v>-15</v>
      </c>
      <c r="E92" s="1">
        <f>E203-D203</f>
        <v>-1</v>
      </c>
      <c r="F92" s="1">
        <f>F203-E203</f>
        <v>-55</v>
      </c>
      <c r="G92" s="1">
        <f>SUM(C92:F92)</f>
        <v>-73</v>
      </c>
      <c r="H92" s="1">
        <f>H203</f>
        <v>-1</v>
      </c>
      <c r="I92" s="1">
        <f>I203-H203</f>
        <v>-1</v>
      </c>
      <c r="J92" s="16">
        <f>E92</f>
        <v>-1</v>
      </c>
      <c r="K92" s="4" t="s">
        <v>400</v>
      </c>
      <c r="L92" s="3"/>
      <c r="M92" s="3"/>
    </row>
    <row r="93">
      <c r="A93" s="3"/>
      <c r="B93" s="49" t="s">
        <v>77</v>
      </c>
      <c r="C93" s="7" t="s">
        <v>44</v>
      </c>
      <c r="D93" s="7" t="s">
        <v>44</v>
      </c>
      <c r="E93" s="7" t="s">
        <v>44</v>
      </c>
      <c r="F93" s="7" t="s">
        <v>44</v>
      </c>
      <c r="G93" s="7" t="s">
        <v>44</v>
      </c>
      <c r="H93" s="7" t="str">
        <f>IFERROR(IF(OR(H92&lt;0,C92&lt;0),"n.m.",H92/C92-1),"n/a")</f>
        <v>n.m.</v>
      </c>
      <c r="I93" s="7" t="str">
        <f>IFERROR(IF(OR(I92&lt;0,D92&lt;0),"n.m.",I92/D92-1),"n/a")</f>
        <v>n.m.</v>
      </c>
      <c r="J93" s="25" t="str">
        <f>IFERROR(IF(OR(J92&lt;0,E92&lt;0),"n.m.",J92/E92-1),"n/a")</f>
        <v>n.m.</v>
      </c>
      <c r="K93" s="4"/>
      <c r="L93" s="3"/>
      <c r="M93" s="3"/>
    </row>
    <row r="94">
      <c r="A94" s="3"/>
      <c r="B94" s="63" t="s">
        <v>94</v>
      </c>
      <c r="C94" s="1" t="s">
        <v>44</v>
      </c>
      <c r="D94" s="1">
        <f>IFERROR(D92-C92,"n/a")</f>
        <v>-13</v>
      </c>
      <c r="E94" s="1">
        <f>IFERROR(E92-D92,"n/a")</f>
        <v>14</v>
      </c>
      <c r="F94" s="1">
        <f>IFERROR(F92-E92,"n/a")</f>
        <v>-54</v>
      </c>
      <c r="G94" s="1" t="s">
        <v>44</v>
      </c>
      <c r="H94" s="1">
        <f>IFERROR(H92-F92,"n/a")</f>
        <v>54</v>
      </c>
      <c r="I94" s="1">
        <f>IFERROR(I92-H92,"n/a")</f>
        <v>0</v>
      </c>
      <c r="J94" s="16">
        <f>IFERROR(J92-I92,"n/a")</f>
        <v>0</v>
      </c>
      <c r="K94" s="4"/>
      <c r="L94" s="3"/>
      <c r="M94" s="3"/>
    </row>
    <row r="95">
      <c r="A95" s="3"/>
      <c r="B95" s="15" t="s">
        <v>439</v>
      </c>
      <c r="C95" s="21">
        <f>C79+C80+C81+C82+C83+C84+C85+C86+C89+C92</f>
        <v>1768</v>
      </c>
      <c r="D95" s="21">
        <f>D79+D80+D81+D82+D83+D84+D85+D86+D89+D92</f>
        <v>100</v>
      </c>
      <c r="E95" s="21">
        <f>E79+E80+E81+E82+E83+E84+E85+E86+E89+E92</f>
        <v>-2876</v>
      </c>
      <c r="F95" s="21">
        <f>F79+F80+F81+F82+F83+F84+F85+F86+F89+F92</f>
        <v>-3971</v>
      </c>
      <c r="G95" s="21">
        <f>G79+G80+G81+G82+G83+G84+G85+G86+G89+G92</f>
        <v>-4979</v>
      </c>
      <c r="H95" s="21">
        <f>H79+H80+H81+H82+H83+H84+H85+H86+H89+H92</f>
        <v>1662</v>
      </c>
      <c r="I95" s="21">
        <f>I79+I80+I81+I82+I83+I84+I85+I86+I89+I92</f>
        <v>-1792</v>
      </c>
      <c r="J95" s="43">
        <f>J79+J80+J81+J82+J83+J84+J85+J86+J89+J92</f>
        <v>-2265.4371538461537</v>
      </c>
      <c r="K95" s="4"/>
      <c r="L95" s="3"/>
      <c r="M95" s="3"/>
    </row>
    <row r="96">
      <c r="A96" s="3"/>
      <c r="B96" s="29" t="s">
        <v>440</v>
      </c>
      <c r="C96" s="1">
        <f>C204</f>
        <v>203</v>
      </c>
      <c r="D96" s="1">
        <f>D204-C204</f>
        <v>219</v>
      </c>
      <c r="E96" s="1">
        <f>E204-D204</f>
        <v>-27</v>
      </c>
      <c r="F96" s="1">
        <f>F204-E204</f>
        <v>27</v>
      </c>
      <c r="G96" s="1">
        <f>SUM(C96:F96)</f>
        <v>422</v>
      </c>
      <c r="H96" s="1">
        <f>H204</f>
        <v>121</v>
      </c>
      <c r="I96" s="1">
        <f>I204-H204</f>
        <v>135</v>
      </c>
      <c r="J96" s="51">
        <v>0</v>
      </c>
      <c r="K96" s="4" t="s">
        <v>392</v>
      </c>
      <c r="L96" s="3"/>
      <c r="M96" s="3"/>
    </row>
    <row r="97">
      <c r="A97" s="3"/>
      <c r="B97" s="15" t="s">
        <v>441</v>
      </c>
      <c r="C97" s="21">
        <f>C62+C77+C95+C96</f>
        <v>-234</v>
      </c>
      <c r="D97" s="21">
        <f>D62+D77+D95+D96</f>
        <v>-607</v>
      </c>
      <c r="E97" s="21">
        <f>E62+E77+E95+E96</f>
        <v>459</v>
      </c>
      <c r="F97" s="21">
        <f>F62+F77+F95+F96</f>
        <v>1033</v>
      </c>
      <c r="G97" s="21">
        <f>G62+G77+G95+G96</f>
        <v>651</v>
      </c>
      <c r="H97" s="21">
        <f>H62+H77+H95+H96</f>
        <v>1347</v>
      </c>
      <c r="I97" s="21">
        <f>I62+I77+I95+I96</f>
        <v>-248</v>
      </c>
      <c r="J97" s="43">
        <f>J62+J77+J95+J96</f>
        <v>1512.3393770403845</v>
      </c>
      <c r="K97" s="4"/>
      <c r="L97" s="3"/>
      <c r="M97" s="3"/>
    </row>
    <row r="98">
      <c r="A98" s="3"/>
      <c r="B98" s="3" t="s">
        <v>442</v>
      </c>
      <c r="C98" s="1">
        <f>C205</f>
        <v>8553</v>
      </c>
      <c r="D98" s="1">
        <f>C99</f>
        <v>8319</v>
      </c>
      <c r="E98" s="1">
        <f>D99</f>
        <v>7712</v>
      </c>
      <c r="F98" s="1">
        <f>E99</f>
        <v>8171</v>
      </c>
      <c r="G98" s="1">
        <f>C98</f>
        <v>8553</v>
      </c>
      <c r="H98" s="1">
        <f>H205</f>
        <v>9204</v>
      </c>
      <c r="I98" s="1">
        <f>H99</f>
        <v>10551</v>
      </c>
      <c r="J98" s="16">
        <f>I99</f>
        <v>10303</v>
      </c>
      <c r="K98" s="4"/>
      <c r="L98" s="3"/>
      <c r="M98" s="3"/>
    </row>
    <row r="99">
      <c r="A99" s="3"/>
      <c r="B99" s="15" t="s">
        <v>443</v>
      </c>
      <c r="C99" s="21">
        <f>C98+C97</f>
        <v>8319</v>
      </c>
      <c r="D99" s="21">
        <f>D98+D97</f>
        <v>7712</v>
      </c>
      <c r="E99" s="21">
        <f>E98+E97</f>
        <v>8171</v>
      </c>
      <c r="F99" s="21">
        <f>F98+F97</f>
        <v>9204</v>
      </c>
      <c r="G99" s="21">
        <f>G98+G97</f>
        <v>9204</v>
      </c>
      <c r="H99" s="21">
        <f>H98+H97</f>
        <v>10551</v>
      </c>
      <c r="I99" s="21">
        <f>I98+I97</f>
        <v>10303</v>
      </c>
      <c r="J99" s="43">
        <f>J98+J97</f>
        <v>11815.339377040385</v>
      </c>
      <c r="K99" s="4"/>
      <c r="L99" s="3"/>
      <c r="M99" s="3"/>
    </row>
    <row r="100">
      <c r="A100" s="3"/>
      <c r="B100" s="3" t="s">
        <v>444</v>
      </c>
      <c r="C100" s="1">
        <f>C206</f>
        <v>8319</v>
      </c>
      <c r="D100" s="1">
        <f>D206</f>
        <v>7712</v>
      </c>
      <c r="E100" s="1">
        <f>E206</f>
        <v>8171</v>
      </c>
      <c r="F100" s="1">
        <f>F206</f>
        <v>9204</v>
      </c>
      <c r="G100" s="1">
        <f>F206</f>
        <v>9204</v>
      </c>
      <c r="H100" s="1">
        <f>H206</f>
        <v>10551</v>
      </c>
      <c r="I100" s="1">
        <f>I206</f>
        <v>10303</v>
      </c>
      <c r="J100" s="16" t="s">
        <v>44</v>
      </c>
      <c r="K100" s="4"/>
      <c r="L100" s="3"/>
      <c r="M100" s="3"/>
    </row>
    <row r="101">
      <c r="A101" s="3"/>
      <c r="B101" s="12" t="s">
        <v>445</v>
      </c>
      <c r="C101" s="52">
        <f>C99-C100</f>
        <v>0</v>
      </c>
      <c r="D101" s="52">
        <f>D99-D100</f>
        <v>0</v>
      </c>
      <c r="E101" s="52">
        <f>E99-E100</f>
        <v>0</v>
      </c>
      <c r="F101" s="52">
        <f>F99-F100</f>
        <v>0</v>
      </c>
      <c r="G101" s="52">
        <f>G99-G100</f>
        <v>0</v>
      </c>
      <c r="H101" s="52">
        <f>H99-H100</f>
        <v>0</v>
      </c>
      <c r="I101" s="52">
        <f>I99-I100</f>
        <v>0</v>
      </c>
      <c r="J101" s="62" t="s">
        <v>44</v>
      </c>
      <c r="K101" s="4"/>
      <c r="L101" s="3"/>
      <c r="M101" s="3"/>
    </row>
    <row r="102">
      <c r="A102" s="3"/>
      <c r="B102" s="15" t="s">
        <v>446</v>
      </c>
      <c r="C102" s="21">
        <f>C62+C64+C67</f>
        <v>-1444</v>
      </c>
      <c r="D102" s="21">
        <f>D62+D64+D67</f>
        <v>1102</v>
      </c>
      <c r="E102" s="21">
        <f>E62+E64+E67</f>
        <v>3583</v>
      </c>
      <c r="F102" s="21">
        <f>F62+F64+F67</f>
        <v>4959</v>
      </c>
      <c r="G102" s="21">
        <f>G62+G64+G67</f>
        <v>8200</v>
      </c>
      <c r="H102" s="21">
        <f>H62+H64+H67</f>
        <v>-393</v>
      </c>
      <c r="I102" s="21">
        <f>I62+I64+I67</f>
        <v>1563</v>
      </c>
      <c r="J102" s="43">
        <f>J62+J64+J67</f>
        <v>3777.7765308865382</v>
      </c>
      <c r="K102" s="4"/>
      <c r="L102" s="3"/>
      <c r="M102" s="3"/>
    </row>
    <row r="103">
      <c r="A103" s="3"/>
      <c r="B103" s="56" t="s">
        <v>77</v>
      </c>
      <c r="C103" s="7" t="s">
        <v>44</v>
      </c>
      <c r="D103" s="7" t="s">
        <v>44</v>
      </c>
      <c r="E103" s="7" t="s">
        <v>44</v>
      </c>
      <c r="F103" s="7" t="s">
        <v>44</v>
      </c>
      <c r="G103" s="7" t="s">
        <v>44</v>
      </c>
      <c r="H103" s="7" t="str">
        <f>IFERROR(IF(OR(H102&lt;0,C102&lt;0),"n.m.",H102/C102-1),"n/a")</f>
        <v>n.m.</v>
      </c>
      <c r="I103" s="7">
        <f>IFERROR(IF(OR(I102&lt;0,D102&lt;0),"n.m.",I102/D102-1),"n/a")</f>
        <v>0.41833030852994546</v>
      </c>
      <c r="J103" s="25">
        <f>IFERROR(IF(OR(J102&lt;0,E102&lt;0),"n.m.",J102/E102-1),"n/a")</f>
        <v>0.054361298042572725</v>
      </c>
      <c r="K103" s="4"/>
      <c r="L103" s="3"/>
      <c r="M103" s="3"/>
    </row>
    <row r="104">
      <c r="A104" s="3"/>
      <c r="B104" s="3"/>
      <c r="C104" s="1"/>
      <c r="D104" s="1"/>
      <c r="E104" s="1"/>
      <c r="F104" s="1"/>
      <c r="G104" s="1"/>
      <c r="H104" s="1"/>
      <c r="I104" s="1"/>
      <c r="J104" s="16"/>
      <c r="K104" s="4"/>
      <c r="L104" s="3"/>
      <c r="M104" s="3"/>
    </row>
    <row r="105">
      <c r="A105" s="3"/>
      <c r="B105" s="15" t="s">
        <v>447</v>
      </c>
      <c r="C105" s="5"/>
      <c r="D105" s="5"/>
      <c r="E105" s="5"/>
      <c r="F105" s="5"/>
      <c r="G105" s="5"/>
      <c r="H105" s="5"/>
      <c r="I105" s="5"/>
      <c r="J105" s="22"/>
      <c r="K105" s="4"/>
      <c r="L105" s="3"/>
      <c r="M105" s="3"/>
    </row>
    <row r="106">
      <c r="A106" s="3"/>
      <c r="B106" s="3" t="s">
        <v>448</v>
      </c>
      <c r="C106" s="17">
        <f>'Balance Sheet'!C10</f>
        <v>8268</v>
      </c>
      <c r="D106" s="17">
        <f>'Balance Sheet'!D10</f>
        <v>7631</v>
      </c>
      <c r="E106" s="17">
        <f>'Balance Sheet'!E10</f>
        <v>8126</v>
      </c>
      <c r="F106" s="17">
        <f>'Balance Sheet'!F10</f>
        <v>9159</v>
      </c>
      <c r="G106" s="17">
        <f>'Balance Sheet'!G10</f>
        <v>9159</v>
      </c>
      <c r="H106" s="17">
        <f>'Balance Sheet'!H10</f>
        <v>10475</v>
      </c>
      <c r="I106" s="17">
        <f>'Balance Sheet'!I10</f>
        <v>10251</v>
      </c>
      <c r="J106" s="64">
        <f>'Balance Sheet'!J10</f>
        <v>11763.339377040385</v>
      </c>
      <c r="K106" s="4"/>
      <c r="L106" s="3"/>
      <c r="M106" s="3"/>
    </row>
    <row r="107">
      <c r="A107" s="3"/>
      <c r="B107" s="29" t="s">
        <v>449</v>
      </c>
      <c r="C107" s="1">
        <f>C99-C106</f>
        <v>51</v>
      </c>
      <c r="D107" s="1">
        <f>D99-D106</f>
        <v>81</v>
      </c>
      <c r="E107" s="1">
        <f>E99-E106</f>
        <v>45</v>
      </c>
      <c r="F107" s="1">
        <f>F99-F106</f>
        <v>45</v>
      </c>
      <c r="G107" s="1">
        <f>G99-G106</f>
        <v>45</v>
      </c>
      <c r="H107" s="1">
        <f>H99-H106</f>
        <v>76</v>
      </c>
      <c r="I107" s="1">
        <f>I99-I106</f>
        <v>52</v>
      </c>
      <c r="J107" s="16">
        <f>J99-J106</f>
        <v>52</v>
      </c>
      <c r="K107" s="4" t="s">
        <v>450</v>
      </c>
      <c r="L107" s="3"/>
      <c r="M107" s="3"/>
    </row>
    <row r="108">
      <c r="A108" s="3"/>
      <c r="B108" s="12" t="s">
        <v>451</v>
      </c>
      <c r="C108" s="52" t="s">
        <v>44</v>
      </c>
      <c r="D108" s="52">
        <f>D97-((D106+D107)-(C106+C107))</f>
        <v>0</v>
      </c>
      <c r="E108" s="52">
        <f>E97-((E106+E107)-(D106+D107))</f>
        <v>0</v>
      </c>
      <c r="F108" s="52">
        <f>F97-((F106+F107)-(E106+E107))</f>
        <v>0</v>
      </c>
      <c r="G108" s="52" t="s">
        <v>44</v>
      </c>
      <c r="H108" s="52">
        <f>H97-((H106+H107)-(F106+F107))</f>
        <v>0</v>
      </c>
      <c r="I108" s="52">
        <f>I97-((I106+I107)-(H106+H107))</f>
        <v>0</v>
      </c>
      <c r="J108" s="62">
        <f>J97-((J106+J107)-(I106+I107))</f>
        <v>0</v>
      </c>
      <c r="K108" s="4" t="s">
        <v>452</v>
      </c>
      <c r="L108" s="3"/>
      <c r="M108" s="3"/>
    </row>
    <row r="109">
      <c r="A109" s="3"/>
      <c r="B109" s="29" t="s">
        <v>453</v>
      </c>
      <c r="C109" s="19">
        <v>250</v>
      </c>
      <c r="D109" s="1"/>
      <c r="E109" s="1"/>
      <c r="F109" s="1"/>
      <c r="G109" s="1"/>
      <c r="H109" s="1"/>
      <c r="I109" s="1"/>
      <c r="J109" s="16"/>
      <c r="K109" s="4" t="s">
        <v>454</v>
      </c>
      <c r="L109" s="3"/>
      <c r="M109" s="3"/>
    </row>
    <row r="110">
      <c r="A110" s="3"/>
      <c r="B110" s="12" t="s">
        <v>455</v>
      </c>
      <c r="C110" s="92">
        <f>IF(ABS(C107)&lt;=$C$109,0,1)</f>
        <v>0</v>
      </c>
      <c r="D110" s="92">
        <f>IF(ABS(D107)&lt;=$C$109,0,1)</f>
        <v>0</v>
      </c>
      <c r="E110" s="92">
        <f>IF(ABS(E107)&lt;=$C$109,0,1)</f>
        <v>0</v>
      </c>
      <c r="F110" s="92">
        <f>IF(ABS(F107)&lt;=$C$109,0,1)</f>
        <v>0</v>
      </c>
      <c r="G110" s="92">
        <f>IF(ABS(G107)&lt;=$C$109,0,1)</f>
        <v>0</v>
      </c>
      <c r="H110" s="92">
        <f>IF(ABS(H107)&lt;=$C$109,0,1)</f>
        <v>0</v>
      </c>
      <c r="I110" s="92">
        <f>IF(ABS(I107)&lt;=$C$109,0,1)</f>
        <v>0</v>
      </c>
      <c r="J110" s="93">
        <f>IF(ABS(J107)&lt;=$C$109,0,1)</f>
        <v>0</v>
      </c>
      <c r="K110" s="4" t="s">
        <v>456</v>
      </c>
      <c r="L110" s="3"/>
      <c r="M110" s="3"/>
    </row>
    <row r="111">
      <c r="A111" s="3"/>
      <c r="B111" s="3"/>
      <c r="C111" s="1"/>
      <c r="D111" s="1"/>
      <c r="E111" s="1"/>
      <c r="F111" s="1"/>
      <c r="G111" s="1"/>
      <c r="H111" s="1"/>
      <c r="I111" s="1"/>
      <c r="J111" s="16"/>
      <c r="K111" s="4"/>
      <c r="L111" s="3"/>
      <c r="M111" s="3"/>
    </row>
    <row r="112">
      <c r="A112" s="3"/>
      <c r="B112" s="15" t="s">
        <v>457</v>
      </c>
      <c r="C112" s="5"/>
      <c r="D112" s="5"/>
      <c r="E112" s="5"/>
      <c r="F112" s="5"/>
      <c r="G112" s="5"/>
      <c r="H112" s="5"/>
      <c r="I112" s="5"/>
      <c r="J112" s="22"/>
      <c r="K112" s="4"/>
      <c r="L112" s="3"/>
      <c r="M112" s="3"/>
    </row>
    <row r="113">
      <c r="A113" s="3"/>
      <c r="B113" s="29" t="s">
        <v>458</v>
      </c>
      <c r="C113" s="19">
        <v>195</v>
      </c>
      <c r="D113" s="19">
        <v>230</v>
      </c>
      <c r="E113" s="19">
        <v>220</v>
      </c>
      <c r="F113" s="1">
        <f>G113-C113-D113-E113</f>
        <v>406</v>
      </c>
      <c r="G113" s="19">
        <v>1051</v>
      </c>
      <c r="H113" s="19">
        <v>110</v>
      </c>
      <c r="I113" s="19">
        <v>211</v>
      </c>
      <c r="J113" s="16">
        <f>E113</f>
        <v>220</v>
      </c>
      <c r="K113" s="4" t="s">
        <v>459</v>
      </c>
      <c r="L113" s="3"/>
      <c r="M113" s="3"/>
    </row>
    <row r="114">
      <c r="A114" s="3"/>
      <c r="B114" s="49" t="s">
        <v>77</v>
      </c>
      <c r="C114" s="7" t="s">
        <v>44</v>
      </c>
      <c r="D114" s="7" t="s">
        <v>44</v>
      </c>
      <c r="E114" s="7" t="s">
        <v>44</v>
      </c>
      <c r="F114" s="7" t="s">
        <v>44</v>
      </c>
      <c r="G114" s="7" t="s">
        <v>44</v>
      </c>
      <c r="H114" s="7">
        <f>IFERROR(IF(OR(H113&lt;0,C113&lt;0),"n.m.",H113/C113-1),"n/a")</f>
        <v>-0.4358974358974359</v>
      </c>
      <c r="I114" s="7">
        <f>IFERROR(IF(OR(I113&lt;0,D113&lt;0),"n.m.",I113/D113-1),"n/a")</f>
        <v>-0.08260869565217388</v>
      </c>
      <c r="J114" s="25">
        <f>IFERROR(IF(OR(J113&lt;0,E113&lt;0),"n.m.",J113/E113-1),"n/a")</f>
        <v>0</v>
      </c>
      <c r="K114" s="4"/>
      <c r="L114" s="3"/>
      <c r="M114" s="3"/>
    </row>
    <row r="115">
      <c r="A115" s="3"/>
      <c r="B115" s="63" t="s">
        <v>94</v>
      </c>
      <c r="C115" s="1" t="s">
        <v>44</v>
      </c>
      <c r="D115" s="1">
        <f>IFERROR(D113-C113,"n/a")</f>
        <v>35</v>
      </c>
      <c r="E115" s="1">
        <f>IFERROR(E113-D113,"n/a")</f>
        <v>-10</v>
      </c>
      <c r="F115" s="1">
        <f>IFERROR(F113-E113,"n/a")</f>
        <v>186</v>
      </c>
      <c r="G115" s="1" t="s">
        <v>44</v>
      </c>
      <c r="H115" s="1">
        <f>IFERROR(H113-F113,"n/a")</f>
        <v>-296</v>
      </c>
      <c r="I115" s="1">
        <f>IFERROR(I113-H113,"n/a")</f>
        <v>101</v>
      </c>
      <c r="J115" s="16">
        <f>IFERROR(J113-I113,"n/a")</f>
        <v>9</v>
      </c>
      <c r="K115" s="4"/>
      <c r="L115" s="3"/>
      <c r="M115" s="3"/>
    </row>
    <row r="116">
      <c r="A116" s="3"/>
      <c r="B116" s="29" t="s">
        <v>460</v>
      </c>
      <c r="C116" s="19">
        <v>248</v>
      </c>
      <c r="D116" s="19">
        <v>283</v>
      </c>
      <c r="E116" s="19">
        <v>278</v>
      </c>
      <c r="F116" s="1">
        <f>G116-C116-D116-E116</f>
        <v>535</v>
      </c>
      <c r="G116" s="19">
        <v>1344</v>
      </c>
      <c r="H116" s="19">
        <v>183</v>
      </c>
      <c r="I116" s="19">
        <v>261</v>
      </c>
      <c r="J116" s="16">
        <f>E116</f>
        <v>278</v>
      </c>
      <c r="K116" s="4" t="s">
        <v>461</v>
      </c>
      <c r="L116" s="3"/>
      <c r="M116" s="3"/>
    </row>
    <row r="117">
      <c r="A117" s="3"/>
      <c r="B117" s="49" t="s">
        <v>77</v>
      </c>
      <c r="C117" s="7" t="s">
        <v>44</v>
      </c>
      <c r="D117" s="7" t="s">
        <v>44</v>
      </c>
      <c r="E117" s="7" t="s">
        <v>44</v>
      </c>
      <c r="F117" s="7" t="s">
        <v>44</v>
      </c>
      <c r="G117" s="7" t="s">
        <v>44</v>
      </c>
      <c r="H117" s="7">
        <f>IFERROR(IF(OR(H116&lt;0,C116&lt;0),"n.m.",H116/C116-1),"n/a")</f>
        <v>-0.2620967741935484</v>
      </c>
      <c r="I117" s="7">
        <f>IFERROR(IF(OR(I116&lt;0,D116&lt;0),"n.m.",I116/D116-1),"n/a")</f>
        <v>-0.07773851590106007</v>
      </c>
      <c r="J117" s="25">
        <f>IFERROR(IF(OR(J116&lt;0,E116&lt;0),"n.m.",J116/E116-1),"n/a")</f>
        <v>0</v>
      </c>
      <c r="K117" s="4"/>
      <c r="L117" s="3"/>
      <c r="M117" s="3"/>
    </row>
    <row r="118">
      <c r="A118" s="3"/>
      <c r="B118" s="63" t="s">
        <v>94</v>
      </c>
      <c r="C118" s="1" t="s">
        <v>44</v>
      </c>
      <c r="D118" s="1">
        <f>IFERROR(D116-C116,"n/a")</f>
        <v>35</v>
      </c>
      <c r="E118" s="1">
        <f>IFERROR(E116-D116,"n/a")</f>
        <v>-5</v>
      </c>
      <c r="F118" s="1">
        <f>IFERROR(F116-E116,"n/a")</f>
        <v>257</v>
      </c>
      <c r="G118" s="1" t="s">
        <v>44</v>
      </c>
      <c r="H118" s="1">
        <f>IFERROR(H116-F116,"n/a")</f>
        <v>-352</v>
      </c>
      <c r="I118" s="1">
        <f>IFERROR(I116-H116,"n/a")</f>
        <v>78</v>
      </c>
      <c r="J118" s="16">
        <f>IFERROR(J116-I116,"n/a")</f>
        <v>17</v>
      </c>
      <c r="K118" s="4"/>
      <c r="L118" s="3"/>
      <c r="M118" s="3"/>
    </row>
    <row r="119">
      <c r="A119" s="3"/>
      <c r="B119" s="29" t="s">
        <v>462</v>
      </c>
      <c r="C119" s="19">
        <v>16</v>
      </c>
      <c r="D119" s="19">
        <v>30</v>
      </c>
      <c r="E119" s="19">
        <v>31</v>
      </c>
      <c r="F119" s="1">
        <f>G119-C119-D119-E119</f>
        <v>47</v>
      </c>
      <c r="G119" s="19">
        <v>124</v>
      </c>
      <c r="H119" s="19">
        <v>9</v>
      </c>
      <c r="I119" s="19">
        <v>20</v>
      </c>
      <c r="J119" s="16">
        <f>E119</f>
        <v>31</v>
      </c>
      <c r="K119" s="4" t="s">
        <v>461</v>
      </c>
      <c r="L119" s="3"/>
      <c r="M119" s="3"/>
    </row>
    <row r="120">
      <c r="A120" s="3"/>
      <c r="B120" s="49" t="s">
        <v>77</v>
      </c>
      <c r="C120" s="7" t="s">
        <v>44</v>
      </c>
      <c r="D120" s="7" t="s">
        <v>44</v>
      </c>
      <c r="E120" s="7" t="s">
        <v>44</v>
      </c>
      <c r="F120" s="7" t="s">
        <v>44</v>
      </c>
      <c r="G120" s="7" t="s">
        <v>44</v>
      </c>
      <c r="H120" s="7">
        <f>IFERROR(IF(OR(H119&lt;0,C119&lt;0),"n.m.",H119/C119-1),"n/a")</f>
        <v>-0.4375</v>
      </c>
      <c r="I120" s="7">
        <f>IFERROR(IF(OR(I119&lt;0,D119&lt;0),"n.m.",I119/D119-1),"n/a")</f>
        <v>-0.33333333333333337</v>
      </c>
      <c r="J120" s="25">
        <f>IFERROR(IF(OR(J119&lt;0,E119&lt;0),"n.m.",J119/E119-1),"n/a")</f>
        <v>0</v>
      </c>
      <c r="K120" s="4"/>
      <c r="L120" s="3"/>
      <c r="M120" s="3"/>
    </row>
    <row r="121">
      <c r="A121" s="3"/>
      <c r="B121" s="63" t="s">
        <v>94</v>
      </c>
      <c r="C121" s="1" t="s">
        <v>44</v>
      </c>
      <c r="D121" s="1">
        <f>IFERROR(D119-C119,"n/a")</f>
        <v>14</v>
      </c>
      <c r="E121" s="1">
        <f>IFERROR(E119-D119,"n/a")</f>
        <v>1</v>
      </c>
      <c r="F121" s="1">
        <f>IFERROR(F119-E119,"n/a")</f>
        <v>16</v>
      </c>
      <c r="G121" s="1" t="s">
        <v>44</v>
      </c>
      <c r="H121" s="1">
        <f>IFERROR(H119-F119,"n/a")</f>
        <v>-38</v>
      </c>
      <c r="I121" s="1">
        <f>IFERROR(I119-H119,"n/a")</f>
        <v>11</v>
      </c>
      <c r="J121" s="16">
        <f>IFERROR(J119-I119,"n/a")</f>
        <v>11</v>
      </c>
      <c r="K121" s="4"/>
      <c r="L121" s="3"/>
      <c r="M121" s="3"/>
    </row>
    <row r="122">
      <c r="A122" s="3"/>
      <c r="B122" s="29" t="s">
        <v>463</v>
      </c>
      <c r="C122" s="19">
        <v>50</v>
      </c>
      <c r="D122" s="19">
        <v>137</v>
      </c>
      <c r="E122" s="19">
        <v>167</v>
      </c>
      <c r="F122" s="1">
        <f>G122-C122-D122-E122</f>
        <v>390</v>
      </c>
      <c r="G122" s="19">
        <v>744</v>
      </c>
      <c r="H122" s="19">
        <v>66</v>
      </c>
      <c r="I122" s="19">
        <v>151</v>
      </c>
      <c r="J122" s="16">
        <f>E122</f>
        <v>167</v>
      </c>
      <c r="K122" s="4" t="s">
        <v>461</v>
      </c>
      <c r="L122" s="3"/>
      <c r="M122" s="3"/>
    </row>
    <row r="123">
      <c r="A123" s="3"/>
      <c r="B123" s="49" t="s">
        <v>77</v>
      </c>
      <c r="C123" s="7" t="s">
        <v>44</v>
      </c>
      <c r="D123" s="7" t="s">
        <v>44</v>
      </c>
      <c r="E123" s="7" t="s">
        <v>44</v>
      </c>
      <c r="F123" s="7" t="s">
        <v>44</v>
      </c>
      <c r="G123" s="7" t="s">
        <v>44</v>
      </c>
      <c r="H123" s="7">
        <f>IFERROR(IF(OR(H122&lt;0,C122&lt;0),"n.m.",H122/C122-1),"n/a")</f>
        <v>0.32000000000000006</v>
      </c>
      <c r="I123" s="7">
        <f>IFERROR(IF(OR(I122&lt;0,D122&lt;0),"n.m.",I122/D122-1),"n/a")</f>
        <v>0.10218978102189791</v>
      </c>
      <c r="J123" s="25">
        <f>IFERROR(IF(OR(J122&lt;0,E122&lt;0),"n.m.",J122/E122-1),"n/a")</f>
        <v>0</v>
      </c>
      <c r="K123" s="4"/>
      <c r="L123" s="3"/>
      <c r="M123" s="3"/>
    </row>
    <row r="124">
      <c r="A124" s="3"/>
      <c r="B124" s="63" t="s">
        <v>94</v>
      </c>
      <c r="C124" s="1" t="s">
        <v>44</v>
      </c>
      <c r="D124" s="1">
        <f>IFERROR(D122-C122,"n/a")</f>
        <v>87</v>
      </c>
      <c r="E124" s="1">
        <f>IFERROR(E122-D122,"n/a")</f>
        <v>30</v>
      </c>
      <c r="F124" s="1">
        <f>IFERROR(F122-E122,"n/a")</f>
        <v>223</v>
      </c>
      <c r="G124" s="1" t="s">
        <v>44</v>
      </c>
      <c r="H124" s="1">
        <f>IFERROR(H122-F122,"n/a")</f>
        <v>-324</v>
      </c>
      <c r="I124" s="1">
        <f>IFERROR(I122-H122,"n/a")</f>
        <v>85</v>
      </c>
      <c r="J124" s="16">
        <f>IFERROR(J122-I122,"n/a")</f>
        <v>16</v>
      </c>
      <c r="K124" s="4"/>
      <c r="L124" s="3"/>
      <c r="M124" s="3"/>
    </row>
    <row r="125">
      <c r="A125" s="3"/>
      <c r="B125" s="29" t="s">
        <v>464</v>
      </c>
      <c r="C125" s="19">
        <v>46</v>
      </c>
      <c r="D125" s="19">
        <v>115</v>
      </c>
      <c r="E125" s="19">
        <v>178</v>
      </c>
      <c r="F125" s="1">
        <f>G125-C125-D125-E125</f>
        <v>333</v>
      </c>
      <c r="G125" s="19">
        <v>672</v>
      </c>
      <c r="H125" s="19">
        <v>41</v>
      </c>
      <c r="I125" s="19">
        <v>107</v>
      </c>
      <c r="J125" s="16">
        <f>E125</f>
        <v>178</v>
      </c>
      <c r="K125" s="4" t="s">
        <v>461</v>
      </c>
      <c r="L125" s="3"/>
      <c r="M125" s="3"/>
    </row>
    <row r="126">
      <c r="A126" s="3"/>
      <c r="B126" s="49" t="s">
        <v>77</v>
      </c>
      <c r="C126" s="7" t="s">
        <v>44</v>
      </c>
      <c r="D126" s="7" t="s">
        <v>44</v>
      </c>
      <c r="E126" s="7" t="s">
        <v>44</v>
      </c>
      <c r="F126" s="7" t="s">
        <v>44</v>
      </c>
      <c r="G126" s="7" t="s">
        <v>44</v>
      </c>
      <c r="H126" s="7">
        <f>IFERROR(IF(OR(H125&lt;0,C125&lt;0),"n.m.",H125/C125-1),"n/a")</f>
        <v>-0.10869565217391308</v>
      </c>
      <c r="I126" s="7">
        <f>IFERROR(IF(OR(I125&lt;0,D125&lt;0),"n.m.",I125/D125-1),"n/a")</f>
        <v>-0.06956521739130439</v>
      </c>
      <c r="J126" s="25">
        <f>IFERROR(IF(OR(J125&lt;0,E125&lt;0),"n.m.",J125/E125-1),"n/a")</f>
        <v>0</v>
      </c>
      <c r="K126" s="4"/>
      <c r="L126" s="3"/>
      <c r="M126" s="3"/>
    </row>
    <row r="127">
      <c r="A127" s="3"/>
      <c r="B127" s="63" t="s">
        <v>94</v>
      </c>
      <c r="C127" s="1" t="s">
        <v>44</v>
      </c>
      <c r="D127" s="1">
        <f>IFERROR(D125-C125,"n/a")</f>
        <v>69</v>
      </c>
      <c r="E127" s="1">
        <f>IFERROR(E125-D125,"n/a")</f>
        <v>63</v>
      </c>
      <c r="F127" s="1">
        <f>IFERROR(F125-E125,"n/a")</f>
        <v>155</v>
      </c>
      <c r="G127" s="1" t="s">
        <v>44</v>
      </c>
      <c r="H127" s="1">
        <f>IFERROR(H125-F125,"n/a")</f>
        <v>-292</v>
      </c>
      <c r="I127" s="1">
        <f>IFERROR(I125-H125,"n/a")</f>
        <v>66</v>
      </c>
      <c r="J127" s="16">
        <f>IFERROR(J125-I125,"n/a")</f>
        <v>71</v>
      </c>
      <c r="K127" s="4"/>
      <c r="L127" s="3"/>
      <c r="M127" s="3"/>
    </row>
    <row r="128">
      <c r="A128" s="3"/>
      <c r="B128" s="29" t="s">
        <v>465</v>
      </c>
      <c r="C128" s="19">
        <v>24</v>
      </c>
      <c r="D128" s="19">
        <v>68</v>
      </c>
      <c r="E128" s="19">
        <v>60</v>
      </c>
      <c r="F128" s="1">
        <f>G128-C128-D128-E128</f>
        <v>105</v>
      </c>
      <c r="G128" s="19">
        <v>257</v>
      </c>
      <c r="H128" s="19">
        <v>16</v>
      </c>
      <c r="I128" s="19">
        <v>35</v>
      </c>
      <c r="J128" s="16">
        <f>E128</f>
        <v>60</v>
      </c>
      <c r="K128" s="4" t="s">
        <v>461</v>
      </c>
      <c r="L128" s="3"/>
      <c r="M128" s="3"/>
    </row>
    <row r="129">
      <c r="A129" s="3"/>
      <c r="B129" s="49" t="s">
        <v>77</v>
      </c>
      <c r="C129" s="7" t="s">
        <v>44</v>
      </c>
      <c r="D129" s="7" t="s">
        <v>44</v>
      </c>
      <c r="E129" s="7" t="s">
        <v>44</v>
      </c>
      <c r="F129" s="7" t="s">
        <v>44</v>
      </c>
      <c r="G129" s="7" t="s">
        <v>44</v>
      </c>
      <c r="H129" s="7">
        <f>IFERROR(IF(OR(H128&lt;0,C128&lt;0),"n.m.",H128/C128-1),"n/a")</f>
        <v>-0.33333333333333337</v>
      </c>
      <c r="I129" s="7">
        <f>IFERROR(IF(OR(I128&lt;0,D128&lt;0),"n.m.",I128/D128-1),"n/a")</f>
        <v>-0.4852941176470589</v>
      </c>
      <c r="J129" s="25">
        <f>IFERROR(IF(OR(J128&lt;0,E128&lt;0),"n.m.",J128/E128-1),"n/a")</f>
        <v>0</v>
      </c>
      <c r="K129" s="4"/>
      <c r="L129" s="3"/>
      <c r="M129" s="3"/>
    </row>
    <row r="130">
      <c r="A130" s="3"/>
      <c r="B130" s="63" t="s">
        <v>94</v>
      </c>
      <c r="C130" s="1" t="s">
        <v>44</v>
      </c>
      <c r="D130" s="1">
        <f>IFERROR(D128-C128,"n/a")</f>
        <v>44</v>
      </c>
      <c r="E130" s="1">
        <f>IFERROR(E128-D128,"n/a")</f>
        <v>-8</v>
      </c>
      <c r="F130" s="1">
        <f>IFERROR(F128-E128,"n/a")</f>
        <v>45</v>
      </c>
      <c r="G130" s="1" t="s">
        <v>44</v>
      </c>
      <c r="H130" s="1">
        <f>IFERROR(H128-F128,"n/a")</f>
        <v>-89</v>
      </c>
      <c r="I130" s="1">
        <f>IFERROR(I128-H128,"n/a")</f>
        <v>19</v>
      </c>
      <c r="J130" s="16">
        <f>IFERROR(J128-I128,"n/a")</f>
        <v>25</v>
      </c>
      <c r="K130" s="4"/>
      <c r="L130" s="3"/>
      <c r="M130" s="3"/>
    </row>
    <row r="131">
      <c r="A131" s="3"/>
      <c r="B131" s="29" t="s">
        <v>466</v>
      </c>
      <c r="C131" s="19">
        <v>24</v>
      </c>
      <c r="D131" s="19">
        <v>41</v>
      </c>
      <c r="E131" s="19">
        <v>58</v>
      </c>
      <c r="F131" s="1">
        <f>G131-C131-D131-E131</f>
        <v>100</v>
      </c>
      <c r="G131" s="19">
        <v>223</v>
      </c>
      <c r="H131" s="19">
        <v>22</v>
      </c>
      <c r="I131" s="19">
        <v>34</v>
      </c>
      <c r="J131" s="16">
        <f>E131</f>
        <v>58</v>
      </c>
      <c r="K131" s="4" t="s">
        <v>461</v>
      </c>
      <c r="L131" s="3"/>
      <c r="M131" s="3"/>
    </row>
    <row r="132">
      <c r="A132" s="3"/>
      <c r="B132" s="49" t="s">
        <v>77</v>
      </c>
      <c r="C132" s="7" t="s">
        <v>44</v>
      </c>
      <c r="D132" s="7" t="s">
        <v>44</v>
      </c>
      <c r="E132" s="7" t="s">
        <v>44</v>
      </c>
      <c r="F132" s="7" t="s">
        <v>44</v>
      </c>
      <c r="G132" s="7" t="s">
        <v>44</v>
      </c>
      <c r="H132" s="7">
        <f>IFERROR(IF(OR(H131&lt;0,C131&lt;0),"n.m.",H131/C131-1),"n/a")</f>
        <v>-0.08333333333333337</v>
      </c>
      <c r="I132" s="7">
        <f>IFERROR(IF(OR(I131&lt;0,D131&lt;0),"n.m.",I131/D131-1),"n/a")</f>
        <v>-0.1707317073170732</v>
      </c>
      <c r="J132" s="25">
        <f>IFERROR(IF(OR(J131&lt;0,E131&lt;0),"n.m.",J131/E131-1),"n/a")</f>
        <v>0</v>
      </c>
      <c r="K132" s="4"/>
      <c r="L132" s="3"/>
      <c r="M132" s="3"/>
    </row>
    <row r="133">
      <c r="A133" s="3"/>
      <c r="B133" s="63" t="s">
        <v>94</v>
      </c>
      <c r="C133" s="1" t="s">
        <v>44</v>
      </c>
      <c r="D133" s="1">
        <f>IFERROR(D131-C131,"n/a")</f>
        <v>17</v>
      </c>
      <c r="E133" s="1">
        <f>IFERROR(E131-D131,"n/a")</f>
        <v>17</v>
      </c>
      <c r="F133" s="1">
        <f>IFERROR(F131-E131,"n/a")</f>
        <v>42</v>
      </c>
      <c r="G133" s="1" t="s">
        <v>44</v>
      </c>
      <c r="H133" s="1">
        <f>IFERROR(H131-F131,"n/a")</f>
        <v>-78</v>
      </c>
      <c r="I133" s="1">
        <f>IFERROR(I131-H131,"n/a")</f>
        <v>12</v>
      </c>
      <c r="J133" s="16">
        <f>IFERROR(J131-I131,"n/a")</f>
        <v>24</v>
      </c>
      <c r="K133" s="4"/>
      <c r="L133" s="3"/>
      <c r="M133" s="3"/>
    </row>
    <row r="134">
      <c r="A134" s="3"/>
      <c r="B134" s="15" t="s">
        <v>467</v>
      </c>
      <c r="C134" s="21">
        <f>C113+C116+C119+C122+C125+C128+C131</f>
        <v>603</v>
      </c>
      <c r="D134" s="21">
        <f>D113+D116+D119+D122+D125+D128+D131</f>
        <v>904</v>
      </c>
      <c r="E134" s="21">
        <f>E113+E116+E119+E122+E125+E128+E131</f>
        <v>992</v>
      </c>
      <c r="F134" s="21">
        <f>F113+F116+F119+F122+F125+F128+F131</f>
        <v>1916</v>
      </c>
      <c r="G134" s="21">
        <f>G113+G116+G119+G122+G125+G128+G131</f>
        <v>4415</v>
      </c>
      <c r="H134" s="21">
        <f>H113+H116+H119+H122+H125+H128+H131</f>
        <v>447</v>
      </c>
      <c r="I134" s="21">
        <f>I113+I116+I119+I122+I125+I128+I131</f>
        <v>819</v>
      </c>
      <c r="J134" s="43">
        <f>J113+J116+J119+J122+J125+J128+J131</f>
        <v>992</v>
      </c>
      <c r="K134" s="4"/>
      <c r="L134" s="3"/>
      <c r="M134" s="3"/>
    </row>
    <row r="135">
      <c r="A135" s="3"/>
      <c r="B135" s="12" t="s">
        <v>468</v>
      </c>
      <c r="C135" s="52">
        <f>C134+C64</f>
        <v>0</v>
      </c>
      <c r="D135" s="52">
        <f>D134+D64</f>
        <v>0</v>
      </c>
      <c r="E135" s="52">
        <f>E134+E64</f>
        <v>0</v>
      </c>
      <c r="F135" s="52">
        <f>F134+F64</f>
        <v>0</v>
      </c>
      <c r="G135" s="52">
        <f>G134+G64</f>
        <v>0</v>
      </c>
      <c r="H135" s="52">
        <f>H134+H64</f>
        <v>0</v>
      </c>
      <c r="I135" s="52">
        <f>I134+I64</f>
        <v>0</v>
      </c>
      <c r="J135" s="62">
        <f>J134+J64</f>
        <v>0</v>
      </c>
      <c r="K135" s="4" t="s">
        <v>469</v>
      </c>
      <c r="L135" s="3"/>
      <c r="M135" s="3"/>
    </row>
    <row r="136">
      <c r="A136" s="3"/>
      <c r="B136" s="12" t="s">
        <v>470</v>
      </c>
      <c r="C136" s="36">
        <f>IFERROR(C134/'Income Statement'!C10,"n/a")</f>
        <v>0.03365143144148669</v>
      </c>
      <c r="D136" s="36">
        <f>IFERROR(D134/'Income Statement'!D10,"n/a")</f>
        <v>0.03977822758074452</v>
      </c>
      <c r="E136" s="36">
        <f>IFERROR(E134/'Income Statement'!E10,"n/a")</f>
        <v>0.041442118895433845</v>
      </c>
      <c r="F136" s="36">
        <f>IFERROR(F134/'Income Statement'!F10,"n/a")</f>
        <v>0.06529666359949562</v>
      </c>
      <c r="G136" s="36">
        <f>IFERROR(G134/'Income Statement'!G10,"n/a")</f>
        <v>0.0470055895661432</v>
      </c>
      <c r="H136" s="36">
        <f>IFERROR(H134/'Income Statement'!H10,"n/a")</f>
        <v>0.022990279277889214</v>
      </c>
      <c r="I136" s="36">
        <f>IFERROR(I134/'Income Statement'!I10,"n/a")</f>
        <v>0.03386956701542533</v>
      </c>
      <c r="J136" s="84">
        <f>IFERROR(J134/'Income Statement'!J10,"n/a")</f>
        <v>0.03971092130598411</v>
      </c>
      <c r="K136" s="4" t="s">
        <v>471</v>
      </c>
      <c r="L136" s="3"/>
      <c r="M136" s="3"/>
    </row>
    <row r="137">
      <c r="A137" s="3"/>
      <c r="B137" s="49" t="s">
        <v>109</v>
      </c>
      <c r="C137" s="77" t="s">
        <v>44</v>
      </c>
      <c r="D137" s="77" t="s">
        <v>44</v>
      </c>
      <c r="E137" s="77" t="s">
        <v>44</v>
      </c>
      <c r="F137" s="77" t="s">
        <v>44</v>
      </c>
      <c r="G137" s="77" t="s">
        <v>44</v>
      </c>
      <c r="H137" s="77">
        <f>IFERROR((H136-C136)*10000,"n/a")</f>
        <v>-106.61152163597475</v>
      </c>
      <c r="I137" s="77">
        <f>IFERROR((I136-D136)*10000,"n/a")</f>
        <v>-59.0866056531919</v>
      </c>
      <c r="J137" s="78">
        <f>IFERROR((J136-E136)*10000,"n/a")</f>
        <v>-17.31197589449736</v>
      </c>
      <c r="K137" s="4"/>
      <c r="L137" s="3"/>
      <c r="M137" s="3"/>
    </row>
    <row r="138">
      <c r="A138" s="3"/>
      <c r="B138" s="49" t="s">
        <v>110</v>
      </c>
      <c r="C138" s="77" t="s">
        <v>44</v>
      </c>
      <c r="D138" s="77">
        <f>IFERROR((D136-C136)*10000,"n/a")</f>
        <v>61.267961392578314</v>
      </c>
      <c r="E138" s="77">
        <f>IFERROR((E136-D136)*10000,"n/a")</f>
        <v>16.638913146893238</v>
      </c>
      <c r="F138" s="77">
        <f>IFERROR((F136-E136)*10000,"n/a")</f>
        <v>238.5454470406178</v>
      </c>
      <c r="G138" s="77" t="s">
        <v>44</v>
      </c>
      <c r="H138" s="77">
        <f>IFERROR((H136-F136)*10000,"n/a")</f>
        <v>-423.06384321606413</v>
      </c>
      <c r="I138" s="77">
        <f>IFERROR((I136-H136)*10000,"n/a")</f>
        <v>108.79287737536117</v>
      </c>
      <c r="J138" s="78">
        <f>IFERROR((J136-I136)*10000,"n/a")</f>
        <v>58.41354290558778</v>
      </c>
      <c r="K138" s="4"/>
      <c r="L138" s="3"/>
      <c r="M138" s="3"/>
    </row>
    <row r="139">
      <c r="A139" s="3"/>
      <c r="B139" s="29" t="s">
        <v>472</v>
      </c>
      <c r="C139" s="19">
        <v>210</v>
      </c>
      <c r="D139" s="19">
        <v>230</v>
      </c>
      <c r="E139" s="19">
        <v>237</v>
      </c>
      <c r="F139" s="1">
        <f>G139-C139-D139-E139</f>
        <v>292</v>
      </c>
      <c r="G139" s="19">
        <v>969</v>
      </c>
      <c r="H139" s="19">
        <v>227</v>
      </c>
      <c r="I139" s="19">
        <v>229</v>
      </c>
      <c r="J139" s="16">
        <f>I139</f>
        <v>229</v>
      </c>
      <c r="K139" s="4" t="s">
        <v>473</v>
      </c>
      <c r="L139" s="3"/>
      <c r="M139" s="3"/>
    </row>
    <row r="140">
      <c r="A140" s="3"/>
      <c r="B140" s="49" t="s">
        <v>77</v>
      </c>
      <c r="C140" s="7" t="s">
        <v>44</v>
      </c>
      <c r="D140" s="7" t="s">
        <v>44</v>
      </c>
      <c r="E140" s="7" t="s">
        <v>44</v>
      </c>
      <c r="F140" s="7" t="s">
        <v>44</v>
      </c>
      <c r="G140" s="7" t="s">
        <v>44</v>
      </c>
      <c r="H140" s="7">
        <f>IFERROR(IF(OR(H139&lt;0,C139&lt;0),"n.m.",H139/C139-1),"n/a")</f>
        <v>0.08095238095238089</v>
      </c>
      <c r="I140" s="7">
        <f>IFERROR(IF(OR(I139&lt;0,D139&lt;0),"n.m.",I139/D139-1),"n/a")</f>
        <v>-0.004347826086956497</v>
      </c>
      <c r="J140" s="25">
        <f>IFERROR(IF(OR(J139&lt;0,E139&lt;0),"n.m.",J139/E139-1),"n/a")</f>
        <v>-0.03375527426160341</v>
      </c>
      <c r="K140" s="4"/>
      <c r="L140" s="3"/>
      <c r="M140" s="3"/>
    </row>
    <row r="141">
      <c r="A141" s="3"/>
      <c r="B141" s="63" t="s">
        <v>94</v>
      </c>
      <c r="C141" s="1" t="s">
        <v>44</v>
      </c>
      <c r="D141" s="1">
        <f>IFERROR(D139-C139,"n/a")</f>
        <v>20</v>
      </c>
      <c r="E141" s="1">
        <f>IFERROR(E139-D139,"n/a")</f>
        <v>7</v>
      </c>
      <c r="F141" s="1">
        <f>IFERROR(F139-E139,"n/a")</f>
        <v>55</v>
      </c>
      <c r="G141" s="1" t="s">
        <v>44</v>
      </c>
      <c r="H141" s="1">
        <f>IFERROR(H139-F139,"n/a")</f>
        <v>-65</v>
      </c>
      <c r="I141" s="1">
        <f>IFERROR(I139-H139,"n/a")</f>
        <v>2</v>
      </c>
      <c r="J141" s="16">
        <f>IFERROR(J139-I139,"n/a")</f>
        <v>0</v>
      </c>
      <c r="K141" s="4"/>
      <c r="L141" s="3"/>
      <c r="M141" s="3"/>
    </row>
    <row r="142">
      <c r="A142" s="3"/>
      <c r="B142" s="29" t="s">
        <v>474</v>
      </c>
      <c r="C142" s="19">
        <v>253</v>
      </c>
      <c r="D142" s="19">
        <v>241</v>
      </c>
      <c r="E142" s="19">
        <v>236</v>
      </c>
      <c r="F142" s="1">
        <f>G142-C142-D142-E142</f>
        <v>363</v>
      </c>
      <c r="G142" s="19">
        <v>1093</v>
      </c>
      <c r="H142" s="19">
        <v>252</v>
      </c>
      <c r="I142" s="19">
        <v>275</v>
      </c>
      <c r="J142" s="16">
        <f>I142</f>
        <v>275</v>
      </c>
      <c r="K142" s="4" t="s">
        <v>397</v>
      </c>
      <c r="L142" s="3"/>
      <c r="M142" s="3"/>
    </row>
    <row r="143">
      <c r="A143" s="3"/>
      <c r="B143" s="49" t="s">
        <v>77</v>
      </c>
      <c r="C143" s="7" t="s">
        <v>44</v>
      </c>
      <c r="D143" s="7" t="s">
        <v>44</v>
      </c>
      <c r="E143" s="7" t="s">
        <v>44</v>
      </c>
      <c r="F143" s="7" t="s">
        <v>44</v>
      </c>
      <c r="G143" s="7" t="s">
        <v>44</v>
      </c>
      <c r="H143" s="7">
        <f>IFERROR(IF(OR(H142&lt;0,C142&lt;0),"n.m.",H142/C142-1),"n/a")</f>
        <v>-0.0039525691699604515</v>
      </c>
      <c r="I143" s="7">
        <f>IFERROR(IF(OR(I142&lt;0,D142&lt;0),"n.m.",I142/D142-1),"n/a")</f>
        <v>0.1410788381742738</v>
      </c>
      <c r="J143" s="25">
        <f>IFERROR(IF(OR(J142&lt;0,E142&lt;0),"n.m.",J142/E142-1),"n/a")</f>
        <v>0.1652542372881356</v>
      </c>
      <c r="K143" s="4"/>
      <c r="L143" s="3"/>
      <c r="M143" s="3"/>
    </row>
    <row r="144">
      <c r="A144" s="3"/>
      <c r="B144" s="63" t="s">
        <v>94</v>
      </c>
      <c r="C144" s="1" t="s">
        <v>44</v>
      </c>
      <c r="D144" s="1">
        <f>IFERROR(D142-C142,"n/a")</f>
        <v>-12</v>
      </c>
      <c r="E144" s="1">
        <f>IFERROR(E142-D142,"n/a")</f>
        <v>-5</v>
      </c>
      <c r="F144" s="1">
        <f>IFERROR(F142-E142,"n/a")</f>
        <v>127</v>
      </c>
      <c r="G144" s="1" t="s">
        <v>44</v>
      </c>
      <c r="H144" s="1">
        <f>IFERROR(H142-F142,"n/a")</f>
        <v>-111</v>
      </c>
      <c r="I144" s="1">
        <f>IFERROR(I142-H142,"n/a")</f>
        <v>23</v>
      </c>
      <c r="J144" s="16">
        <f>IFERROR(J142-I142,"n/a")</f>
        <v>0</v>
      </c>
      <c r="K144" s="4"/>
      <c r="L144" s="3"/>
      <c r="M144" s="3"/>
    </row>
    <row r="145">
      <c r="A145" s="3"/>
      <c r="B145" s="29" t="s">
        <v>475</v>
      </c>
      <c r="C145" s="19">
        <v>19</v>
      </c>
      <c r="D145" s="19">
        <v>27</v>
      </c>
      <c r="E145" s="19">
        <v>29</v>
      </c>
      <c r="F145" s="1">
        <f>G145-C145-D145-E145</f>
        <v>34</v>
      </c>
      <c r="G145" s="19">
        <v>109</v>
      </c>
      <c r="H145" s="19">
        <v>18</v>
      </c>
      <c r="I145" s="19">
        <v>28</v>
      </c>
      <c r="J145" s="16">
        <f>I145</f>
        <v>28</v>
      </c>
      <c r="K145" s="4" t="s">
        <v>397</v>
      </c>
      <c r="L145" s="3"/>
      <c r="M145" s="3"/>
    </row>
    <row r="146">
      <c r="A146" s="3"/>
      <c r="B146" s="49" t="s">
        <v>77</v>
      </c>
      <c r="C146" s="7" t="s">
        <v>44</v>
      </c>
      <c r="D146" s="7" t="s">
        <v>44</v>
      </c>
      <c r="E146" s="7" t="s">
        <v>44</v>
      </c>
      <c r="F146" s="7" t="s">
        <v>44</v>
      </c>
      <c r="G146" s="7" t="s">
        <v>44</v>
      </c>
      <c r="H146" s="7">
        <f>IFERROR(IF(OR(H145&lt;0,C145&lt;0),"n.m.",H145/C145-1),"n/a")</f>
        <v>-0.052631578947368474</v>
      </c>
      <c r="I146" s="7">
        <f>IFERROR(IF(OR(I145&lt;0,D145&lt;0),"n.m.",I145/D145-1),"n/a")</f>
        <v>0.03703703703703698</v>
      </c>
      <c r="J146" s="25">
        <f>IFERROR(IF(OR(J145&lt;0,E145&lt;0),"n.m.",J145/E145-1),"n/a")</f>
        <v>-0.03448275862068961</v>
      </c>
      <c r="K146" s="4"/>
      <c r="L146" s="3"/>
      <c r="M146" s="3"/>
    </row>
    <row r="147">
      <c r="A147" s="3"/>
      <c r="B147" s="63" t="s">
        <v>94</v>
      </c>
      <c r="C147" s="1" t="s">
        <v>44</v>
      </c>
      <c r="D147" s="1">
        <f>IFERROR(D145-C145,"n/a")</f>
        <v>8</v>
      </c>
      <c r="E147" s="1">
        <f>IFERROR(E145-D145,"n/a")</f>
        <v>2</v>
      </c>
      <c r="F147" s="1">
        <f>IFERROR(F145-E145,"n/a")</f>
        <v>5</v>
      </c>
      <c r="G147" s="1" t="s">
        <v>44</v>
      </c>
      <c r="H147" s="1">
        <f>IFERROR(H145-F145,"n/a")</f>
        <v>-16</v>
      </c>
      <c r="I147" s="1">
        <f>IFERROR(I145-H145,"n/a")</f>
        <v>10</v>
      </c>
      <c r="J147" s="16">
        <f>IFERROR(J145-I145,"n/a")</f>
        <v>0</v>
      </c>
      <c r="K147" s="4"/>
      <c r="L147" s="3"/>
      <c r="M147" s="3"/>
    </row>
    <row r="148">
      <c r="A148" s="3"/>
      <c r="B148" s="29" t="s">
        <v>476</v>
      </c>
      <c r="C148" s="19">
        <v>81</v>
      </c>
      <c r="D148" s="19">
        <v>135</v>
      </c>
      <c r="E148" s="19">
        <v>142</v>
      </c>
      <c r="F148" s="1">
        <f>G148-C148-D148-E148</f>
        <v>191</v>
      </c>
      <c r="G148" s="19">
        <v>549</v>
      </c>
      <c r="H148" s="19">
        <v>101</v>
      </c>
      <c r="I148" s="19">
        <v>160</v>
      </c>
      <c r="J148" s="16">
        <f>I148</f>
        <v>160</v>
      </c>
      <c r="K148" s="4" t="s">
        <v>397</v>
      </c>
      <c r="L148" s="3"/>
      <c r="M148" s="3"/>
    </row>
    <row r="149">
      <c r="A149" s="3"/>
      <c r="B149" s="49" t="s">
        <v>77</v>
      </c>
      <c r="C149" s="7" t="s">
        <v>44</v>
      </c>
      <c r="D149" s="7" t="s">
        <v>44</v>
      </c>
      <c r="E149" s="7" t="s">
        <v>44</v>
      </c>
      <c r="F149" s="7" t="s">
        <v>44</v>
      </c>
      <c r="G149" s="7" t="s">
        <v>44</v>
      </c>
      <c r="H149" s="7">
        <f>IFERROR(IF(OR(H148&lt;0,C148&lt;0),"n.m.",H148/C148-1),"n/a")</f>
        <v>0.24691358024691357</v>
      </c>
      <c r="I149" s="7">
        <f>IFERROR(IF(OR(I148&lt;0,D148&lt;0),"n.m.",I148/D148-1),"n/a")</f>
        <v>0.18518518518518512</v>
      </c>
      <c r="J149" s="25">
        <f>IFERROR(IF(OR(J148&lt;0,E148&lt;0),"n.m.",J148/E148-1),"n/a")</f>
        <v>0.12676056338028174</v>
      </c>
      <c r="K149" s="4"/>
      <c r="L149" s="3"/>
      <c r="M149" s="3"/>
    </row>
    <row r="150">
      <c r="A150" s="3"/>
      <c r="B150" s="63" t="s">
        <v>94</v>
      </c>
      <c r="C150" s="1" t="s">
        <v>44</v>
      </c>
      <c r="D150" s="1">
        <f>IFERROR(D148-C148,"n/a")</f>
        <v>54</v>
      </c>
      <c r="E150" s="1">
        <f>IFERROR(E148-D148,"n/a")</f>
        <v>7</v>
      </c>
      <c r="F150" s="1">
        <f>IFERROR(F148-E148,"n/a")</f>
        <v>49</v>
      </c>
      <c r="G150" s="1" t="s">
        <v>44</v>
      </c>
      <c r="H150" s="1">
        <f>IFERROR(H148-F148,"n/a")</f>
        <v>-90</v>
      </c>
      <c r="I150" s="1">
        <f>IFERROR(I148-H148,"n/a")</f>
        <v>59</v>
      </c>
      <c r="J150" s="16">
        <f>IFERROR(J148-I148,"n/a")</f>
        <v>0</v>
      </c>
      <c r="K150" s="4"/>
      <c r="L150" s="3"/>
      <c r="M150" s="3"/>
    </row>
    <row r="151">
      <c r="A151" s="3"/>
      <c r="B151" s="29" t="s">
        <v>477</v>
      </c>
      <c r="C151" s="19">
        <v>62</v>
      </c>
      <c r="D151" s="19">
        <v>100</v>
      </c>
      <c r="E151" s="19">
        <v>105</v>
      </c>
      <c r="F151" s="1">
        <f>G151-C151-D151-E151</f>
        <v>150</v>
      </c>
      <c r="G151" s="19">
        <v>417</v>
      </c>
      <c r="H151" s="19">
        <v>80</v>
      </c>
      <c r="I151" s="19">
        <v>123</v>
      </c>
      <c r="J151" s="16">
        <f>I151</f>
        <v>123</v>
      </c>
      <c r="K151" s="4" t="s">
        <v>397</v>
      </c>
      <c r="L151" s="3"/>
      <c r="M151" s="3"/>
    </row>
    <row r="152">
      <c r="A152" s="3"/>
      <c r="B152" s="49" t="s">
        <v>77</v>
      </c>
      <c r="C152" s="7" t="s">
        <v>44</v>
      </c>
      <c r="D152" s="7" t="s">
        <v>44</v>
      </c>
      <c r="E152" s="7" t="s">
        <v>44</v>
      </c>
      <c r="F152" s="7" t="s">
        <v>44</v>
      </c>
      <c r="G152" s="7" t="s">
        <v>44</v>
      </c>
      <c r="H152" s="7">
        <f>IFERROR(IF(OR(H151&lt;0,C151&lt;0),"n.m.",H151/C151-1),"n/a")</f>
        <v>0.29032258064516125</v>
      </c>
      <c r="I152" s="7">
        <f>IFERROR(IF(OR(I151&lt;0,D151&lt;0),"n.m.",I151/D151-1),"n/a")</f>
        <v>0.22999999999999998</v>
      </c>
      <c r="J152" s="25">
        <f>IFERROR(IF(OR(J151&lt;0,E151&lt;0),"n.m.",J151/E151-1),"n/a")</f>
        <v>0.17142857142857149</v>
      </c>
      <c r="K152" s="4"/>
      <c r="L152" s="3"/>
      <c r="M152" s="3"/>
    </row>
    <row r="153">
      <c r="A153" s="3"/>
      <c r="B153" s="63" t="s">
        <v>94</v>
      </c>
      <c r="C153" s="1" t="s">
        <v>44</v>
      </c>
      <c r="D153" s="1">
        <f>IFERROR(D151-C151,"n/a")</f>
        <v>38</v>
      </c>
      <c r="E153" s="1">
        <f>IFERROR(E151-D151,"n/a")</f>
        <v>5</v>
      </c>
      <c r="F153" s="1">
        <f>IFERROR(F151-E151,"n/a")</f>
        <v>45</v>
      </c>
      <c r="G153" s="1" t="s">
        <v>44</v>
      </c>
      <c r="H153" s="1">
        <f>IFERROR(H151-F151,"n/a")</f>
        <v>-70</v>
      </c>
      <c r="I153" s="1">
        <f>IFERROR(I151-H151,"n/a")</f>
        <v>43</v>
      </c>
      <c r="J153" s="16">
        <f>IFERROR(J151-I151,"n/a")</f>
        <v>0</v>
      </c>
      <c r="K153" s="4"/>
      <c r="L153" s="3"/>
      <c r="M153" s="3"/>
    </row>
    <row r="154">
      <c r="A154" s="3"/>
      <c r="B154" s="29" t="s">
        <v>478</v>
      </c>
      <c r="C154" s="19">
        <v>23</v>
      </c>
      <c r="D154" s="19">
        <v>38</v>
      </c>
      <c r="E154" s="19">
        <v>38</v>
      </c>
      <c r="F154" s="1">
        <f>G154-C154-D154-E154</f>
        <v>54</v>
      </c>
      <c r="G154" s="19">
        <v>153</v>
      </c>
      <c r="H154" s="19">
        <v>28</v>
      </c>
      <c r="I154" s="19">
        <v>42</v>
      </c>
      <c r="J154" s="16">
        <f>I154</f>
        <v>42</v>
      </c>
      <c r="K154" s="4" t="s">
        <v>397</v>
      </c>
      <c r="L154" s="3"/>
      <c r="M154" s="3"/>
    </row>
    <row r="155">
      <c r="A155" s="3"/>
      <c r="B155" s="49" t="s">
        <v>77</v>
      </c>
      <c r="C155" s="7" t="s">
        <v>44</v>
      </c>
      <c r="D155" s="7" t="s">
        <v>44</v>
      </c>
      <c r="E155" s="7" t="s">
        <v>44</v>
      </c>
      <c r="F155" s="7" t="s">
        <v>44</v>
      </c>
      <c r="G155" s="7" t="s">
        <v>44</v>
      </c>
      <c r="H155" s="7">
        <f>IFERROR(IF(OR(H154&lt;0,C154&lt;0),"n.m.",H154/C154-1),"n/a")</f>
        <v>0.21739130434782616</v>
      </c>
      <c r="I155" s="7">
        <f>IFERROR(IF(OR(I154&lt;0,D154&lt;0),"n.m.",I154/D154-1),"n/a")</f>
        <v>0.10526315789473695</v>
      </c>
      <c r="J155" s="25">
        <f>IFERROR(IF(OR(J154&lt;0,E154&lt;0),"n.m.",J154/E154-1),"n/a")</f>
        <v>0.10526315789473695</v>
      </c>
      <c r="K155" s="4"/>
      <c r="L155" s="3"/>
      <c r="M155" s="3"/>
    </row>
    <row r="156">
      <c r="A156" s="3"/>
      <c r="B156" s="63" t="s">
        <v>94</v>
      </c>
      <c r="C156" s="1" t="s">
        <v>44</v>
      </c>
      <c r="D156" s="1">
        <f>IFERROR(D154-C154,"n/a")</f>
        <v>15</v>
      </c>
      <c r="E156" s="1">
        <f>IFERROR(E154-D154,"n/a")</f>
        <v>0</v>
      </c>
      <c r="F156" s="1">
        <f>IFERROR(F154-E154,"n/a")</f>
        <v>16</v>
      </c>
      <c r="G156" s="1" t="s">
        <v>44</v>
      </c>
      <c r="H156" s="1">
        <f>IFERROR(H154-F154,"n/a")</f>
        <v>-26</v>
      </c>
      <c r="I156" s="1">
        <f>IFERROR(I154-H154,"n/a")</f>
        <v>14</v>
      </c>
      <c r="J156" s="16">
        <f>IFERROR(J154-I154,"n/a")</f>
        <v>0</v>
      </c>
      <c r="K156" s="4"/>
      <c r="L156" s="3"/>
      <c r="M156" s="3"/>
    </row>
    <row r="157">
      <c r="A157" s="3"/>
      <c r="B157" s="29" t="s">
        <v>479</v>
      </c>
      <c r="C157" s="19">
        <v>36</v>
      </c>
      <c r="D157" s="19">
        <v>36</v>
      </c>
      <c r="E157" s="19">
        <v>37</v>
      </c>
      <c r="F157" s="1">
        <f>G157-C157-D157-E157</f>
        <v>52</v>
      </c>
      <c r="G157" s="19">
        <v>161</v>
      </c>
      <c r="H157" s="19">
        <v>36</v>
      </c>
      <c r="I157" s="19">
        <v>40</v>
      </c>
      <c r="J157" s="16">
        <f>I157</f>
        <v>40</v>
      </c>
      <c r="K157" s="4" t="s">
        <v>397</v>
      </c>
      <c r="L157" s="3"/>
      <c r="M157" s="3"/>
    </row>
    <row r="158">
      <c r="A158" s="3"/>
      <c r="B158" s="49" t="s">
        <v>77</v>
      </c>
      <c r="C158" s="7" t="s">
        <v>44</v>
      </c>
      <c r="D158" s="7" t="s">
        <v>44</v>
      </c>
      <c r="E158" s="7" t="s">
        <v>44</v>
      </c>
      <c r="F158" s="7" t="s">
        <v>44</v>
      </c>
      <c r="G158" s="7" t="s">
        <v>44</v>
      </c>
      <c r="H158" s="7">
        <f>IFERROR(IF(OR(H157&lt;0,C157&lt;0),"n.m.",H157/C157-1),"n/a")</f>
        <v>0</v>
      </c>
      <c r="I158" s="7">
        <f>IFERROR(IF(OR(I157&lt;0,D157&lt;0),"n.m.",I157/D157-1),"n/a")</f>
        <v>0.11111111111111116</v>
      </c>
      <c r="J158" s="25">
        <f>IFERROR(IF(OR(J157&lt;0,E157&lt;0),"n.m.",J157/E157-1),"n/a")</f>
        <v>0.08108108108108114</v>
      </c>
      <c r="K158" s="4"/>
      <c r="L158" s="3"/>
      <c r="M158" s="3"/>
    </row>
    <row r="159">
      <c r="A159" s="3"/>
      <c r="B159" s="63" t="s">
        <v>94</v>
      </c>
      <c r="C159" s="1" t="s">
        <v>44</v>
      </c>
      <c r="D159" s="1">
        <f>IFERROR(D157-C157,"n/a")</f>
        <v>0</v>
      </c>
      <c r="E159" s="1">
        <f>IFERROR(E157-D157,"n/a")</f>
        <v>1</v>
      </c>
      <c r="F159" s="1">
        <f>IFERROR(F157-E157,"n/a")</f>
        <v>15</v>
      </c>
      <c r="G159" s="1" t="s">
        <v>44</v>
      </c>
      <c r="H159" s="1">
        <f>IFERROR(H157-F157,"n/a")</f>
        <v>-16</v>
      </c>
      <c r="I159" s="1">
        <f>IFERROR(I157-H157,"n/a")</f>
        <v>4</v>
      </c>
      <c r="J159" s="16">
        <f>IFERROR(J157-I157,"n/a")</f>
        <v>0</v>
      </c>
      <c r="K159" s="4"/>
      <c r="L159" s="3"/>
      <c r="M159" s="3"/>
    </row>
    <row r="160">
      <c r="A160" s="3"/>
      <c r="B160" s="15" t="s">
        <v>480</v>
      </c>
      <c r="C160" s="21">
        <f>C139+C142+C145+C148+C151+C154+C157</f>
        <v>684</v>
      </c>
      <c r="D160" s="21">
        <f>D139+D142+D145+D148+D151+D154+D157</f>
        <v>807</v>
      </c>
      <c r="E160" s="21">
        <f>E139+E142+E145+E148+E151+E154+E157</f>
        <v>824</v>
      </c>
      <c r="F160" s="21">
        <f>F139+F142+F145+F148+F151+F154+F157</f>
        <v>1136</v>
      </c>
      <c r="G160" s="21">
        <f>G139+G142+G145+G148+G151+G154+G157</f>
        <v>3451</v>
      </c>
      <c r="H160" s="21">
        <f>H139+H142+H145+H148+H151+H154+H157</f>
        <v>742</v>
      </c>
      <c r="I160" s="21">
        <f>I139+I142+I145+I148+I151+I154+I157</f>
        <v>897</v>
      </c>
      <c r="J160" s="43">
        <f>J139+J142+J145+J148+J151+J154+J157</f>
        <v>897</v>
      </c>
      <c r="K160" s="4"/>
      <c r="L160" s="3"/>
      <c r="M160" s="3"/>
    </row>
    <row r="161">
      <c r="A161" s="3"/>
      <c r="B161" s="12" t="s">
        <v>481</v>
      </c>
      <c r="C161" s="52">
        <f>C160-C14</f>
        <v>0</v>
      </c>
      <c r="D161" s="52">
        <f>D160-D14</f>
        <v>0</v>
      </c>
      <c r="E161" s="52">
        <f>E160-E14</f>
        <v>0</v>
      </c>
      <c r="F161" s="52">
        <f>F160-F14</f>
        <v>0</v>
      </c>
      <c r="G161" s="52">
        <f>G160-G14</f>
        <v>0</v>
      </c>
      <c r="H161" s="52">
        <f>H160-H14</f>
        <v>0</v>
      </c>
      <c r="I161" s="52">
        <f>I160-I14</f>
        <v>0</v>
      </c>
      <c r="J161" s="62">
        <f>J160-J14</f>
        <v>0</v>
      </c>
      <c r="K161" s="4" t="s">
        <v>482</v>
      </c>
      <c r="L161" s="3"/>
      <c r="M161" s="3"/>
    </row>
    <row r="162">
      <c r="A162" s="3"/>
      <c r="B162" s="3"/>
      <c r="C162" s="1"/>
      <c r="D162" s="1"/>
      <c r="E162" s="1"/>
      <c r="F162" s="1"/>
      <c r="G162" s="1"/>
      <c r="H162" s="1"/>
      <c r="I162" s="1"/>
      <c r="J162" s="16"/>
      <c r="K162" s="4"/>
      <c r="L162" s="3"/>
      <c r="M162" s="3"/>
    </row>
    <row r="163">
      <c r="A163" s="3"/>
      <c r="B163" s="15" t="s">
        <v>483</v>
      </c>
      <c r="C163" s="5"/>
      <c r="D163" s="5"/>
      <c r="E163" s="5"/>
      <c r="F163" s="5"/>
      <c r="G163" s="5"/>
      <c r="H163" s="5"/>
      <c r="I163" s="5"/>
      <c r="J163" s="22"/>
      <c r="K163" s="4"/>
      <c r="L163" s="3"/>
      <c r="M163" s="3"/>
    </row>
    <row r="164">
      <c r="A164" s="3"/>
      <c r="B164" s="29" t="s">
        <v>484</v>
      </c>
      <c r="C164" s="19">
        <v>1843</v>
      </c>
      <c r="D164" s="19">
        <v>3122</v>
      </c>
      <c r="E164" s="19">
        <v>5740</v>
      </c>
      <c r="F164" s="19">
        <v>8295</v>
      </c>
      <c r="G164" s="1">
        <f>F164</f>
        <v>8295</v>
      </c>
      <c r="H164" s="19">
        <v>2338</v>
      </c>
      <c r="I164" s="19">
        <v>5342</v>
      </c>
      <c r="J164" s="16">
        <f>I164+J11</f>
        <v>8444.276530886538</v>
      </c>
      <c r="K164" s="4" t="s">
        <v>485</v>
      </c>
      <c r="L164" s="3"/>
      <c r="M164" s="3"/>
    </row>
    <row r="165">
      <c r="A165" s="3"/>
      <c r="B165" s="29" t="s">
        <v>486</v>
      </c>
      <c r="C165" s="19">
        <v>684</v>
      </c>
      <c r="D165" s="19">
        <v>1491</v>
      </c>
      <c r="E165" s="19">
        <v>2315</v>
      </c>
      <c r="F165" s="19">
        <v>3451</v>
      </c>
      <c r="G165" s="1">
        <f>F165</f>
        <v>3451</v>
      </c>
      <c r="H165" s="19">
        <v>742</v>
      </c>
      <c r="I165" s="19">
        <v>1639</v>
      </c>
      <c r="J165" s="16">
        <f>I165+J14</f>
        <v>2536</v>
      </c>
      <c r="K165" s="4" t="s">
        <v>487</v>
      </c>
      <c r="L165" s="3"/>
      <c r="M165" s="3"/>
    </row>
    <row r="166">
      <c r="A166" s="3"/>
      <c r="B166" s="29" t="s">
        <v>488</v>
      </c>
      <c r="C166" s="19">
        <v>0</v>
      </c>
      <c r="D166" s="19">
        <v>1860</v>
      </c>
      <c r="E166" s="19">
        <v>1960</v>
      </c>
      <c r="F166" s="19">
        <v>1946</v>
      </c>
      <c r="G166" s="1">
        <f>F166</f>
        <v>1946</v>
      </c>
      <c r="H166" s="19">
        <v>0</v>
      </c>
      <c r="I166" s="19">
        <v>0</v>
      </c>
      <c r="J166" s="16">
        <f>I166+J17</f>
        <v>0</v>
      </c>
      <c r="K166" s="4" t="s">
        <v>487</v>
      </c>
      <c r="L166" s="3"/>
      <c r="M166" s="3"/>
    </row>
    <row r="167">
      <c r="A167" s="3"/>
      <c r="B167" s="29" t="s">
        <v>489</v>
      </c>
      <c r="C167" s="19">
        <v>0</v>
      </c>
      <c r="D167" s="19">
        <v>0</v>
      </c>
      <c r="E167" s="19">
        <v>0</v>
      </c>
      <c r="F167" s="19">
        <v>0</v>
      </c>
      <c r="G167" s="1">
        <f>F167</f>
        <v>0</v>
      </c>
      <c r="H167" s="19">
        <v>0</v>
      </c>
      <c r="I167" s="19">
        <v>0</v>
      </c>
      <c r="J167" s="16">
        <f>I167+J18</f>
        <v>0</v>
      </c>
      <c r="K167" s="4" t="s">
        <v>487</v>
      </c>
      <c r="L167" s="3"/>
      <c r="M167" s="3"/>
    </row>
    <row r="168">
      <c r="A168" s="3"/>
      <c r="B168" s="29" t="s">
        <v>490</v>
      </c>
      <c r="C168" s="19">
        <v>0</v>
      </c>
      <c r="D168" s="19">
        <v>0</v>
      </c>
      <c r="E168" s="19">
        <v>-5</v>
      </c>
      <c r="F168" s="19">
        <v>-6</v>
      </c>
      <c r="G168" s="1">
        <f>F168</f>
        <v>-6</v>
      </c>
      <c r="H168" s="19">
        <v>0</v>
      </c>
      <c r="I168" s="19">
        <v>0</v>
      </c>
      <c r="J168" s="16">
        <f>I168+J19</f>
        <v>0</v>
      </c>
      <c r="K168" s="4" t="s">
        <v>487</v>
      </c>
      <c r="L168" s="3"/>
      <c r="M168" s="3"/>
    </row>
    <row r="169">
      <c r="A169" s="3"/>
      <c r="B169" s="29" t="s">
        <v>491</v>
      </c>
      <c r="C169" s="19">
        <v>145</v>
      </c>
      <c r="D169" s="19">
        <v>315</v>
      </c>
      <c r="E169" s="19">
        <v>489</v>
      </c>
      <c r="F169" s="19">
        <v>727</v>
      </c>
      <c r="G169" s="1">
        <f>F169</f>
        <v>727</v>
      </c>
      <c r="H169" s="19">
        <v>162</v>
      </c>
      <c r="I169" s="19">
        <v>347</v>
      </c>
      <c r="J169" s="16">
        <f>I169+J20</f>
        <v>532</v>
      </c>
      <c r="K169" s="4" t="s">
        <v>487</v>
      </c>
      <c r="L169" s="3"/>
      <c r="M169" s="3"/>
    </row>
    <row r="170">
      <c r="A170" s="3"/>
      <c r="B170" s="29" t="s">
        <v>492</v>
      </c>
      <c r="C170" s="19">
        <v>77</v>
      </c>
      <c r="D170" s="19">
        <v>131</v>
      </c>
      <c r="E170" s="19">
        <v>207</v>
      </c>
      <c r="F170" s="19">
        <v>288</v>
      </c>
      <c r="G170" s="1">
        <f>F170</f>
        <v>288</v>
      </c>
      <c r="H170" s="19">
        <v>93</v>
      </c>
      <c r="I170" s="19">
        <v>162</v>
      </c>
      <c r="J170" s="16">
        <f>I170+J23</f>
        <v>231</v>
      </c>
      <c r="K170" s="4" t="s">
        <v>487</v>
      </c>
      <c r="L170" s="3"/>
      <c r="M170" s="3"/>
    </row>
    <row r="171">
      <c r="A171" s="3"/>
      <c r="B171" s="29" t="s">
        <v>493</v>
      </c>
      <c r="C171" s="19">
        <v>213</v>
      </c>
      <c r="D171" s="19">
        <v>426</v>
      </c>
      <c r="E171" s="19">
        <v>567</v>
      </c>
      <c r="F171" s="19">
        <v>983</v>
      </c>
      <c r="G171" s="1">
        <f>F171</f>
        <v>983</v>
      </c>
      <c r="H171" s="19">
        <v>133</v>
      </c>
      <c r="I171" s="19">
        <v>182</v>
      </c>
      <c r="J171" s="16">
        <f>I171+J26</f>
        <v>272.5</v>
      </c>
      <c r="K171" s="4" t="s">
        <v>487</v>
      </c>
      <c r="L171" s="3"/>
      <c r="M171" s="3"/>
    </row>
    <row r="172">
      <c r="A172" s="3"/>
      <c r="B172" s="29" t="s">
        <v>494</v>
      </c>
      <c r="C172" s="19">
        <v>-232</v>
      </c>
      <c r="D172" s="19">
        <v>-387</v>
      </c>
      <c r="E172" s="19">
        <v>-554</v>
      </c>
      <c r="F172" s="19">
        <v>-796</v>
      </c>
      <c r="G172" s="1">
        <f>F172</f>
        <v>-796</v>
      </c>
      <c r="H172" s="19">
        <v>-145</v>
      </c>
      <c r="I172" s="19">
        <v>-264</v>
      </c>
      <c r="J172" s="16">
        <f>I172+J27</f>
        <v>-431</v>
      </c>
      <c r="K172" s="4" t="s">
        <v>487</v>
      </c>
      <c r="L172" s="3"/>
      <c r="M172" s="3"/>
    </row>
    <row r="173">
      <c r="A173" s="3"/>
      <c r="B173" s="29" t="s">
        <v>495</v>
      </c>
      <c r="C173" s="19">
        <v>25</v>
      </c>
      <c r="D173" s="19">
        <v>87</v>
      </c>
      <c r="E173" s="19">
        <v>308</v>
      </c>
      <c r="F173" s="19">
        <v>453</v>
      </c>
      <c r="G173" s="1">
        <f>F173</f>
        <v>453</v>
      </c>
      <c r="H173" s="19">
        <v>-113</v>
      </c>
      <c r="I173" s="19">
        <v>-158</v>
      </c>
      <c r="J173" s="16">
        <f>I173+J30</f>
        <v>-158</v>
      </c>
      <c r="K173" s="4" t="s">
        <v>487</v>
      </c>
      <c r="L173" s="3"/>
      <c r="M173" s="3"/>
    </row>
    <row r="174">
      <c r="A174" s="3"/>
      <c r="B174" s="29" t="s">
        <v>496</v>
      </c>
      <c r="C174" s="19">
        <v>-13</v>
      </c>
      <c r="D174" s="19">
        <v>-58</v>
      </c>
      <c r="E174" s="19">
        <v>-80</v>
      </c>
      <c r="F174" s="19">
        <v>-228</v>
      </c>
      <c r="G174" s="1">
        <f>F174</f>
        <v>-228</v>
      </c>
      <c r="H174" s="19">
        <v>-14</v>
      </c>
      <c r="I174" s="19">
        <v>-14</v>
      </c>
      <c r="J174" s="16">
        <f>I174+J31</f>
        <v>-36</v>
      </c>
      <c r="K174" s="4" t="s">
        <v>487</v>
      </c>
      <c r="L174" s="3"/>
      <c r="M174" s="3"/>
    </row>
    <row r="175">
      <c r="A175" s="3"/>
      <c r="B175" s="29" t="s">
        <v>497</v>
      </c>
      <c r="C175" s="19">
        <v>48</v>
      </c>
      <c r="D175" s="19">
        <v>99</v>
      </c>
      <c r="E175" s="19">
        <v>164</v>
      </c>
      <c r="F175" s="19">
        <v>504</v>
      </c>
      <c r="G175" s="1">
        <f>F175</f>
        <v>504</v>
      </c>
      <c r="H175" s="19">
        <v>13</v>
      </c>
      <c r="I175" s="19">
        <v>30</v>
      </c>
      <c r="J175" s="16">
        <f>I175+J34</f>
        <v>95</v>
      </c>
      <c r="K175" s="4" t="s">
        <v>487</v>
      </c>
      <c r="L175" s="3"/>
      <c r="M175" s="3"/>
    </row>
    <row r="176">
      <c r="A176" s="3"/>
      <c r="B176" s="29" t="s">
        <v>498</v>
      </c>
      <c r="C176" s="19">
        <v>-317</v>
      </c>
      <c r="D176" s="19">
        <v>-354</v>
      </c>
      <c r="E176" s="19">
        <v>-400</v>
      </c>
      <c r="F176" s="19">
        <v>-472</v>
      </c>
      <c r="G176" s="1">
        <f>F176</f>
        <v>-472</v>
      </c>
      <c r="H176" s="19">
        <v>-270</v>
      </c>
      <c r="I176" s="19">
        <v>-315</v>
      </c>
      <c r="J176" s="16">
        <f>I176+J37</f>
        <v>-361</v>
      </c>
      <c r="K176" s="4" t="s">
        <v>487</v>
      </c>
      <c r="L176" s="3"/>
      <c r="M176" s="3"/>
    </row>
    <row r="177">
      <c r="A177" s="3"/>
      <c r="B177" s="29" t="s">
        <v>499</v>
      </c>
      <c r="C177" s="19">
        <v>111</v>
      </c>
      <c r="D177" s="19">
        <v>-260</v>
      </c>
      <c r="E177" s="19">
        <v>30</v>
      </c>
      <c r="F177" s="19">
        <v>71</v>
      </c>
      <c r="G177" s="1">
        <f>F177</f>
        <v>71</v>
      </c>
      <c r="H177" s="19">
        <v>226</v>
      </c>
      <c r="I177" s="19">
        <v>494</v>
      </c>
      <c r="J177" s="16">
        <f>I177+J40</f>
        <v>784</v>
      </c>
      <c r="K177" s="4" t="s">
        <v>487</v>
      </c>
      <c r="L177" s="3"/>
      <c r="M177" s="3"/>
    </row>
    <row r="178">
      <c r="A178" s="3"/>
      <c r="B178" s="29" t="s">
        <v>500</v>
      </c>
      <c r="C178" s="19">
        <v>0</v>
      </c>
      <c r="D178" s="19">
        <v>-772</v>
      </c>
      <c r="E178" s="19">
        <v>-772</v>
      </c>
      <c r="F178" s="19">
        <v>-772</v>
      </c>
      <c r="G178" s="1">
        <f>F178</f>
        <v>-772</v>
      </c>
      <c r="H178" s="19">
        <v>0</v>
      </c>
      <c r="I178" s="19">
        <v>-965</v>
      </c>
      <c r="J178" s="16">
        <f>I178+J43</f>
        <v>-965</v>
      </c>
      <c r="K178" s="4" t="s">
        <v>487</v>
      </c>
      <c r="L178" s="3"/>
      <c r="M178" s="3"/>
    </row>
    <row r="179">
      <c r="A179" s="3"/>
      <c r="B179" s="29" t="s">
        <v>501</v>
      </c>
      <c r="C179" s="19">
        <v>-318</v>
      </c>
      <c r="D179" s="19">
        <v>-1582</v>
      </c>
      <c r="E179" s="19">
        <v>-1747</v>
      </c>
      <c r="F179" s="19">
        <v>-580</v>
      </c>
      <c r="G179" s="1">
        <f>F179</f>
        <v>-580</v>
      </c>
      <c r="H179" s="19">
        <v>-530</v>
      </c>
      <c r="I179" s="19">
        <v>-1857</v>
      </c>
      <c r="J179" s="16">
        <f>I179+J44</f>
        <v>-2022</v>
      </c>
      <c r="K179" s="4" t="s">
        <v>487</v>
      </c>
      <c r="L179" s="3"/>
      <c r="M179" s="3"/>
    </row>
    <row r="180">
      <c r="A180" s="3"/>
      <c r="B180" s="29" t="s">
        <v>502</v>
      </c>
      <c r="C180" s="19">
        <v>-238</v>
      </c>
      <c r="D180" s="19">
        <v>-800</v>
      </c>
      <c r="E180" s="19">
        <v>-449</v>
      </c>
      <c r="F180" s="19">
        <v>-150</v>
      </c>
      <c r="G180" s="1">
        <f>F180</f>
        <v>-150</v>
      </c>
      <c r="H180" s="19">
        <v>-315</v>
      </c>
      <c r="I180" s="19">
        <v>-802</v>
      </c>
      <c r="J180" s="16">
        <f>I180+J47</f>
        <v>-451</v>
      </c>
      <c r="K180" s="4" t="s">
        <v>487</v>
      </c>
      <c r="L180" s="3"/>
      <c r="M180" s="3"/>
    </row>
    <row r="181">
      <c r="A181" s="3"/>
      <c r="B181" s="29" t="s">
        <v>503</v>
      </c>
      <c r="C181" s="19">
        <v>-307</v>
      </c>
      <c r="D181" s="19">
        <v>-354</v>
      </c>
      <c r="E181" s="19">
        <v>-223</v>
      </c>
      <c r="F181" s="19">
        <v>195</v>
      </c>
      <c r="G181" s="1">
        <f>F181</f>
        <v>195</v>
      </c>
      <c r="H181" s="19">
        <v>-406</v>
      </c>
      <c r="I181" s="19">
        <v>-271</v>
      </c>
      <c r="J181" s="16">
        <f>I181+J50</f>
        <v>-140</v>
      </c>
      <c r="K181" s="4" t="s">
        <v>487</v>
      </c>
      <c r="L181" s="3"/>
      <c r="M181" s="3"/>
    </row>
    <row r="182">
      <c r="A182" s="3"/>
      <c r="B182" s="29" t="s">
        <v>504</v>
      </c>
      <c r="C182" s="19">
        <v>-2671</v>
      </c>
      <c r="D182" s="19">
        <v>-2083</v>
      </c>
      <c r="E182" s="19">
        <v>-1647</v>
      </c>
      <c r="F182" s="19">
        <v>-677</v>
      </c>
      <c r="G182" s="1">
        <f>F182</f>
        <v>-677</v>
      </c>
      <c r="H182" s="19">
        <v>-1847</v>
      </c>
      <c r="I182" s="19">
        <v>-1200</v>
      </c>
      <c r="J182" s="16">
        <f>I182+J53</f>
        <v>-764</v>
      </c>
      <c r="K182" s="4" t="s">
        <v>487</v>
      </c>
      <c r="L182" s="3"/>
      <c r="M182" s="3"/>
    </row>
    <row r="183">
      <c r="A183" s="3"/>
      <c r="B183" s="29" t="s">
        <v>505</v>
      </c>
      <c r="C183" s="19">
        <v>223</v>
      </c>
      <c r="D183" s="19">
        <v>415</v>
      </c>
      <c r="E183" s="19">
        <v>6</v>
      </c>
      <c r="F183" s="19">
        <v>-433</v>
      </c>
      <c r="G183" s="1">
        <f>F183</f>
        <v>-433</v>
      </c>
      <c r="H183" s="19">
        <v>131</v>
      </c>
      <c r="I183" s="19">
        <v>313</v>
      </c>
      <c r="J183" s="16">
        <f>I183+J56</f>
        <v>-96</v>
      </c>
      <c r="K183" s="4" t="s">
        <v>487</v>
      </c>
      <c r="L183" s="3"/>
      <c r="M183" s="3"/>
    </row>
    <row r="184">
      <c r="A184" s="3"/>
      <c r="B184" s="29" t="s">
        <v>506</v>
      </c>
      <c r="C184" s="19">
        <v>-246</v>
      </c>
      <c r="D184" s="19">
        <v>-300</v>
      </c>
      <c r="E184" s="19">
        <v>-441</v>
      </c>
      <c r="F184" s="19">
        <v>-712</v>
      </c>
      <c r="G184" s="1">
        <f>F184</f>
        <v>-712</v>
      </c>
      <c r="H184" s="19">
        <v>-157</v>
      </c>
      <c r="I184" s="19">
        <v>-298</v>
      </c>
      <c r="J184" s="16">
        <f>I184+J59</f>
        <v>-439</v>
      </c>
      <c r="K184" s="4" t="s">
        <v>487</v>
      </c>
      <c r="L184" s="3"/>
      <c r="M184" s="3"/>
    </row>
    <row r="185">
      <c r="A185" s="3"/>
      <c r="B185" s="29" t="s">
        <v>507</v>
      </c>
      <c r="C185" s="19">
        <v>-603</v>
      </c>
      <c r="D185" s="19">
        <v>-1507</v>
      </c>
      <c r="E185" s="19">
        <v>-2499</v>
      </c>
      <c r="F185" s="19">
        <v>-4415</v>
      </c>
      <c r="G185" s="1">
        <f>F185</f>
        <v>-4415</v>
      </c>
      <c r="H185" s="19">
        <v>-447</v>
      </c>
      <c r="I185" s="19">
        <v>-1266</v>
      </c>
      <c r="J185" s="16">
        <f>I185+J64</f>
        <v>-2258</v>
      </c>
      <c r="K185" s="4" t="s">
        <v>487</v>
      </c>
      <c r="L185" s="3"/>
      <c r="M185" s="3"/>
    </row>
    <row r="186">
      <c r="A186" s="3"/>
      <c r="B186" s="29" t="s">
        <v>508</v>
      </c>
      <c r="C186" s="19">
        <v>132</v>
      </c>
      <c r="D186" s="19">
        <v>169</v>
      </c>
      <c r="E186" s="19">
        <v>272</v>
      </c>
      <c r="F186" s="19">
        <v>528</v>
      </c>
      <c r="G186" s="1">
        <f>F186</f>
        <v>528</v>
      </c>
      <c r="H186" s="19">
        <v>13</v>
      </c>
      <c r="I186" s="19">
        <v>71</v>
      </c>
      <c r="J186" s="16">
        <f>I186+J67</f>
        <v>174</v>
      </c>
      <c r="K186" s="4" t="s">
        <v>487</v>
      </c>
      <c r="L186" s="3"/>
      <c r="M186" s="3"/>
    </row>
    <row r="187">
      <c r="A187" s="3"/>
      <c r="B187" s="29" t="s">
        <v>509</v>
      </c>
      <c r="C187" s="19">
        <v>-1200</v>
      </c>
      <c r="D187" s="19">
        <v>-3130</v>
      </c>
      <c r="E187" s="19">
        <v>-3176</v>
      </c>
      <c r="F187" s="19">
        <v>-3391</v>
      </c>
      <c r="G187" s="1">
        <f>F187</f>
        <v>-3391</v>
      </c>
      <c r="H187" s="19">
        <v>-67</v>
      </c>
      <c r="I187" s="19">
        <v>-148</v>
      </c>
      <c r="J187" s="16">
        <f>I187+J70</f>
        <v>-148</v>
      </c>
      <c r="K187" s="4" t="s">
        <v>487</v>
      </c>
      <c r="L187" s="3"/>
      <c r="M187" s="3"/>
    </row>
    <row r="188">
      <c r="A188" s="3"/>
      <c r="B188" s="29" t="s">
        <v>510</v>
      </c>
      <c r="C188" s="19">
        <v>2</v>
      </c>
      <c r="D188" s="19">
        <v>5</v>
      </c>
      <c r="E188" s="19">
        <v>5</v>
      </c>
      <c r="F188" s="19">
        <v>39</v>
      </c>
      <c r="G188" s="1">
        <f>F188</f>
        <v>39</v>
      </c>
      <c r="H188" s="19">
        <v>0</v>
      </c>
      <c r="I188" s="19">
        <v>0</v>
      </c>
      <c r="J188" s="16">
        <f>I188+J71</f>
        <v>0</v>
      </c>
      <c r="K188" s="4" t="s">
        <v>487</v>
      </c>
      <c r="L188" s="3"/>
      <c r="M188" s="3"/>
    </row>
    <row r="189">
      <c r="A189" s="3"/>
      <c r="B189" s="29" t="s">
        <v>511</v>
      </c>
      <c r="C189" s="19">
        <v>0</v>
      </c>
      <c r="D189" s="19">
        <v>0</v>
      </c>
      <c r="E189" s="19">
        <v>-190</v>
      </c>
      <c r="F189" s="19">
        <v>-190</v>
      </c>
      <c r="G189" s="1">
        <f>F189</f>
        <v>-190</v>
      </c>
      <c r="H189" s="19">
        <v>0</v>
      </c>
      <c r="I189" s="19">
        <v>-80</v>
      </c>
      <c r="J189" s="16">
        <f>I189+J72</f>
        <v>-80</v>
      </c>
      <c r="K189" s="4" t="s">
        <v>487</v>
      </c>
      <c r="L189" s="3"/>
      <c r="M189" s="3"/>
    </row>
    <row r="190">
      <c r="A190" s="3"/>
      <c r="B190" s="29" t="s">
        <v>512</v>
      </c>
      <c r="C190" s="19">
        <v>425</v>
      </c>
      <c r="D190" s="19">
        <v>425</v>
      </c>
      <c r="E190" s="19">
        <v>425</v>
      </c>
      <c r="F190" s="19">
        <v>605</v>
      </c>
      <c r="G190" s="1">
        <f>F190</f>
        <v>605</v>
      </c>
      <c r="H190" s="19">
        <v>0</v>
      </c>
      <c r="I190" s="19">
        <v>8</v>
      </c>
      <c r="J190" s="16">
        <f>I190+J73</f>
        <v>8</v>
      </c>
      <c r="K190" s="4" t="s">
        <v>487</v>
      </c>
      <c r="L190" s="3"/>
      <c r="M190" s="3"/>
    </row>
    <row r="191">
      <c r="A191" s="3"/>
      <c r="B191" s="29" t="s">
        <v>513</v>
      </c>
      <c r="C191" s="19">
        <v>0</v>
      </c>
      <c r="D191" s="19">
        <v>0</v>
      </c>
      <c r="E191" s="19">
        <v>0</v>
      </c>
      <c r="F191" s="19">
        <v>0</v>
      </c>
      <c r="G191" s="1">
        <f>F191</f>
        <v>0</v>
      </c>
      <c r="H191" s="19">
        <v>14</v>
      </c>
      <c r="I191" s="19">
        <v>14</v>
      </c>
      <c r="J191" s="16">
        <f>I191+J74</f>
        <v>14</v>
      </c>
      <c r="K191" s="4" t="s">
        <v>487</v>
      </c>
      <c r="L191" s="3"/>
      <c r="M191" s="3"/>
    </row>
    <row r="192">
      <c r="A192" s="3"/>
      <c r="B192" s="29" t="s">
        <v>514</v>
      </c>
      <c r="C192" s="19">
        <v>16</v>
      </c>
      <c r="D192" s="19">
        <v>22</v>
      </c>
      <c r="E192" s="19">
        <v>43</v>
      </c>
      <c r="F192" s="19">
        <v>45</v>
      </c>
      <c r="G192" s="1">
        <f>F192</f>
        <v>45</v>
      </c>
      <c r="H192" s="19">
        <v>-9</v>
      </c>
      <c r="I192" s="19">
        <v>-10</v>
      </c>
      <c r="J192" s="16">
        <f>I192+J75</f>
        <v>-10</v>
      </c>
      <c r="K192" s="4" t="s">
        <v>487</v>
      </c>
      <c r="L192" s="3"/>
      <c r="M192" s="3"/>
    </row>
    <row r="193">
      <c r="A193" s="3"/>
      <c r="B193" s="29" t="s">
        <v>515</v>
      </c>
      <c r="C193" s="19">
        <v>-4</v>
      </c>
      <c r="D193" s="19">
        <v>-111</v>
      </c>
      <c r="E193" s="19">
        <v>-117</v>
      </c>
      <c r="F193" s="19">
        <v>-100</v>
      </c>
      <c r="G193" s="1">
        <f>F193</f>
        <v>-100</v>
      </c>
      <c r="H193" s="19">
        <v>19</v>
      </c>
      <c r="I193" s="19">
        <v>19</v>
      </c>
      <c r="J193" s="16">
        <f>I193+J76</f>
        <v>19</v>
      </c>
      <c r="K193" s="4" t="s">
        <v>487</v>
      </c>
      <c r="L193" s="3"/>
      <c r="M193" s="3"/>
    </row>
    <row r="194">
      <c r="A194" s="3"/>
      <c r="B194" s="29" t="s">
        <v>516</v>
      </c>
      <c r="C194" s="19">
        <v>3505</v>
      </c>
      <c r="D194" s="19">
        <v>3521</v>
      </c>
      <c r="E194" s="19">
        <v>8179</v>
      </c>
      <c r="F194" s="19">
        <v>8189</v>
      </c>
      <c r="G194" s="1">
        <f>F194</f>
        <v>8189</v>
      </c>
      <c r="H194" s="19">
        <v>2964</v>
      </c>
      <c r="I194" s="19">
        <v>2974</v>
      </c>
      <c r="J194" s="16">
        <f>I194+J79</f>
        <v>2974</v>
      </c>
      <c r="K194" s="4" t="s">
        <v>487</v>
      </c>
      <c r="L194" s="3"/>
      <c r="M194" s="3"/>
    </row>
    <row r="195">
      <c r="A195" s="3"/>
      <c r="B195" s="29" t="s">
        <v>517</v>
      </c>
      <c r="C195" s="19">
        <v>-1541</v>
      </c>
      <c r="D195" s="19">
        <v>-2543</v>
      </c>
      <c r="E195" s="19">
        <v>-3245</v>
      </c>
      <c r="F195" s="19">
        <v>-4082</v>
      </c>
      <c r="G195" s="1">
        <f>F195</f>
        <v>-4082</v>
      </c>
      <c r="H195" s="19">
        <v>-1629</v>
      </c>
      <c r="I195" s="19">
        <v>-2221</v>
      </c>
      <c r="J195" s="16">
        <f>I195+J80</f>
        <v>-2221</v>
      </c>
      <c r="K195" s="4" t="s">
        <v>487</v>
      </c>
      <c r="L195" s="3"/>
      <c r="M195" s="3"/>
    </row>
    <row r="196">
      <c r="A196" s="3"/>
      <c r="B196" s="29" t="s">
        <v>518</v>
      </c>
      <c r="C196" s="19">
        <v>3656</v>
      </c>
      <c r="D196" s="19">
        <v>5251</v>
      </c>
      <c r="E196" s="19">
        <v>5528</v>
      </c>
      <c r="F196" s="19">
        <v>6391</v>
      </c>
      <c r="G196" s="1">
        <f>F196</f>
        <v>6391</v>
      </c>
      <c r="H196" s="19">
        <v>1937</v>
      </c>
      <c r="I196" s="19">
        <v>3987</v>
      </c>
      <c r="J196" s="16">
        <f>I196+J81</f>
        <v>3987</v>
      </c>
      <c r="K196" s="4" t="s">
        <v>487</v>
      </c>
      <c r="L196" s="3"/>
      <c r="M196" s="3"/>
    </row>
    <row r="197">
      <c r="A197" s="3"/>
      <c r="B197" s="29" t="s">
        <v>519</v>
      </c>
      <c r="C197" s="19">
        <v>-2119</v>
      </c>
      <c r="D197" s="19">
        <v>-2492</v>
      </c>
      <c r="E197" s="19">
        <v>-5417</v>
      </c>
      <c r="F197" s="19">
        <v>-7920</v>
      </c>
      <c r="G197" s="1">
        <f>F197</f>
        <v>-7920</v>
      </c>
      <c r="H197" s="19">
        <v>-676</v>
      </c>
      <c r="I197" s="19">
        <v>-1750</v>
      </c>
      <c r="J197" s="16">
        <f>I197+J82</f>
        <v>-1750</v>
      </c>
      <c r="K197" s="4" t="s">
        <v>487</v>
      </c>
      <c r="L197" s="3"/>
      <c r="M197" s="3"/>
    </row>
    <row r="198">
      <c r="A198" s="3"/>
      <c r="B198" s="29" t="s">
        <v>520</v>
      </c>
      <c r="C198" s="19">
        <v>373</v>
      </c>
      <c r="D198" s="19">
        <v>2438</v>
      </c>
      <c r="E198" s="19">
        <v>445</v>
      </c>
      <c r="F198" s="19">
        <v>1170</v>
      </c>
      <c r="G198" s="1">
        <f>F198</f>
        <v>1170</v>
      </c>
      <c r="H198" s="19">
        <v>1198</v>
      </c>
      <c r="I198" s="19">
        <v>1271</v>
      </c>
      <c r="J198" s="16">
        <f>I198+J83</f>
        <v>1271</v>
      </c>
      <c r="K198" s="4" t="s">
        <v>487</v>
      </c>
      <c r="L198" s="3"/>
      <c r="M198" s="3"/>
    </row>
    <row r="199">
      <c r="A199" s="3"/>
      <c r="B199" s="29" t="s">
        <v>521</v>
      </c>
      <c r="C199" s="19">
        <v>-1882</v>
      </c>
      <c r="D199" s="19">
        <v>-3743</v>
      </c>
      <c r="E199" s="19">
        <v>-5692</v>
      </c>
      <c r="F199" s="19">
        <v>-7638</v>
      </c>
      <c r="G199" s="1">
        <f>F199</f>
        <v>-7638</v>
      </c>
      <c r="H199" s="19">
        <v>-1966</v>
      </c>
      <c r="I199" s="19">
        <v>-3914</v>
      </c>
      <c r="J199" s="16">
        <f>I199+J84</f>
        <v>-5934.937153846154</v>
      </c>
      <c r="K199" s="4" t="s">
        <v>487</v>
      </c>
      <c r="L199" s="3"/>
      <c r="M199" s="3"/>
    </row>
    <row r="200">
      <c r="A200" s="3"/>
      <c r="B200" s="29" t="s">
        <v>522</v>
      </c>
      <c r="C200" s="19">
        <v>-183</v>
      </c>
      <c r="D200" s="19">
        <v>-494</v>
      </c>
      <c r="E200" s="19">
        <v>-752</v>
      </c>
      <c r="F200" s="19">
        <v>-1000</v>
      </c>
      <c r="G200" s="1">
        <f>F200</f>
        <v>-1000</v>
      </c>
      <c r="H200" s="19">
        <v>-182</v>
      </c>
      <c r="I200" s="19">
        <v>-479</v>
      </c>
      <c r="J200" s="16">
        <f>I200+J85</f>
        <v>-739.5</v>
      </c>
      <c r="K200" s="4" t="s">
        <v>487</v>
      </c>
      <c r="L200" s="3"/>
      <c r="M200" s="3"/>
    </row>
    <row r="201">
      <c r="A201" s="3"/>
      <c r="B201" s="29" t="s">
        <v>523</v>
      </c>
      <c r="C201" s="19">
        <v>50</v>
      </c>
      <c r="D201" s="19">
        <v>58</v>
      </c>
      <c r="E201" s="19">
        <v>76</v>
      </c>
      <c r="F201" s="19">
        <v>97</v>
      </c>
      <c r="G201" s="1">
        <f>F201</f>
        <v>97</v>
      </c>
      <c r="H201" s="19">
        <v>93</v>
      </c>
      <c r="I201" s="19">
        <v>99</v>
      </c>
      <c r="J201" s="16">
        <f>I201+J86</f>
        <v>117</v>
      </c>
      <c r="K201" s="4" t="s">
        <v>487</v>
      </c>
      <c r="L201" s="3"/>
      <c r="M201" s="3"/>
    </row>
    <row r="202">
      <c r="A202" s="3"/>
      <c r="B202" s="29" t="s">
        <v>524</v>
      </c>
      <c r="C202" s="19">
        <v>-89</v>
      </c>
      <c r="D202" s="19">
        <v>-111</v>
      </c>
      <c r="E202" s="19">
        <v>-112</v>
      </c>
      <c r="F202" s="19">
        <v>-113</v>
      </c>
      <c r="G202" s="1">
        <f>F202</f>
        <v>-113</v>
      </c>
      <c r="H202" s="19">
        <v>-76</v>
      </c>
      <c r="I202" s="19">
        <v>-95</v>
      </c>
      <c r="J202" s="16">
        <f>I202+J89</f>
        <v>-96</v>
      </c>
      <c r="K202" s="4" t="s">
        <v>487</v>
      </c>
      <c r="L202" s="3"/>
      <c r="M202" s="3"/>
    </row>
    <row r="203">
      <c r="A203" s="3"/>
      <c r="B203" s="29" t="s">
        <v>525</v>
      </c>
      <c r="C203" s="19">
        <v>-2</v>
      </c>
      <c r="D203" s="19">
        <v>-17</v>
      </c>
      <c r="E203" s="19">
        <v>-18</v>
      </c>
      <c r="F203" s="19">
        <v>-73</v>
      </c>
      <c r="G203" s="1">
        <f>F203</f>
        <v>-73</v>
      </c>
      <c r="H203" s="19">
        <v>-1</v>
      </c>
      <c r="I203" s="19">
        <v>-2</v>
      </c>
      <c r="J203" s="16">
        <f>I203+J92</f>
        <v>-3</v>
      </c>
      <c r="K203" s="4" t="s">
        <v>487</v>
      </c>
      <c r="L203" s="3"/>
      <c r="M203" s="3"/>
    </row>
    <row r="204">
      <c r="A204" s="3"/>
      <c r="B204" s="29" t="s">
        <v>526</v>
      </c>
      <c r="C204" s="19">
        <v>203</v>
      </c>
      <c r="D204" s="19">
        <v>422</v>
      </c>
      <c r="E204" s="19">
        <v>395</v>
      </c>
      <c r="F204" s="19">
        <v>422</v>
      </c>
      <c r="G204" s="1">
        <f>F204</f>
        <v>422</v>
      </c>
      <c r="H204" s="19">
        <v>121</v>
      </c>
      <c r="I204" s="19">
        <v>256</v>
      </c>
      <c r="J204" s="16">
        <f>I204+J96</f>
        <v>256</v>
      </c>
      <c r="K204" s="4" t="s">
        <v>487</v>
      </c>
      <c r="L204" s="3"/>
      <c r="M204" s="3"/>
    </row>
    <row r="205">
      <c r="A205" s="3"/>
      <c r="B205" s="29" t="s">
        <v>527</v>
      </c>
      <c r="C205" s="19">
        <v>8553</v>
      </c>
      <c r="D205" s="19">
        <v>8553</v>
      </c>
      <c r="E205" s="19">
        <v>8553</v>
      </c>
      <c r="F205" s="19">
        <v>8553</v>
      </c>
      <c r="G205" s="1">
        <f>F205</f>
        <v>8553</v>
      </c>
      <c r="H205" s="19">
        <v>9204</v>
      </c>
      <c r="I205" s="19">
        <v>9204</v>
      </c>
      <c r="J205" s="16">
        <f>I205</f>
        <v>9204</v>
      </c>
      <c r="K205" s="4"/>
      <c r="L205" s="3"/>
      <c r="M205" s="3"/>
    </row>
    <row r="206">
      <c r="A206" s="3"/>
      <c r="B206" s="29" t="s">
        <v>528</v>
      </c>
      <c r="C206" s="19">
        <v>8319</v>
      </c>
      <c r="D206" s="19">
        <v>7712</v>
      </c>
      <c r="E206" s="19">
        <v>8171</v>
      </c>
      <c r="F206" s="19">
        <v>9204</v>
      </c>
      <c r="G206" s="1">
        <f>F206</f>
        <v>9204</v>
      </c>
      <c r="H206" s="19">
        <v>10551</v>
      </c>
      <c r="I206" s="19">
        <v>10303</v>
      </c>
      <c r="J206" s="16">
        <f>J99</f>
        <v>11815.339377040385</v>
      </c>
      <c r="K206" s="4"/>
      <c r="L206" s="3"/>
      <c r="M206" s="3"/>
    </row>
    <row r="207">
      <c r="A207" s="3"/>
      <c r="B207" s="29" t="s">
        <v>529</v>
      </c>
      <c r="C207" s="19">
        <v>-973</v>
      </c>
      <c r="D207" s="19">
        <v>996</v>
      </c>
      <c r="E207" s="19">
        <v>5468</v>
      </c>
      <c r="F207" s="19">
        <v>12087</v>
      </c>
      <c r="G207" s="1">
        <f>F207</f>
        <v>12087</v>
      </c>
      <c r="H207" s="19">
        <v>41</v>
      </c>
      <c r="I207" s="19">
        <v>2365</v>
      </c>
      <c r="J207" s="16" t="s">
        <v>44</v>
      </c>
      <c r="K207" s="4"/>
      <c r="L207" s="3"/>
      <c r="M207" s="3"/>
    </row>
    <row r="208">
      <c r="A208" s="3"/>
      <c r="B208" s="12" t="s">
        <v>530</v>
      </c>
      <c r="C208" s="52">
        <f>SUM(C164:C184)-C207</f>
        <v>0</v>
      </c>
      <c r="D208" s="52">
        <f>SUM(D164:D184)-D207</f>
        <v>0</v>
      </c>
      <c r="E208" s="52">
        <f>SUM(E164:E184)-E207</f>
        <v>0</v>
      </c>
      <c r="F208" s="52">
        <f>SUM(F164:F184)-F207</f>
        <v>0</v>
      </c>
      <c r="G208" s="52">
        <f>SUM(G164:G184)-G207</f>
        <v>0</v>
      </c>
      <c r="H208" s="52">
        <f>SUM(H164:H184)-H207</f>
        <v>0</v>
      </c>
      <c r="I208" s="52">
        <f>SUM(I164:I184)-I207</f>
        <v>0</v>
      </c>
      <c r="J208" s="62" t="s">
        <v>44</v>
      </c>
      <c r="K208" s="4"/>
      <c r="L208" s="3"/>
      <c r="M208" s="3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M6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531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532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3" t="s">
        <v>533</v>
      </c>
      <c r="C10" s="1" t="s">
        <v>44</v>
      </c>
      <c r="D10" s="1" t="s">
        <v>44</v>
      </c>
      <c r="E10" s="1" t="s">
        <v>44</v>
      </c>
      <c r="F10" s="1" t="s">
        <v>44</v>
      </c>
      <c r="G10" s="19">
        <v>52228</v>
      </c>
      <c r="H10" s="1" t="s">
        <v>44</v>
      </c>
      <c r="I10" s="1" t="s">
        <v>44</v>
      </c>
      <c r="J10" s="16" t="s">
        <v>44</v>
      </c>
      <c r="K10" s="4" t="s">
        <v>534</v>
      </c>
      <c r="L10" s="3"/>
      <c r="M10" s="3"/>
    </row>
    <row r="11">
      <c r="A11" s="3"/>
      <c r="B11" s="29" t="s">
        <v>535</v>
      </c>
      <c r="C11" s="1" t="s">
        <v>44</v>
      </c>
      <c r="D11" s="1" t="s">
        <v>44</v>
      </c>
      <c r="E11" s="1" t="s">
        <v>44</v>
      </c>
      <c r="F11" s="1" t="s">
        <v>44</v>
      </c>
      <c r="G11" s="19">
        <v>51668</v>
      </c>
      <c r="H11" s="1" t="s">
        <v>44</v>
      </c>
      <c r="I11" s="1" t="s">
        <v>44</v>
      </c>
      <c r="J11" s="16" t="s">
        <v>44</v>
      </c>
      <c r="K11" s="4"/>
      <c r="L11" s="3"/>
      <c r="M11" s="3"/>
    </row>
    <row r="12">
      <c r="A12" s="3"/>
      <c r="B12" s="56" t="s">
        <v>77</v>
      </c>
      <c r="C12" s="7" t="s">
        <v>44</v>
      </c>
      <c r="D12" s="7" t="s">
        <v>44</v>
      </c>
      <c r="E12" s="7" t="s">
        <v>44</v>
      </c>
      <c r="F12" s="7" t="s">
        <v>44</v>
      </c>
      <c r="G12" s="7">
        <f>IFERROR(IF(OR(G10&lt;0,G11&lt;0),"n.m.",G10/G11-1),"n/a")</f>
        <v>0.010838429976000707</v>
      </c>
      <c r="H12" s="7" t="s">
        <v>44</v>
      </c>
      <c r="I12" s="7" t="s">
        <v>44</v>
      </c>
      <c r="J12" s="25" t="s">
        <v>44</v>
      </c>
      <c r="K12" s="4"/>
      <c r="L12" s="3"/>
      <c r="M12" s="3"/>
    </row>
    <row r="13">
      <c r="A13" s="3"/>
      <c r="B13" s="56" t="s">
        <v>79</v>
      </c>
      <c r="C13" s="7" t="s">
        <v>44</v>
      </c>
      <c r="D13" s="7" t="s">
        <v>44</v>
      </c>
      <c r="E13" s="7" t="s">
        <v>44</v>
      </c>
      <c r="F13" s="7" t="s">
        <v>44</v>
      </c>
      <c r="G13" s="7">
        <f>IFERROR(G10/G46,"n/a")</f>
        <v>0.5560606867181261</v>
      </c>
      <c r="H13" s="7" t="s">
        <v>44</v>
      </c>
      <c r="I13" s="7" t="s">
        <v>44</v>
      </c>
      <c r="J13" s="25" t="s">
        <v>44</v>
      </c>
      <c r="K13" s="4"/>
      <c r="L13" s="3"/>
      <c r="M13" s="3"/>
    </row>
    <row r="14">
      <c r="A14" s="3"/>
      <c r="B14" s="3" t="s">
        <v>536</v>
      </c>
      <c r="C14" s="1" t="s">
        <v>44</v>
      </c>
      <c r="D14" s="1" t="s">
        <v>44</v>
      </c>
      <c r="E14" s="1" t="s">
        <v>44</v>
      </c>
      <c r="F14" s="1" t="s">
        <v>44</v>
      </c>
      <c r="G14" s="19">
        <v>6947</v>
      </c>
      <c r="H14" s="1" t="s">
        <v>44</v>
      </c>
      <c r="I14" s="1" t="s">
        <v>44</v>
      </c>
      <c r="J14" s="16" t="s">
        <v>44</v>
      </c>
      <c r="K14" s="4" t="s">
        <v>534</v>
      </c>
      <c r="L14" s="3"/>
      <c r="M14" s="3"/>
    </row>
    <row r="15">
      <c r="A15" s="3"/>
      <c r="B15" s="29" t="s">
        <v>535</v>
      </c>
      <c r="C15" s="1" t="s">
        <v>44</v>
      </c>
      <c r="D15" s="1" t="s">
        <v>44</v>
      </c>
      <c r="E15" s="1" t="s">
        <v>44</v>
      </c>
      <c r="F15" s="1" t="s">
        <v>44</v>
      </c>
      <c r="G15" s="19">
        <v>7123</v>
      </c>
      <c r="H15" s="1" t="s">
        <v>44</v>
      </c>
      <c r="I15" s="1" t="s">
        <v>44</v>
      </c>
      <c r="J15" s="16" t="s">
        <v>44</v>
      </c>
      <c r="K15" s="4"/>
      <c r="L15" s="3"/>
      <c r="M15" s="3"/>
    </row>
    <row r="16">
      <c r="A16" s="3"/>
      <c r="B16" s="56" t="s">
        <v>77</v>
      </c>
      <c r="C16" s="7" t="s">
        <v>44</v>
      </c>
      <c r="D16" s="7" t="s">
        <v>44</v>
      </c>
      <c r="E16" s="7" t="s">
        <v>44</v>
      </c>
      <c r="F16" s="7" t="s">
        <v>44</v>
      </c>
      <c r="G16" s="7">
        <f>IFERROR(IF(OR(G14&lt;0,G15&lt;0),"n.m.",G14/G15-1),"n/a")</f>
        <v>-0.024708690158640967</v>
      </c>
      <c r="H16" s="7" t="s">
        <v>44</v>
      </c>
      <c r="I16" s="7" t="s">
        <v>44</v>
      </c>
      <c r="J16" s="25" t="s">
        <v>44</v>
      </c>
      <c r="K16" s="4"/>
      <c r="L16" s="3"/>
      <c r="M16" s="3"/>
    </row>
    <row r="17">
      <c r="A17" s="3"/>
      <c r="B17" s="56" t="s">
        <v>79</v>
      </c>
      <c r="C17" s="7" t="s">
        <v>44</v>
      </c>
      <c r="D17" s="7" t="s">
        <v>44</v>
      </c>
      <c r="E17" s="7" t="s">
        <v>44</v>
      </c>
      <c r="F17" s="7" t="s">
        <v>44</v>
      </c>
      <c r="G17" s="7">
        <f>IFERROR(G14/G46,"n/a")</f>
        <v>0.07396326856534469</v>
      </c>
      <c r="H17" s="7" t="s">
        <v>44</v>
      </c>
      <c r="I17" s="7" t="s">
        <v>44</v>
      </c>
      <c r="J17" s="25" t="s">
        <v>44</v>
      </c>
      <c r="K17" s="4"/>
      <c r="L17" s="3"/>
      <c r="M17" s="3"/>
    </row>
    <row r="18">
      <c r="A18" s="3"/>
      <c r="B18" s="3" t="s">
        <v>537</v>
      </c>
      <c r="C18" s="1" t="s">
        <v>44</v>
      </c>
      <c r="D18" s="1" t="s">
        <v>44</v>
      </c>
      <c r="E18" s="1" t="s">
        <v>44</v>
      </c>
      <c r="F18" s="1" t="s">
        <v>44</v>
      </c>
      <c r="G18" s="19">
        <v>4768</v>
      </c>
      <c r="H18" s="1" t="s">
        <v>44</v>
      </c>
      <c r="I18" s="1" t="s">
        <v>44</v>
      </c>
      <c r="J18" s="16" t="s">
        <v>44</v>
      </c>
      <c r="K18" s="4" t="s">
        <v>534</v>
      </c>
      <c r="L18" s="3"/>
      <c r="M18" s="3"/>
    </row>
    <row r="19">
      <c r="A19" s="3"/>
      <c r="B19" s="29" t="s">
        <v>535</v>
      </c>
      <c r="C19" s="1" t="s">
        <v>44</v>
      </c>
      <c r="D19" s="1" t="s">
        <v>44</v>
      </c>
      <c r="E19" s="1" t="s">
        <v>44</v>
      </c>
      <c r="F19" s="1" t="s">
        <v>44</v>
      </c>
      <c r="G19" s="19">
        <v>3880</v>
      </c>
      <c r="H19" s="1" t="s">
        <v>44</v>
      </c>
      <c r="I19" s="1" t="s">
        <v>44</v>
      </c>
      <c r="J19" s="16" t="s">
        <v>44</v>
      </c>
      <c r="K19" s="4"/>
      <c r="L19" s="3"/>
      <c r="M19" s="3"/>
    </row>
    <row r="20">
      <c r="A20" s="3"/>
      <c r="B20" s="56" t="s">
        <v>77</v>
      </c>
      <c r="C20" s="7" t="s">
        <v>44</v>
      </c>
      <c r="D20" s="7" t="s">
        <v>44</v>
      </c>
      <c r="E20" s="7" t="s">
        <v>44</v>
      </c>
      <c r="F20" s="7" t="s">
        <v>44</v>
      </c>
      <c r="G20" s="7">
        <f>IFERROR(IF(OR(G18&lt;0,G19&lt;0),"n.m.",G18/G19-1),"n/a")</f>
        <v>0.22886597938144337</v>
      </c>
      <c r="H20" s="7" t="s">
        <v>44</v>
      </c>
      <c r="I20" s="7" t="s">
        <v>44</v>
      </c>
      <c r="J20" s="25" t="s">
        <v>44</v>
      </c>
      <c r="K20" s="4"/>
      <c r="L20" s="3"/>
      <c r="M20" s="3"/>
    </row>
    <row r="21">
      <c r="A21" s="3"/>
      <c r="B21" s="56" t="s">
        <v>79</v>
      </c>
      <c r="C21" s="7" t="s">
        <v>44</v>
      </c>
      <c r="D21" s="7" t="s">
        <v>44</v>
      </c>
      <c r="E21" s="7" t="s">
        <v>44</v>
      </c>
      <c r="F21" s="7" t="s">
        <v>44</v>
      </c>
      <c r="G21" s="7">
        <f>IFERROR(G18/G46,"n/a")</f>
        <v>0.05076390737290391</v>
      </c>
      <c r="H21" s="7" t="s">
        <v>44</v>
      </c>
      <c r="I21" s="7" t="s">
        <v>44</v>
      </c>
      <c r="J21" s="25" t="s">
        <v>44</v>
      </c>
      <c r="K21" s="4"/>
      <c r="L21" s="3"/>
      <c r="M21" s="3"/>
    </row>
    <row r="22">
      <c r="A22" s="3"/>
      <c r="B22" s="3" t="s">
        <v>538</v>
      </c>
      <c r="C22" s="1" t="s">
        <v>44</v>
      </c>
      <c r="D22" s="1" t="s">
        <v>44</v>
      </c>
      <c r="E22" s="1" t="s">
        <v>44</v>
      </c>
      <c r="F22" s="1" t="s">
        <v>44</v>
      </c>
      <c r="G22" s="19">
        <v>3729</v>
      </c>
      <c r="H22" s="1" t="s">
        <v>44</v>
      </c>
      <c r="I22" s="1" t="s">
        <v>44</v>
      </c>
      <c r="J22" s="16" t="s">
        <v>44</v>
      </c>
      <c r="K22" s="4" t="s">
        <v>534</v>
      </c>
      <c r="L22" s="3"/>
      <c r="M22" s="3"/>
    </row>
    <row r="23">
      <c r="A23" s="3"/>
      <c r="B23" s="29" t="s">
        <v>535</v>
      </c>
      <c r="C23" s="1" t="s">
        <v>44</v>
      </c>
      <c r="D23" s="1" t="s">
        <v>44</v>
      </c>
      <c r="E23" s="1" t="s">
        <v>44</v>
      </c>
      <c r="F23" s="1" t="s">
        <v>44</v>
      </c>
      <c r="G23" s="19">
        <v>3764</v>
      </c>
      <c r="H23" s="1" t="s">
        <v>44</v>
      </c>
      <c r="I23" s="1" t="s">
        <v>44</v>
      </c>
      <c r="J23" s="16" t="s">
        <v>44</v>
      </c>
      <c r="K23" s="4"/>
      <c r="L23" s="3"/>
      <c r="M23" s="3"/>
    </row>
    <row r="24">
      <c r="A24" s="3"/>
      <c r="B24" s="56" t="s">
        <v>77</v>
      </c>
      <c r="C24" s="7" t="s">
        <v>44</v>
      </c>
      <c r="D24" s="7" t="s">
        <v>44</v>
      </c>
      <c r="E24" s="7" t="s">
        <v>44</v>
      </c>
      <c r="F24" s="7" t="s">
        <v>44</v>
      </c>
      <c r="G24" s="7">
        <f>IFERROR(IF(OR(G22&lt;0,G23&lt;0),"n.m.",G22/G23-1),"n/a")</f>
        <v>-0.009298618490967026</v>
      </c>
      <c r="H24" s="7" t="s">
        <v>44</v>
      </c>
      <c r="I24" s="7" t="s">
        <v>44</v>
      </c>
      <c r="J24" s="25" t="s">
        <v>44</v>
      </c>
      <c r="K24" s="4"/>
      <c r="L24" s="3"/>
      <c r="M24" s="3"/>
    </row>
    <row r="25">
      <c r="A25" s="3"/>
      <c r="B25" s="56" t="s">
        <v>79</v>
      </c>
      <c r="C25" s="7" t="s">
        <v>44</v>
      </c>
      <c r="D25" s="7" t="s">
        <v>44</v>
      </c>
      <c r="E25" s="7" t="s">
        <v>44</v>
      </c>
      <c r="F25" s="7" t="s">
        <v>44</v>
      </c>
      <c r="G25" s="7">
        <f>IFERROR(G22/G46,"n/a")</f>
        <v>0.039701889805696035</v>
      </c>
      <c r="H25" s="7" t="s">
        <v>44</v>
      </c>
      <c r="I25" s="7" t="s">
        <v>44</v>
      </c>
      <c r="J25" s="25" t="s">
        <v>44</v>
      </c>
      <c r="K25" s="4"/>
      <c r="L25" s="3"/>
      <c r="M25" s="3"/>
    </row>
    <row r="26">
      <c r="A26" s="3"/>
      <c r="B26" s="3" t="s">
        <v>539</v>
      </c>
      <c r="C26" s="1" t="s">
        <v>44</v>
      </c>
      <c r="D26" s="1" t="s">
        <v>44</v>
      </c>
      <c r="E26" s="1" t="s">
        <v>44</v>
      </c>
      <c r="F26" s="1" t="s">
        <v>44</v>
      </c>
      <c r="G26" s="19">
        <v>2621</v>
      </c>
      <c r="H26" s="1" t="s">
        <v>44</v>
      </c>
      <c r="I26" s="1" t="s">
        <v>44</v>
      </c>
      <c r="J26" s="16" t="s">
        <v>44</v>
      </c>
      <c r="K26" s="4" t="s">
        <v>534</v>
      </c>
      <c r="L26" s="3"/>
      <c r="M26" s="3"/>
    </row>
    <row r="27">
      <c r="A27" s="3"/>
      <c r="B27" s="29" t="s">
        <v>535</v>
      </c>
      <c r="C27" s="1" t="s">
        <v>44</v>
      </c>
      <c r="D27" s="1" t="s">
        <v>44</v>
      </c>
      <c r="E27" s="1" t="s">
        <v>44</v>
      </c>
      <c r="F27" s="1" t="s">
        <v>44</v>
      </c>
      <c r="G27" s="19">
        <v>2709</v>
      </c>
      <c r="H27" s="1" t="s">
        <v>44</v>
      </c>
      <c r="I27" s="1" t="s">
        <v>44</v>
      </c>
      <c r="J27" s="16" t="s">
        <v>44</v>
      </c>
      <c r="K27" s="4"/>
      <c r="L27" s="3"/>
      <c r="M27" s="3"/>
    </row>
    <row r="28">
      <c r="A28" s="3"/>
      <c r="B28" s="56" t="s">
        <v>77</v>
      </c>
      <c r="C28" s="7" t="s">
        <v>44</v>
      </c>
      <c r="D28" s="7" t="s">
        <v>44</v>
      </c>
      <c r="E28" s="7" t="s">
        <v>44</v>
      </c>
      <c r="F28" s="7" t="s">
        <v>44</v>
      </c>
      <c r="G28" s="7">
        <f>IFERROR(IF(OR(G26&lt;0,G27&lt;0),"n.m.",G26/G27-1),"n/a")</f>
        <v>-0.03248431155407905</v>
      </c>
      <c r="H28" s="7" t="s">
        <v>44</v>
      </c>
      <c r="I28" s="7" t="s">
        <v>44</v>
      </c>
      <c r="J28" s="25" t="s">
        <v>44</v>
      </c>
      <c r="K28" s="4"/>
      <c r="L28" s="3"/>
      <c r="M28" s="3"/>
    </row>
    <row r="29">
      <c r="A29" s="3"/>
      <c r="B29" s="56" t="s">
        <v>79</v>
      </c>
      <c r="C29" s="7" t="s">
        <v>44</v>
      </c>
      <c r="D29" s="7" t="s">
        <v>44</v>
      </c>
      <c r="E29" s="7" t="s">
        <v>44</v>
      </c>
      <c r="F29" s="7" t="s">
        <v>44</v>
      </c>
      <c r="G29" s="7">
        <f>IFERROR(G26/G46,"n/a")</f>
        <v>0.027905243545381955</v>
      </c>
      <c r="H29" s="7" t="s">
        <v>44</v>
      </c>
      <c r="I29" s="7" t="s">
        <v>44</v>
      </c>
      <c r="J29" s="25" t="s">
        <v>44</v>
      </c>
      <c r="K29" s="4"/>
      <c r="L29" s="3"/>
      <c r="M29" s="3"/>
    </row>
    <row r="30">
      <c r="A30" s="3"/>
      <c r="B30" s="3" t="s">
        <v>540</v>
      </c>
      <c r="C30" s="1" t="s">
        <v>44</v>
      </c>
      <c r="D30" s="1" t="s">
        <v>44</v>
      </c>
      <c r="E30" s="1" t="s">
        <v>44</v>
      </c>
      <c r="F30" s="1" t="s">
        <v>44</v>
      </c>
      <c r="G30" s="19">
        <v>2142</v>
      </c>
      <c r="H30" s="1" t="s">
        <v>44</v>
      </c>
      <c r="I30" s="1" t="s">
        <v>44</v>
      </c>
      <c r="J30" s="16" t="s">
        <v>44</v>
      </c>
      <c r="K30" s="4" t="s">
        <v>534</v>
      </c>
      <c r="L30" s="3"/>
      <c r="M30" s="3"/>
    </row>
    <row r="31">
      <c r="A31" s="3"/>
      <c r="B31" s="29" t="s">
        <v>535</v>
      </c>
      <c r="C31" s="1" t="s">
        <v>44</v>
      </c>
      <c r="D31" s="1" t="s">
        <v>44</v>
      </c>
      <c r="E31" s="1" t="s">
        <v>44</v>
      </c>
      <c r="F31" s="1" t="s">
        <v>44</v>
      </c>
      <c r="G31" s="19">
        <v>2063</v>
      </c>
      <c r="H31" s="1" t="s">
        <v>44</v>
      </c>
      <c r="I31" s="1" t="s">
        <v>44</v>
      </c>
      <c r="J31" s="16" t="s">
        <v>44</v>
      </c>
      <c r="K31" s="4"/>
      <c r="L31" s="3"/>
      <c r="M31" s="3"/>
    </row>
    <row r="32">
      <c r="A32" s="3"/>
      <c r="B32" s="56" t="s">
        <v>77</v>
      </c>
      <c r="C32" s="7" t="s">
        <v>44</v>
      </c>
      <c r="D32" s="7" t="s">
        <v>44</v>
      </c>
      <c r="E32" s="7" t="s">
        <v>44</v>
      </c>
      <c r="F32" s="7" t="s">
        <v>44</v>
      </c>
      <c r="G32" s="7">
        <f>IFERROR(IF(OR(G30&lt;0,G31&lt;0),"n.m.",G30/G31-1),"n/a")</f>
        <v>0.03829374697043142</v>
      </c>
      <c r="H32" s="7" t="s">
        <v>44</v>
      </c>
      <c r="I32" s="7" t="s">
        <v>44</v>
      </c>
      <c r="J32" s="25" t="s">
        <v>44</v>
      </c>
      <c r="K32" s="4"/>
      <c r="L32" s="3"/>
      <c r="M32" s="3"/>
    </row>
    <row r="33">
      <c r="A33" s="3"/>
      <c r="B33" s="56" t="s">
        <v>79</v>
      </c>
      <c r="C33" s="7" t="s">
        <v>44</v>
      </c>
      <c r="D33" s="7" t="s">
        <v>44</v>
      </c>
      <c r="E33" s="7" t="s">
        <v>44</v>
      </c>
      <c r="F33" s="7" t="s">
        <v>44</v>
      </c>
      <c r="G33" s="7">
        <f>IFERROR(G30/G46,"n/a")</f>
        <v>0.022805429864253393</v>
      </c>
      <c r="H33" s="7" t="s">
        <v>44</v>
      </c>
      <c r="I33" s="7" t="s">
        <v>44</v>
      </c>
      <c r="J33" s="25" t="s">
        <v>44</v>
      </c>
      <c r="K33" s="4"/>
      <c r="L33" s="3"/>
      <c r="M33" s="3"/>
    </row>
    <row r="34">
      <c r="A34" s="3"/>
      <c r="B34" s="3" t="s">
        <v>541</v>
      </c>
      <c r="C34" s="1" t="s">
        <v>44</v>
      </c>
      <c r="D34" s="1" t="s">
        <v>44</v>
      </c>
      <c r="E34" s="1" t="s">
        <v>44</v>
      </c>
      <c r="F34" s="1" t="s">
        <v>44</v>
      </c>
      <c r="G34" s="19">
        <v>1782</v>
      </c>
      <c r="H34" s="1" t="s">
        <v>44</v>
      </c>
      <c r="I34" s="1" t="s">
        <v>44</v>
      </c>
      <c r="J34" s="16" t="s">
        <v>44</v>
      </c>
      <c r="K34" s="4" t="s">
        <v>534</v>
      </c>
      <c r="L34" s="3"/>
      <c r="M34" s="3"/>
    </row>
    <row r="35">
      <c r="A35" s="3"/>
      <c r="B35" s="29" t="s">
        <v>535</v>
      </c>
      <c r="C35" s="1" t="s">
        <v>44</v>
      </c>
      <c r="D35" s="1" t="s">
        <v>44</v>
      </c>
      <c r="E35" s="1" t="s">
        <v>44</v>
      </c>
      <c r="F35" s="1" t="s">
        <v>44</v>
      </c>
      <c r="G35" s="19">
        <v>1765</v>
      </c>
      <c r="H35" s="1" t="s">
        <v>44</v>
      </c>
      <c r="I35" s="1" t="s">
        <v>44</v>
      </c>
      <c r="J35" s="16" t="s">
        <v>44</v>
      </c>
      <c r="K35" s="4"/>
      <c r="L35" s="3"/>
      <c r="M35" s="3"/>
    </row>
    <row r="36">
      <c r="A36" s="3"/>
      <c r="B36" s="56" t="s">
        <v>77</v>
      </c>
      <c r="C36" s="7" t="s">
        <v>44</v>
      </c>
      <c r="D36" s="7" t="s">
        <v>44</v>
      </c>
      <c r="E36" s="7" t="s">
        <v>44</v>
      </c>
      <c r="F36" s="7" t="s">
        <v>44</v>
      </c>
      <c r="G36" s="7">
        <f>IFERROR(IF(OR(G34&lt;0,G35&lt;0),"n.m.",G34/G35-1),"n/a")</f>
        <v>0.00963172804532575</v>
      </c>
      <c r="H36" s="7" t="s">
        <v>44</v>
      </c>
      <c r="I36" s="7" t="s">
        <v>44</v>
      </c>
      <c r="J36" s="25" t="s">
        <v>44</v>
      </c>
      <c r="K36" s="4"/>
      <c r="L36" s="3"/>
      <c r="M36" s="3"/>
    </row>
    <row r="37">
      <c r="A37" s="3"/>
      <c r="B37" s="56" t="s">
        <v>79</v>
      </c>
      <c r="C37" s="7" t="s">
        <v>44</v>
      </c>
      <c r="D37" s="7" t="s">
        <v>44</v>
      </c>
      <c r="E37" s="7" t="s">
        <v>44</v>
      </c>
      <c r="F37" s="7" t="s">
        <v>44</v>
      </c>
      <c r="G37" s="7">
        <f>IFERROR(G34/G46,"n/a")</f>
        <v>0.018972584508916687</v>
      </c>
      <c r="H37" s="7" t="s">
        <v>44</v>
      </c>
      <c r="I37" s="7" t="s">
        <v>44</v>
      </c>
      <c r="J37" s="25" t="s">
        <v>44</v>
      </c>
      <c r="K37" s="4"/>
      <c r="L37" s="3"/>
      <c r="M37" s="3"/>
    </row>
    <row r="38">
      <c r="A38" s="3"/>
      <c r="B38" s="3" t="s">
        <v>542</v>
      </c>
      <c r="C38" s="1" t="s">
        <v>44</v>
      </c>
      <c r="D38" s="1" t="s">
        <v>44</v>
      </c>
      <c r="E38" s="1" t="s">
        <v>44</v>
      </c>
      <c r="F38" s="1" t="s">
        <v>44</v>
      </c>
      <c r="G38" s="19">
        <v>1767</v>
      </c>
      <c r="H38" s="1" t="s">
        <v>44</v>
      </c>
      <c r="I38" s="1" t="s">
        <v>44</v>
      </c>
      <c r="J38" s="16" t="s">
        <v>44</v>
      </c>
      <c r="K38" s="4" t="s">
        <v>534</v>
      </c>
      <c r="L38" s="3"/>
      <c r="M38" s="3"/>
    </row>
    <row r="39">
      <c r="A39" s="3"/>
      <c r="B39" s="29" t="s">
        <v>535</v>
      </c>
      <c r="C39" s="1" t="s">
        <v>44</v>
      </c>
      <c r="D39" s="1" t="s">
        <v>44</v>
      </c>
      <c r="E39" s="1" t="s">
        <v>44</v>
      </c>
      <c r="F39" s="1" t="s">
        <v>44</v>
      </c>
      <c r="G39" s="19">
        <v>1859</v>
      </c>
      <c r="H39" s="1" t="s">
        <v>44</v>
      </c>
      <c r="I39" s="1" t="s">
        <v>44</v>
      </c>
      <c r="J39" s="16" t="s">
        <v>44</v>
      </c>
      <c r="K39" s="4"/>
      <c r="L39" s="3"/>
      <c r="M39" s="3"/>
    </row>
    <row r="40">
      <c r="A40" s="3"/>
      <c r="B40" s="56" t="s">
        <v>77</v>
      </c>
      <c r="C40" s="7" t="s">
        <v>44</v>
      </c>
      <c r="D40" s="7" t="s">
        <v>44</v>
      </c>
      <c r="E40" s="7" t="s">
        <v>44</v>
      </c>
      <c r="F40" s="7" t="s">
        <v>44</v>
      </c>
      <c r="G40" s="7">
        <f>IFERROR(IF(OR(G38&lt;0,G39&lt;0),"n.m.",G38/G39-1),"n/a")</f>
        <v>-0.049488972565895684</v>
      </c>
      <c r="H40" s="7" t="s">
        <v>44</v>
      </c>
      <c r="I40" s="7" t="s">
        <v>44</v>
      </c>
      <c r="J40" s="25" t="s">
        <v>44</v>
      </c>
      <c r="K40" s="4"/>
      <c r="L40" s="3"/>
      <c r="M40" s="3"/>
    </row>
    <row r="41">
      <c r="A41" s="3"/>
      <c r="B41" s="56" t="s">
        <v>79</v>
      </c>
      <c r="C41" s="7" t="s">
        <v>44</v>
      </c>
      <c r="D41" s="7" t="s">
        <v>44</v>
      </c>
      <c r="E41" s="7" t="s">
        <v>44</v>
      </c>
      <c r="F41" s="7" t="s">
        <v>44</v>
      </c>
      <c r="G41" s="7">
        <f>IFERROR(G38/G46,"n/a")</f>
        <v>0.01881288261911099</v>
      </c>
      <c r="H41" s="7" t="s">
        <v>44</v>
      </c>
      <c r="I41" s="7" t="s">
        <v>44</v>
      </c>
      <c r="J41" s="25" t="s">
        <v>44</v>
      </c>
      <c r="K41" s="4"/>
      <c r="L41" s="3"/>
      <c r="M41" s="3"/>
    </row>
    <row r="42">
      <c r="A42" s="3"/>
      <c r="B42" s="3" t="s">
        <v>543</v>
      </c>
      <c r="C42" s="1" t="s">
        <v>44</v>
      </c>
      <c r="D42" s="1" t="s">
        <v>44</v>
      </c>
      <c r="E42" s="1" t="s">
        <v>44</v>
      </c>
      <c r="F42" s="1" t="s">
        <v>44</v>
      </c>
      <c r="G42" s="19">
        <v>17941</v>
      </c>
      <c r="H42" s="1" t="s">
        <v>44</v>
      </c>
      <c r="I42" s="1" t="s">
        <v>44</v>
      </c>
      <c r="J42" s="16" t="s">
        <v>44</v>
      </c>
      <c r="K42" s="4" t="s">
        <v>534</v>
      </c>
      <c r="L42" s="3"/>
      <c r="M42" s="3"/>
    </row>
    <row r="43">
      <c r="A43" s="3"/>
      <c r="B43" s="29" t="s">
        <v>535</v>
      </c>
      <c r="C43" s="1" t="s">
        <v>44</v>
      </c>
      <c r="D43" s="1" t="s">
        <v>44</v>
      </c>
      <c r="E43" s="1" t="s">
        <v>44</v>
      </c>
      <c r="F43" s="1" t="s">
        <v>44</v>
      </c>
      <c r="G43" s="19">
        <v>17023</v>
      </c>
      <c r="H43" s="1" t="s">
        <v>44</v>
      </c>
      <c r="I43" s="1" t="s">
        <v>44</v>
      </c>
      <c r="J43" s="16" t="s">
        <v>44</v>
      </c>
      <c r="K43" s="4"/>
      <c r="L43" s="3"/>
      <c r="M43" s="3"/>
    </row>
    <row r="44">
      <c r="A44" s="3"/>
      <c r="B44" s="56" t="s">
        <v>77</v>
      </c>
      <c r="C44" s="7" t="s">
        <v>44</v>
      </c>
      <c r="D44" s="7" t="s">
        <v>44</v>
      </c>
      <c r="E44" s="7" t="s">
        <v>44</v>
      </c>
      <c r="F44" s="7" t="s">
        <v>44</v>
      </c>
      <c r="G44" s="7">
        <f>IFERROR(IF(OR(G42&lt;0,G43&lt;0),"n.m.",G42/G43-1),"n/a")</f>
        <v>0.05392703988721137</v>
      </c>
      <c r="H44" s="7" t="s">
        <v>44</v>
      </c>
      <c r="I44" s="7" t="s">
        <v>44</v>
      </c>
      <c r="J44" s="25" t="s">
        <v>44</v>
      </c>
      <c r="K44" s="4"/>
      <c r="L44" s="3"/>
      <c r="M44" s="3"/>
    </row>
    <row r="45">
      <c r="A45" s="3"/>
      <c r="B45" s="56" t="s">
        <v>79</v>
      </c>
      <c r="C45" s="7" t="s">
        <v>44</v>
      </c>
      <c r="D45" s="7" t="s">
        <v>44</v>
      </c>
      <c r="E45" s="7" t="s">
        <v>44</v>
      </c>
      <c r="F45" s="7" t="s">
        <v>44</v>
      </c>
      <c r="G45" s="7">
        <f>IFERROR(G42/G46,"n/a")</f>
        <v>0.19101410700026616</v>
      </c>
      <c r="H45" s="7" t="s">
        <v>44</v>
      </c>
      <c r="I45" s="7" t="s">
        <v>44</v>
      </c>
      <c r="J45" s="25" t="s">
        <v>44</v>
      </c>
      <c r="K45" s="4"/>
      <c r="L45" s="3"/>
      <c r="M45" s="3"/>
    </row>
    <row r="46">
      <c r="A46" s="3"/>
      <c r="B46" s="15" t="s">
        <v>544</v>
      </c>
      <c r="C46" s="21" t="s">
        <v>44</v>
      </c>
      <c r="D46" s="21" t="s">
        <v>44</v>
      </c>
      <c r="E46" s="21" t="s">
        <v>44</v>
      </c>
      <c r="F46" s="21" t="s">
        <v>44</v>
      </c>
      <c r="G46" s="21">
        <f>G10+G14+G18+G22+G26+G30+G34+G38+G42</f>
        <v>93925</v>
      </c>
      <c r="H46" s="21" t="s">
        <v>44</v>
      </c>
      <c r="I46" s="21" t="s">
        <v>44</v>
      </c>
      <c r="J46" s="43" t="s">
        <v>44</v>
      </c>
      <c r="K46" s="4"/>
      <c r="L46" s="3"/>
      <c r="M46" s="3"/>
    </row>
    <row r="47">
      <c r="A47" s="3"/>
      <c r="B47" s="12" t="s">
        <v>545</v>
      </c>
      <c r="C47" s="52" t="s">
        <v>44</v>
      </c>
      <c r="D47" s="52" t="s">
        <v>44</v>
      </c>
      <c r="E47" s="52" t="s">
        <v>44</v>
      </c>
      <c r="F47" s="52" t="s">
        <v>44</v>
      </c>
      <c r="G47" s="72">
        <f>G46-'Income Statement'!G10</f>
        <v>0</v>
      </c>
      <c r="H47" s="52" t="s">
        <v>44</v>
      </c>
      <c r="I47" s="52" t="s">
        <v>44</v>
      </c>
      <c r="J47" s="62" t="s">
        <v>44</v>
      </c>
      <c r="K47" s="4"/>
      <c r="L47" s="3"/>
      <c r="M47" s="3"/>
    </row>
    <row r="48">
      <c r="A48" s="3"/>
      <c r="B48" s="3"/>
      <c r="C48" s="1"/>
      <c r="D48" s="1"/>
      <c r="E48" s="1"/>
      <c r="F48" s="1"/>
      <c r="G48" s="1"/>
      <c r="H48" s="1"/>
      <c r="I48" s="1"/>
      <c r="J48" s="16"/>
      <c r="K48" s="4"/>
      <c r="L48" s="3"/>
      <c r="M48" s="3"/>
    </row>
    <row r="49">
      <c r="A49" s="3"/>
      <c r="B49" s="15" t="s">
        <v>546</v>
      </c>
      <c r="C49" s="5"/>
      <c r="D49" s="5"/>
      <c r="E49" s="5"/>
      <c r="F49" s="5"/>
      <c r="G49" s="5"/>
      <c r="H49" s="5"/>
      <c r="I49" s="5"/>
      <c r="J49" s="22"/>
      <c r="K49" s="4"/>
      <c r="L49" s="3"/>
      <c r="M49" s="3"/>
    </row>
    <row r="50">
      <c r="A50" s="3"/>
      <c r="B50" s="3" t="s">
        <v>547</v>
      </c>
      <c r="C50" s="17">
        <f>'Revenue summary'!C62</f>
        <v>12089</v>
      </c>
      <c r="D50" s="17">
        <f>'Revenue summary'!D62</f>
        <v>13272</v>
      </c>
      <c r="E50" s="17">
        <f>'Revenue summary'!E62</f>
        <v>13853</v>
      </c>
      <c r="F50" s="17">
        <f>'Revenue summary'!F62</f>
        <v>16511</v>
      </c>
      <c r="G50" s="17">
        <f>'Revenue summary'!G62</f>
        <v>55725</v>
      </c>
      <c r="H50" s="17">
        <f>'Revenue summary'!H62</f>
        <v>12723</v>
      </c>
      <c r="I50" s="17">
        <f>'Revenue summary'!I62</f>
        <v>13611</v>
      </c>
      <c r="J50" s="64">
        <f>'Revenue summary'!J62</f>
        <v>14136.0535</v>
      </c>
      <c r="K50" s="4" t="s">
        <v>548</v>
      </c>
      <c r="L50" s="3"/>
      <c r="M50" s="3"/>
    </row>
    <row r="51">
      <c r="A51" s="3"/>
      <c r="B51" s="56" t="s">
        <v>77</v>
      </c>
      <c r="C51" s="36">
        <f>'Revenue summary'!C64</f>
        <v>-0.004447006505805762</v>
      </c>
      <c r="D51" s="36">
        <f>'Revenue summary'!D64</f>
        <v>0.001962856711460015</v>
      </c>
      <c r="E51" s="36">
        <f>'Revenue summary'!E64</f>
        <v>0.01035664794690394</v>
      </c>
      <c r="F51" s="36">
        <f>'Revenue summary'!F64</f>
        <v>0.02552795031055899</v>
      </c>
      <c r="G51" s="36">
        <f>'Revenue summary'!G64</f>
        <v>0.009510869565217295</v>
      </c>
      <c r="H51" s="36">
        <f>'Revenue summary'!H64</f>
        <v>0.05244437091570853</v>
      </c>
      <c r="I51" s="36">
        <f>'Revenue summary'!I64</f>
        <v>0.025542495479204286</v>
      </c>
      <c r="J51" s="84">
        <f>'Revenue summary'!J64</f>
        <v>0.020432649967516037</v>
      </c>
      <c r="K51" s="4"/>
      <c r="L51" s="3"/>
      <c r="M51" s="3"/>
    </row>
    <row r="52">
      <c r="A52" s="3"/>
      <c r="B52" s="56" t="s">
        <v>79</v>
      </c>
      <c r="C52" s="7">
        <f>IFERROR(C50/C65,"n/a")</f>
        <v>0.6746470227133211</v>
      </c>
      <c r="D52" s="7">
        <f>IFERROR(D50/D65,"n/a")</f>
        <v>0.5840007040394262</v>
      </c>
      <c r="E52" s="7">
        <f>IFERROR(E50/E65,"n/a")</f>
        <v>0.5787274930024648</v>
      </c>
      <c r="F52" s="7">
        <f>IFERROR(F50/F65,"n/a")</f>
        <v>0.5626895682104761</v>
      </c>
      <c r="G52" s="7">
        <f>IFERROR(G50/G65,"n/a")</f>
        <v>0.5932925206281607</v>
      </c>
      <c r="H52" s="7">
        <f>IFERROR(H50/H65,"n/a")</f>
        <v>0.6543743249498534</v>
      </c>
      <c r="I52" s="7">
        <f>IFERROR(I50/I65,"n/a")</f>
        <v>0.5628799470658782</v>
      </c>
      <c r="J52" s="25">
        <f>IFERROR(J50/J65,"n/a")</f>
        <v>0.5658827702779046</v>
      </c>
      <c r="K52" s="4"/>
      <c r="L52" s="3"/>
      <c r="M52" s="3"/>
    </row>
    <row r="53">
      <c r="A53" s="3"/>
      <c r="B53" s="3" t="s">
        <v>549</v>
      </c>
      <c r="C53" s="17">
        <f>'Revenue summary'!C25</f>
        <v>2388</v>
      </c>
      <c r="D53" s="17">
        <f>'Revenue summary'!D25</f>
        <v>4536</v>
      </c>
      <c r="E53" s="17">
        <f>'Revenue summary'!E25</f>
        <v>5022</v>
      </c>
      <c r="F53" s="17">
        <f>'Revenue summary'!F25</f>
        <v>6079</v>
      </c>
      <c r="G53" s="17">
        <f>'Revenue summary'!G25</f>
        <v>18025</v>
      </c>
      <c r="H53" s="17">
        <f>'Revenue summary'!H25</f>
        <v>2823</v>
      </c>
      <c r="I53" s="17">
        <f>'Revenue summary'!I25</f>
        <v>4983</v>
      </c>
      <c r="J53" s="64">
        <f>'Revenue summary'!J25</f>
        <v>5298.210000000001</v>
      </c>
      <c r="K53" s="4" t="s">
        <v>550</v>
      </c>
      <c r="L53" s="3"/>
      <c r="M53" s="3"/>
    </row>
    <row r="54">
      <c r="A54" s="3"/>
      <c r="B54" s="56" t="s">
        <v>77</v>
      </c>
      <c r="C54" s="36">
        <f>'Revenue summary'!C26</f>
        <v>-0.018495684340320562</v>
      </c>
      <c r="D54" s="36">
        <f>'Revenue summary'!D26</f>
        <v>0.08438919435811609</v>
      </c>
      <c r="E54" s="36">
        <f>'Revenue summary'!E26</f>
        <v>0.08889852558542932</v>
      </c>
      <c r="F54" s="36">
        <f>'Revenue summary'!F26</f>
        <v>0.1195211786372008</v>
      </c>
      <c r="G54" s="36">
        <f>'Revenue summary'!G26</f>
        <v>0.08206267258974664</v>
      </c>
      <c r="H54" s="36">
        <f>'Revenue summary'!H26</f>
        <v>0.1821608040201006</v>
      </c>
      <c r="I54" s="36">
        <f>'Revenue summary'!I26</f>
        <v>0.09854497354497349</v>
      </c>
      <c r="J54" s="84">
        <f>'Revenue summary'!J26</f>
        <v>0.05500000000000016</v>
      </c>
      <c r="K54" s="4"/>
      <c r="L54" s="3"/>
      <c r="M54" s="3"/>
    </row>
    <row r="55">
      <c r="A55" s="3"/>
      <c r="B55" s="56" t="s">
        <v>79</v>
      </c>
      <c r="C55" s="7">
        <f>IFERROR(C53/C65,"n/a")</f>
        <v>0.1332663653105642</v>
      </c>
      <c r="D55" s="7">
        <f>IFERROR(D53/D65,"n/a")</f>
        <v>0.19959517732993048</v>
      </c>
      <c r="E55" s="7">
        <f>IFERROR(E53/E65,"n/a")</f>
        <v>0.20980072690813384</v>
      </c>
      <c r="F55" s="7">
        <f>IFERROR(F53/F65,"n/a")</f>
        <v>0.2071703643117609</v>
      </c>
      <c r="G55" s="7">
        <f>IFERROR(G53/G65,"n/a")</f>
        <v>0.19190843758317808</v>
      </c>
      <c r="H55" s="7">
        <f>IFERROR(H53/H65,"n/a")</f>
        <v>0.1451936429563339</v>
      </c>
      <c r="I55" s="7">
        <f>IFERROR(I53/I65,"n/a")</f>
        <v>0.2060708820975146</v>
      </c>
      <c r="J55" s="25">
        <f>IFERROR(J53/J65,"n/a")</f>
        <v>0.21209354876267958</v>
      </c>
      <c r="K55" s="4"/>
      <c r="L55" s="3"/>
      <c r="M55" s="3"/>
    </row>
    <row r="56">
      <c r="A56" s="3"/>
      <c r="B56" s="3" t="s">
        <v>551</v>
      </c>
      <c r="C56" s="17">
        <f>'Revenue summary'!C30</f>
        <v>1661</v>
      </c>
      <c r="D56" s="17">
        <f>'Revenue summary'!D30</f>
        <v>2548</v>
      </c>
      <c r="E56" s="17">
        <f>'Revenue summary'!E30</f>
        <v>2656</v>
      </c>
      <c r="F56" s="17">
        <f>'Revenue summary'!F30</f>
        <v>3684</v>
      </c>
      <c r="G56" s="17">
        <f>'Revenue summary'!G30</f>
        <v>10549</v>
      </c>
      <c r="H56" s="17">
        <f>'Revenue summary'!H30</f>
        <v>1934</v>
      </c>
      <c r="I56" s="17">
        <f>'Revenue summary'!I30</f>
        <v>2940</v>
      </c>
      <c r="J56" s="64">
        <f>'Revenue summary'!J30</f>
        <v>2934.88</v>
      </c>
      <c r="K56" s="4" t="s">
        <v>550</v>
      </c>
      <c r="L56" s="3"/>
      <c r="M56" s="3"/>
    </row>
    <row r="57">
      <c r="A57" s="3"/>
      <c r="B57" s="56" t="s">
        <v>77</v>
      </c>
      <c r="C57" s="36">
        <f>'Revenue summary'!C31</f>
        <v>-0.12116402116402114</v>
      </c>
      <c r="D57" s="36">
        <f>'Revenue summary'!D31</f>
        <v>-0.07311749727173522</v>
      </c>
      <c r="E57" s="36">
        <f>'Revenue summary'!E31</f>
        <v>0.01567877629063097</v>
      </c>
      <c r="F57" s="36">
        <f>'Revenue summary'!F31</f>
        <v>0.11164755582377794</v>
      </c>
      <c r="G57" s="36">
        <f>'Revenue summary'!G31</f>
        <v>-0.0017978803936411492</v>
      </c>
      <c r="H57" s="36">
        <f>'Revenue summary'!H31</f>
        <v>0.1643588199879591</v>
      </c>
      <c r="I57" s="36">
        <f>'Revenue summary'!I31</f>
        <v>0.15384615384615374</v>
      </c>
      <c r="J57" s="84">
        <f>'Revenue summary'!J31</f>
        <v>0.10499999999999998</v>
      </c>
      <c r="K57" s="4"/>
      <c r="L57" s="3"/>
      <c r="M57" s="3"/>
    </row>
    <row r="58">
      <c r="A58" s="3"/>
      <c r="B58" s="56" t="s">
        <v>79</v>
      </c>
      <c r="C58" s="7">
        <f>IFERROR(C56/C65,"n/a")</f>
        <v>0.09269490484960098</v>
      </c>
      <c r="D58" s="7">
        <f>IFERROR(D56/D65,"n/a")</f>
        <v>0.11211827862360292</v>
      </c>
      <c r="E58" s="7">
        <f>IFERROR(E56/E65,"n/a")</f>
        <v>0.11095793123616159</v>
      </c>
      <c r="F58" s="7">
        <f>IFERROR(F56/F65,"n/a")</f>
        <v>0.12554953481239137</v>
      </c>
      <c r="G58" s="7">
        <f>IFERROR(G56/G65,"n/a")</f>
        <v>0.11231301570401916</v>
      </c>
      <c r="H58" s="7">
        <f>IFERROR(H56/H65,"n/a")</f>
        <v>0.09947024636115825</v>
      </c>
      <c r="I58" s="7">
        <f>IFERROR(I56/I65,"n/a")</f>
        <v>0.12158306108101402</v>
      </c>
      <c r="J58" s="25">
        <f>IFERROR(J56/J65,"n/a")</f>
        <v>0.11748668217994623</v>
      </c>
      <c r="K58" s="4"/>
      <c r="L58" s="3"/>
      <c r="M58" s="3"/>
    </row>
    <row r="59">
      <c r="A59" s="3"/>
      <c r="B59" s="3" t="s">
        <v>552</v>
      </c>
      <c r="C59" s="17">
        <f>'Revenue summary'!C35</f>
        <v>1022</v>
      </c>
      <c r="D59" s="17">
        <f>'Revenue summary'!D35</f>
        <v>1002</v>
      </c>
      <c r="E59" s="17">
        <f>'Revenue summary'!E35</f>
        <v>1115</v>
      </c>
      <c r="F59" s="17">
        <f>'Revenue summary'!F35</f>
        <v>1490</v>
      </c>
      <c r="G59" s="17">
        <f>'Revenue summary'!G35</f>
        <v>4629</v>
      </c>
      <c r="H59" s="17">
        <f>'Revenue summary'!H35</f>
        <v>1139</v>
      </c>
      <c r="I59" s="17">
        <f>'Revenue summary'!I35</f>
        <v>1124</v>
      </c>
      <c r="J59" s="64">
        <f>'Revenue summary'!J35</f>
        <v>1204.2</v>
      </c>
      <c r="K59" s="4" t="s">
        <v>550</v>
      </c>
      <c r="L59" s="3"/>
      <c r="M59" s="3"/>
    </row>
    <row r="60">
      <c r="A60" s="3"/>
      <c r="B60" s="56" t="s">
        <v>77</v>
      </c>
      <c r="C60" s="36">
        <f>'Revenue summary'!C36</f>
        <v>-0.02200956937799048</v>
      </c>
      <c r="D60" s="36">
        <f>'Revenue summary'!D36</f>
        <v>0.005015045135406293</v>
      </c>
      <c r="E60" s="36">
        <f>'Revenue summary'!E36</f>
        <v>0.021998166819431786</v>
      </c>
      <c r="F60" s="36">
        <f>'Revenue summary'!F36</f>
        <v>0.05225988700564965</v>
      </c>
      <c r="G60" s="36">
        <f>'Revenue summary'!G36</f>
        <v>0.01758628269949436</v>
      </c>
      <c r="H60" s="36">
        <f>'Revenue summary'!H36</f>
        <v>0.11448140900195702</v>
      </c>
      <c r="I60" s="36">
        <f>'Revenue summary'!I36</f>
        <v>0.12175648702594821</v>
      </c>
      <c r="J60" s="84">
        <f>'Revenue summary'!J36</f>
        <v>0.08000000000000007</v>
      </c>
      <c r="K60" s="4"/>
      <c r="L60" s="3"/>
      <c r="M60" s="3"/>
    </row>
    <row r="61">
      <c r="A61" s="3"/>
      <c r="B61" s="56" t="s">
        <v>79</v>
      </c>
      <c r="C61" s="7">
        <f>IFERROR(C59/C65,"n/a")</f>
        <v>0.05703443272504046</v>
      </c>
      <c r="D61" s="7">
        <f>IFERROR(D59/D65,"n/a")</f>
        <v>0.044090469066267714</v>
      </c>
      <c r="E61" s="7">
        <f>IFERROR(E59/E65,"n/a")</f>
        <v>0.04658060742783139</v>
      </c>
      <c r="F61" s="7">
        <f>IFERROR(F59/F65,"n/a")</f>
        <v>0.050778720648877076</v>
      </c>
      <c r="G61" s="7">
        <f>IFERROR(G59/G65,"n/a")</f>
        <v>0.0492840031940378</v>
      </c>
      <c r="H61" s="7">
        <f>IFERROR(H59/H65,"n/a")</f>
        <v>0.05858149462531503</v>
      </c>
      <c r="I61" s="7">
        <f>IFERROR(I59/I65,"n/a")</f>
        <v>0.04648277573301352</v>
      </c>
      <c r="J61" s="25">
        <f>IFERROR(J59/J65,"n/a")</f>
        <v>0.04820553572244564</v>
      </c>
      <c r="K61" s="4"/>
      <c r="L61" s="3"/>
      <c r="M61" s="3"/>
    </row>
    <row r="62">
      <c r="A62" s="3"/>
      <c r="B62" s="3" t="s">
        <v>553</v>
      </c>
      <c r="C62" s="17">
        <f>'Revenue summary'!C20</f>
        <v>759</v>
      </c>
      <c r="D62" s="17">
        <f>'Revenue summary'!D20</f>
        <v>1368</v>
      </c>
      <c r="E62" s="17">
        <f>'Revenue summary'!E20</f>
        <v>1291</v>
      </c>
      <c r="F62" s="17">
        <f>'Revenue summary'!F20</f>
        <v>1579</v>
      </c>
      <c r="G62" s="17">
        <f>'Revenue summary'!G20</f>
        <v>4997</v>
      </c>
      <c r="H62" s="17">
        <f>'Revenue summary'!H20</f>
        <v>824</v>
      </c>
      <c r="I62" s="17">
        <f>'Revenue summary'!I20</f>
        <v>1523</v>
      </c>
      <c r="J62" s="64">
        <f>'Revenue summary'!J20</f>
        <v>1407.1900000000003</v>
      </c>
      <c r="K62" s="4" t="s">
        <v>550</v>
      </c>
      <c r="L62" s="3"/>
      <c r="M62" s="3"/>
    </row>
    <row r="63">
      <c r="A63" s="3"/>
      <c r="B63" s="56" t="s">
        <v>77</v>
      </c>
      <c r="C63" s="36">
        <f>'Revenue summary'!C21</f>
        <v>0.02706359945872805</v>
      </c>
      <c r="D63" s="36">
        <f>'Revenue summary'!D21</f>
        <v>0.03167420814479649</v>
      </c>
      <c r="E63" s="36">
        <f>'Revenue summary'!E21</f>
        <v>0.0007751937984497026</v>
      </c>
      <c r="F63" s="36">
        <f>'Revenue summary'!F21</f>
        <v>0.03608923884514437</v>
      </c>
      <c r="G63" s="36">
        <f>'Revenue summary'!G21</f>
        <v>0.02418528386964547</v>
      </c>
      <c r="H63" s="36">
        <f>'Revenue summary'!H21</f>
        <v>0.08563899868247704</v>
      </c>
      <c r="I63" s="36">
        <f>'Revenue summary'!I21</f>
        <v>0.11330409356725135</v>
      </c>
      <c r="J63" s="84">
        <f>'Revenue summary'!J21</f>
        <v>0.0900000000000003</v>
      </c>
      <c r="K63" s="4"/>
      <c r="L63" s="3"/>
      <c r="M63" s="3"/>
    </row>
    <row r="64">
      <c r="A64" s="3"/>
      <c r="B64" s="56" t="s">
        <v>79</v>
      </c>
      <c r="C64" s="7">
        <f>IFERROR(C62/C65,"n/a")</f>
        <v>0.0423572744014733</v>
      </c>
      <c r="D64" s="7">
        <f>IFERROR(D62/D65,"n/a")</f>
        <v>0.06019537094077268</v>
      </c>
      <c r="E64" s="7">
        <f>IFERROR(E62/E65,"n/a")</f>
        <v>0.05393324142540836</v>
      </c>
      <c r="F64" s="7">
        <f>IFERROR(F62/F65,"n/a")</f>
        <v>0.05381181201649456</v>
      </c>
      <c r="G64" s="7">
        <f>IFERROR(G62/G65,"n/a")</f>
        <v>0.0532020228906042</v>
      </c>
      <c r="H64" s="7">
        <f>IFERROR(H62/H65,"n/a")</f>
        <v>0.0423802911073394</v>
      </c>
      <c r="I64" s="7">
        <f>IFERROR(I62/I65,"n/a")</f>
        <v>0.06298333402257972</v>
      </c>
      <c r="J64" s="25">
        <f>IFERROR(J62/J65,"n/a")</f>
        <v>0.05633146305702399</v>
      </c>
      <c r="K64" s="4"/>
      <c r="L64" s="3"/>
      <c r="M64" s="3"/>
    </row>
    <row r="65">
      <c r="A65" s="3"/>
      <c r="B65" s="15" t="s">
        <v>91</v>
      </c>
      <c r="C65" s="21">
        <f>C50+C53+C56+C59+C62</f>
        <v>17919</v>
      </c>
      <c r="D65" s="21">
        <f>D50+D53+D56+D59+D62</f>
        <v>22726</v>
      </c>
      <c r="E65" s="21">
        <f>E50+E53+E56+E59+E62</f>
        <v>23937</v>
      </c>
      <c r="F65" s="21">
        <f>F50+F53+F56+F59+F62</f>
        <v>29343</v>
      </c>
      <c r="G65" s="21">
        <f>G50+G53+G56+G59+G62</f>
        <v>93925</v>
      </c>
      <c r="H65" s="21">
        <f>H50+H53+H56+H59+H62</f>
        <v>19443</v>
      </c>
      <c r="I65" s="21">
        <f>I50+I53+I56+I59+I62</f>
        <v>24181</v>
      </c>
      <c r="J65" s="43">
        <f>J50+J53+J56+J59+J62</f>
        <v>24980.5335</v>
      </c>
      <c r="K65" s="4"/>
      <c r="L65" s="3"/>
      <c r="M65" s="3"/>
    </row>
    <row r="66">
      <c r="A66" s="3"/>
      <c r="B66" s="12" t="s">
        <v>554</v>
      </c>
      <c r="C66" s="72">
        <f>C65-'Income Statement'!C10</f>
        <v>0</v>
      </c>
      <c r="D66" s="72">
        <f>D65-'Income Statement'!D10</f>
        <v>0</v>
      </c>
      <c r="E66" s="72">
        <f>E65-'Income Statement'!E10</f>
        <v>0</v>
      </c>
      <c r="F66" s="72">
        <f>F65-'Income Statement'!F10</f>
        <v>0</v>
      </c>
      <c r="G66" s="72">
        <f>G65-'Income Statement'!G10</f>
        <v>0</v>
      </c>
      <c r="H66" s="72">
        <f>H65-'Income Statement'!H10</f>
        <v>0</v>
      </c>
      <c r="I66" s="72">
        <f>I65-'Income Statement'!I10</f>
        <v>0</v>
      </c>
      <c r="J66" s="87">
        <f>J65-'Income Statement'!J10</f>
        <v>0</v>
      </c>
      <c r="K66" s="4" t="s">
        <v>555</v>
      </c>
      <c r="L66" s="3"/>
      <c r="M66" s="3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M4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556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557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3" t="s">
        <v>246</v>
      </c>
      <c r="C10" s="19">
        <v>1372</v>
      </c>
      <c r="D10" s="19">
        <v>1371</v>
      </c>
      <c r="E10" s="19">
        <v>1369</v>
      </c>
      <c r="F10" s="1" t="s">
        <v>44</v>
      </c>
      <c r="G10" s="19">
        <v>1369</v>
      </c>
      <c r="H10" s="19">
        <v>1367</v>
      </c>
      <c r="I10" s="19">
        <v>1366</v>
      </c>
      <c r="J10" s="16">
        <f>I19-J17*(J21-J32)</f>
        <v>1365.498076923077</v>
      </c>
      <c r="K10" s="4" t="s">
        <v>558</v>
      </c>
      <c r="L10" s="3"/>
      <c r="M10" s="3"/>
    </row>
    <row r="11">
      <c r="A11" s="3"/>
      <c r="B11" s="29" t="s">
        <v>559</v>
      </c>
      <c r="C11" s="1" t="s">
        <v>44</v>
      </c>
      <c r="D11" s="1">
        <f>IFERROR(D10-C10,"n/a")</f>
        <v>-1</v>
      </c>
      <c r="E11" s="1">
        <f>IFERROR(E10-D10,"n/a")</f>
        <v>-2</v>
      </c>
      <c r="F11" s="1" t="str">
        <f>IFERROR(F10-E10,"n/a")</f>
        <v>n/a</v>
      </c>
      <c r="G11" s="1" t="s">
        <v>44</v>
      </c>
      <c r="H11" s="1" t="str">
        <f>IFERROR(H10-F10,"n/a")</f>
        <v>n/a</v>
      </c>
      <c r="I11" s="1">
        <f>IFERROR(I10-H10,"n/a")</f>
        <v>-1</v>
      </c>
      <c r="J11" s="16">
        <f>IFERROR(J10-I10,"n/a")</f>
        <v>-0.5019230769230489</v>
      </c>
      <c r="K11" s="4"/>
      <c r="L11" s="3"/>
      <c r="M11" s="3"/>
    </row>
    <row r="12">
      <c r="A12" s="3"/>
      <c r="B12" s="29" t="s">
        <v>560</v>
      </c>
      <c r="C12" s="1">
        <f>IFERROR(C14-C10,"n/a")</f>
        <v>4</v>
      </c>
      <c r="D12" s="1">
        <f>IFERROR(D14-D10,"n/a")</f>
        <v>2</v>
      </c>
      <c r="E12" s="1">
        <f>IFERROR(E14-E10,"n/a")</f>
        <v>3</v>
      </c>
      <c r="F12" s="1" t="str">
        <f>IFERROR(F14-F10,"n/a")</f>
        <v>n/a</v>
      </c>
      <c r="G12" s="1">
        <f>IFERROR(G14-G10,"n/a")</f>
        <v>4</v>
      </c>
      <c r="H12" s="1">
        <f>IFERROR(H14-H10,"n/a")</f>
        <v>4</v>
      </c>
      <c r="I12" s="1">
        <f>IFERROR(I14-I10,"n/a")</f>
        <v>3</v>
      </c>
      <c r="J12" s="16">
        <f>I12</f>
        <v>3</v>
      </c>
      <c r="K12" s="4" t="s">
        <v>561</v>
      </c>
      <c r="L12" s="3"/>
      <c r="M12" s="3"/>
    </row>
    <row r="13">
      <c r="A13" s="3"/>
      <c r="B13" s="63" t="s">
        <v>559</v>
      </c>
      <c r="C13" s="1" t="s">
        <v>44</v>
      </c>
      <c r="D13" s="1">
        <f>IFERROR(D12-C12,"n/a")</f>
        <v>-2</v>
      </c>
      <c r="E13" s="1">
        <f>IFERROR(E12-D12,"n/a")</f>
        <v>1</v>
      </c>
      <c r="F13" s="1" t="str">
        <f>IFERROR(F12-E12,"n/a")</f>
        <v>n/a</v>
      </c>
      <c r="G13" s="1" t="s">
        <v>44</v>
      </c>
      <c r="H13" s="1" t="str">
        <f>IFERROR(H12-F12,"n/a")</f>
        <v>n/a</v>
      </c>
      <c r="I13" s="1">
        <f>IFERROR(I12-H12,"n/a")</f>
        <v>-1</v>
      </c>
      <c r="J13" s="16">
        <f>IFERROR(J12-I12,"n/a")</f>
        <v>0</v>
      </c>
      <c r="K13" s="4"/>
      <c r="L13" s="3"/>
      <c r="M13" s="3"/>
    </row>
    <row r="14">
      <c r="A14" s="3"/>
      <c r="B14" s="15" t="s">
        <v>248</v>
      </c>
      <c r="C14" s="32">
        <v>1376</v>
      </c>
      <c r="D14" s="32">
        <v>1373</v>
      </c>
      <c r="E14" s="32">
        <v>1372</v>
      </c>
      <c r="F14" s="32">
        <v>1371</v>
      </c>
      <c r="G14" s="32">
        <v>1373</v>
      </c>
      <c r="H14" s="32">
        <v>1371</v>
      </c>
      <c r="I14" s="32">
        <v>1369</v>
      </c>
      <c r="J14" s="43">
        <f>J10+J12</f>
        <v>1368.498076923077</v>
      </c>
      <c r="K14" s="4" t="s">
        <v>562</v>
      </c>
      <c r="L14" s="3"/>
      <c r="M14" s="3"/>
    </row>
    <row r="15">
      <c r="A15" s="3"/>
      <c r="B15" s="56" t="s">
        <v>77</v>
      </c>
      <c r="C15" s="7" t="s">
        <v>44</v>
      </c>
      <c r="D15" s="7" t="s">
        <v>44</v>
      </c>
      <c r="E15" s="7" t="s">
        <v>44</v>
      </c>
      <c r="F15" s="7" t="s">
        <v>44</v>
      </c>
      <c r="G15" s="7" t="s">
        <v>44</v>
      </c>
      <c r="H15" s="7">
        <f>IFERROR(IF(OR(H14&lt;0,C14&lt;0),"n.m.",H14/C14-1),"n/a")</f>
        <v>-0.003633720930232509</v>
      </c>
      <c r="I15" s="7">
        <f>IFERROR(IF(OR(I14&lt;0,D14&lt;0),"n.m.",I14/D14-1),"n/a")</f>
        <v>-0.0029133284777859147</v>
      </c>
      <c r="J15" s="25">
        <f>IFERROR(IF(OR(J14&lt;0,E14&lt;0),"n.m.",J14/E14-1),"n/a")</f>
        <v>-0.0025524220677282106</v>
      </c>
      <c r="K15" s="4"/>
      <c r="L15" s="3"/>
      <c r="M15" s="3"/>
    </row>
    <row r="16">
      <c r="A16" s="3"/>
      <c r="B16" s="29" t="s">
        <v>559</v>
      </c>
      <c r="C16" s="1" t="s">
        <v>44</v>
      </c>
      <c r="D16" s="1">
        <f>IFERROR(D14-C14,"n/a")</f>
        <v>-3</v>
      </c>
      <c r="E16" s="1">
        <f>IFERROR(E14-D14,"n/a")</f>
        <v>-1</v>
      </c>
      <c r="F16" s="1">
        <f>IFERROR(F14-E14,"n/a")</f>
        <v>-1</v>
      </c>
      <c r="G16" s="1" t="s">
        <v>44</v>
      </c>
      <c r="H16" s="1">
        <f>IFERROR(H14-F14,"n/a")</f>
        <v>0</v>
      </c>
      <c r="I16" s="1">
        <f>IFERROR(I14-H14,"n/a")</f>
        <v>-2</v>
      </c>
      <c r="J16" s="16">
        <f>IFERROR(J14-I14,"n/a")</f>
        <v>-0.5019230769230489</v>
      </c>
      <c r="K16" s="4"/>
      <c r="L16" s="3"/>
      <c r="M16" s="3"/>
    </row>
    <row r="17">
      <c r="A17" s="3"/>
      <c r="B17" s="110" t="s">
        <v>563</v>
      </c>
      <c r="C17" s="1"/>
      <c r="D17" s="1"/>
      <c r="E17" s="1"/>
      <c r="F17" s="1"/>
      <c r="G17" s="1"/>
      <c r="H17" s="1"/>
      <c r="I17" s="1"/>
      <c r="J17" s="118">
        <v>0.5</v>
      </c>
      <c r="K17" s="117" t="s">
        <v>564</v>
      </c>
      <c r="L17" s="3"/>
      <c r="M17" s="3"/>
    </row>
    <row r="18">
      <c r="A18" s="3"/>
      <c r="B18" s="15" t="s">
        <v>565</v>
      </c>
      <c r="C18" s="5"/>
      <c r="D18" s="5"/>
      <c r="E18" s="5"/>
      <c r="F18" s="5"/>
      <c r="G18" s="5"/>
      <c r="H18" s="5"/>
      <c r="I18" s="5"/>
      <c r="J18" s="22"/>
      <c r="K18" s="4"/>
      <c r="L18" s="3"/>
      <c r="M18" s="3"/>
    </row>
    <row r="19">
      <c r="A19" s="3"/>
      <c r="B19" s="3" t="s">
        <v>566</v>
      </c>
      <c r="C19" s="19">
        <v>1373</v>
      </c>
      <c r="D19" s="19">
        <v>1370</v>
      </c>
      <c r="E19" s="19">
        <v>1369</v>
      </c>
      <c r="F19" s="19">
        <v>1367</v>
      </c>
      <c r="G19" s="1">
        <f>F19</f>
        <v>1367</v>
      </c>
      <c r="H19" s="19">
        <v>1368</v>
      </c>
      <c r="I19" s="19">
        <v>1366</v>
      </c>
      <c r="J19" s="16">
        <f>I19-J21+J32</f>
        <v>1364.996153846154</v>
      </c>
      <c r="K19" s="4" t="s">
        <v>567</v>
      </c>
      <c r="L19" s="3"/>
      <c r="M19" s="3"/>
    </row>
    <row r="20">
      <c r="A20" s="3"/>
      <c r="B20" s="29" t="s">
        <v>559</v>
      </c>
      <c r="C20" s="1" t="s">
        <v>44</v>
      </c>
      <c r="D20" s="1">
        <f>IFERROR(D19-C19,"n/a")</f>
        <v>-3</v>
      </c>
      <c r="E20" s="1">
        <f>IFERROR(E19-D19,"n/a")</f>
        <v>-1</v>
      </c>
      <c r="F20" s="1">
        <f>IFERROR(F19-E19,"n/a")</f>
        <v>-2</v>
      </c>
      <c r="G20" s="1" t="s">
        <v>44</v>
      </c>
      <c r="H20" s="1">
        <f>IFERROR(H19-F19,"n/a")</f>
        <v>1</v>
      </c>
      <c r="I20" s="1">
        <f>IFERROR(I19-H19,"n/a")</f>
        <v>-2</v>
      </c>
      <c r="J20" s="16">
        <f>IFERROR(J19-I19,"n/a")</f>
        <v>-1.0038461538460979</v>
      </c>
      <c r="K20" s="4"/>
      <c r="L20" s="3"/>
      <c r="M20" s="3"/>
    </row>
    <row r="21">
      <c r="A21" s="3"/>
      <c r="B21" s="3" t="s">
        <v>568</v>
      </c>
      <c r="C21" s="19">
        <v>1</v>
      </c>
      <c r="D21" s="19">
        <v>2</v>
      </c>
      <c r="E21" s="19">
        <v>2</v>
      </c>
      <c r="F21" s="1" t="s">
        <v>44</v>
      </c>
      <c r="G21" s="1" t="s">
        <v>44</v>
      </c>
      <c r="H21" s="19">
        <v>1</v>
      </c>
      <c r="I21" s="19">
        <v>2</v>
      </c>
      <c r="J21" s="16">
        <f>IFERROR(J26/J29,"n/a")</f>
        <v>2.003846153846154</v>
      </c>
      <c r="K21" s="4" t="s">
        <v>569</v>
      </c>
      <c r="L21" s="3"/>
      <c r="M21" s="3"/>
    </row>
    <row r="22">
      <c r="A22" s="3"/>
      <c r="B22" s="56" t="s">
        <v>77</v>
      </c>
      <c r="C22" s="7" t="s">
        <v>44</v>
      </c>
      <c r="D22" s="7" t="s">
        <v>44</v>
      </c>
      <c r="E22" s="7" t="s">
        <v>44</v>
      </c>
      <c r="F22" s="7" t="s">
        <v>44</v>
      </c>
      <c r="G22" s="7" t="s">
        <v>44</v>
      </c>
      <c r="H22" s="7">
        <f>IFERROR(IF(OR(H21&lt;0,C21&lt;0),"n.m.",H21/C21-1),"n/a")</f>
        <v>0</v>
      </c>
      <c r="I22" s="7">
        <f>IFERROR(IF(OR(I21&lt;0,D21&lt;0),"n.m.",I21/D21-1),"n/a")</f>
        <v>0</v>
      </c>
      <c r="J22" s="25">
        <f>IFERROR(IF(OR(J21&lt;0,E21&lt;0),"n.m.",J21/E21-1),"n/a")</f>
        <v>0.0019230769230769162</v>
      </c>
      <c r="K22" s="4"/>
      <c r="L22" s="3"/>
      <c r="M22" s="3"/>
    </row>
    <row r="23">
      <c r="A23" s="3"/>
      <c r="B23" s="29" t="s">
        <v>559</v>
      </c>
      <c r="C23" s="1" t="s">
        <v>44</v>
      </c>
      <c r="D23" s="1">
        <f>IFERROR(D21-C21,"n/a")</f>
        <v>1</v>
      </c>
      <c r="E23" s="1">
        <f>IFERROR(E21-D21,"n/a")</f>
        <v>0</v>
      </c>
      <c r="F23" s="1" t="str">
        <f>IFERROR(F21-E21,"n/a")</f>
        <v>n/a</v>
      </c>
      <c r="G23" s="1" t="s">
        <v>44</v>
      </c>
      <c r="H23" s="1" t="str">
        <f>IFERROR(H21-F21,"n/a")</f>
        <v>n/a</v>
      </c>
      <c r="I23" s="1">
        <f>IFERROR(I21-H21,"n/a")</f>
        <v>1</v>
      </c>
      <c r="J23" s="16">
        <f>IFERROR(J21-I21,"n/a")</f>
        <v>0.0038461538461538325</v>
      </c>
      <c r="K23" s="4"/>
      <c r="L23" s="3"/>
      <c r="M23" s="3"/>
    </row>
    <row r="24">
      <c r="A24" s="3"/>
      <c r="B24" s="3" t="s">
        <v>570</v>
      </c>
      <c r="C24" s="1"/>
      <c r="D24" s="1"/>
      <c r="E24" s="1"/>
      <c r="F24" s="1"/>
      <c r="G24" s="1"/>
      <c r="H24" s="1"/>
      <c r="I24" s="1"/>
      <c r="J24" s="51">
        <v>1000</v>
      </c>
      <c r="K24" s="4" t="s">
        <v>571</v>
      </c>
      <c r="L24" s="3"/>
      <c r="M24" s="3"/>
    </row>
    <row r="25">
      <c r="A25" s="3"/>
      <c r="B25" s="29" t="s">
        <v>572</v>
      </c>
      <c r="C25" s="27"/>
      <c r="D25" s="27"/>
      <c r="E25" s="27"/>
      <c r="F25" s="27"/>
      <c r="G25" s="27"/>
      <c r="H25" s="27"/>
      <c r="I25" s="27"/>
      <c r="J25" s="66">
        <v>2</v>
      </c>
      <c r="K25" s="4" t="s">
        <v>573</v>
      </c>
      <c r="L25" s="3"/>
      <c r="M25" s="3"/>
    </row>
    <row r="26">
      <c r="A26" s="3"/>
      <c r="B26" s="3" t="s">
        <v>574</v>
      </c>
      <c r="C26" s="17">
        <f>-'Cash Flow Statement'!C85</f>
        <v>183</v>
      </c>
      <c r="D26" s="17">
        <f>-'Cash Flow Statement'!D85</f>
        <v>311</v>
      </c>
      <c r="E26" s="17">
        <f>-'Cash Flow Statement'!E85</f>
        <v>258</v>
      </c>
      <c r="F26" s="17">
        <f>-'Cash Flow Statement'!F85</f>
        <v>248</v>
      </c>
      <c r="G26" s="17">
        <f>-'Cash Flow Statement'!G85</f>
        <v>1000</v>
      </c>
      <c r="H26" s="17">
        <f>-'Cash Flow Statement'!H85</f>
        <v>182</v>
      </c>
      <c r="I26" s="17">
        <f>-'Cash Flow Statement'!I85</f>
        <v>297</v>
      </c>
      <c r="J26" s="16">
        <f>(J24-H26-I26)/J25</f>
        <v>260.5</v>
      </c>
      <c r="K26" s="4" t="s">
        <v>575</v>
      </c>
      <c r="L26" s="3"/>
      <c r="M26" s="3"/>
    </row>
    <row r="27">
      <c r="A27" s="3"/>
      <c r="B27" s="56" t="s">
        <v>77</v>
      </c>
      <c r="C27" s="7" t="s">
        <v>44</v>
      </c>
      <c r="D27" s="7" t="s">
        <v>44</v>
      </c>
      <c r="E27" s="7" t="s">
        <v>44</v>
      </c>
      <c r="F27" s="7" t="s">
        <v>44</v>
      </c>
      <c r="G27" s="7" t="s">
        <v>44</v>
      </c>
      <c r="H27" s="7">
        <f>IFERROR(IF(OR(H26&lt;0,C26&lt;0),"n.m.",H26/C26-1),"n/a")</f>
        <v>-0.005464480874316946</v>
      </c>
      <c r="I27" s="7">
        <f>IFERROR(IF(OR(I26&lt;0,D26&lt;0),"n.m.",I26/D26-1),"n/a")</f>
        <v>-0.045016077170418</v>
      </c>
      <c r="J27" s="25">
        <f>IFERROR(IF(OR(J26&lt;0,E26&lt;0),"n.m.",J26/E26-1),"n/a")</f>
        <v>0.009689922480620172</v>
      </c>
      <c r="K27" s="4"/>
      <c r="L27" s="3"/>
      <c r="M27" s="3"/>
    </row>
    <row r="28">
      <c r="A28" s="3"/>
      <c r="B28" s="29" t="s">
        <v>94</v>
      </c>
      <c r="C28" s="1" t="s">
        <v>44</v>
      </c>
      <c r="D28" s="1">
        <f>IFERROR(D26-C26,"n/a")</f>
        <v>128</v>
      </c>
      <c r="E28" s="1">
        <f>IFERROR(E26-D26,"n/a")</f>
        <v>-53</v>
      </c>
      <c r="F28" s="1">
        <f>IFERROR(F26-E26,"n/a")</f>
        <v>-10</v>
      </c>
      <c r="G28" s="1" t="s">
        <v>44</v>
      </c>
      <c r="H28" s="1">
        <f>IFERROR(H26-F26,"n/a")</f>
        <v>-66</v>
      </c>
      <c r="I28" s="1">
        <f>IFERROR(I26-H26,"n/a")</f>
        <v>115</v>
      </c>
      <c r="J28" s="16">
        <f>IFERROR(J26-I26,"n/a")</f>
        <v>-36.5</v>
      </c>
      <c r="K28" s="4"/>
      <c r="L28" s="3"/>
      <c r="M28" s="3"/>
    </row>
    <row r="29">
      <c r="A29" s="3"/>
      <c r="B29" s="29" t="s">
        <v>576</v>
      </c>
      <c r="C29" s="95">
        <f>IFERROR(C26/C21,"n/a")</f>
        <v>183</v>
      </c>
      <c r="D29" s="95">
        <f>IFERROR(D26/D21,"n/a")</f>
        <v>155.5</v>
      </c>
      <c r="E29" s="95">
        <f>IFERROR(E26/E21,"n/a")</f>
        <v>129</v>
      </c>
      <c r="F29" s="95" t="str">
        <f>IFERROR(F26/F21,"n/a")</f>
        <v>n/a</v>
      </c>
      <c r="G29" s="95" t="str">
        <f>IFERROR(G26/G21,"n/a")</f>
        <v>n/a</v>
      </c>
      <c r="H29" s="95">
        <f>IFERROR(H26/H21,"n/a")</f>
        <v>182</v>
      </c>
      <c r="I29" s="95">
        <f>IFERROR(I26/I21,"n/a")</f>
        <v>148.5</v>
      </c>
      <c r="J29" s="119">
        <v>130</v>
      </c>
      <c r="K29" s="4" t="s">
        <v>577</v>
      </c>
      <c r="L29" s="3"/>
      <c r="M29" s="3"/>
    </row>
    <row r="30">
      <c r="A30" s="3"/>
      <c r="B30" s="49" t="s">
        <v>77</v>
      </c>
      <c r="C30" s="7" t="s">
        <v>44</v>
      </c>
      <c r="D30" s="7" t="s">
        <v>44</v>
      </c>
      <c r="E30" s="7" t="s">
        <v>44</v>
      </c>
      <c r="F30" s="7" t="s">
        <v>44</v>
      </c>
      <c r="G30" s="7" t="s">
        <v>44</v>
      </c>
      <c r="H30" s="7">
        <f>IFERROR(IF(OR(H29&lt;0,C29&lt;0),"n.m.",H29/C29-1),"n/a")</f>
        <v>-0.005464480874316946</v>
      </c>
      <c r="I30" s="7">
        <f>IFERROR(IF(OR(I29&lt;0,D29&lt;0),"n.m.",I29/D29-1),"n/a")</f>
        <v>-0.045016077170418</v>
      </c>
      <c r="J30" s="25">
        <f>IFERROR(IF(OR(J29&lt;0,E29&lt;0),"n.m.",J29/E29-1),"n/a")</f>
        <v>0.007751937984496138</v>
      </c>
      <c r="K30" s="4"/>
      <c r="L30" s="3"/>
      <c r="M30" s="3"/>
    </row>
    <row r="31">
      <c r="A31" s="3"/>
      <c r="B31" s="63" t="s">
        <v>578</v>
      </c>
      <c r="C31" s="95" t="s">
        <v>44</v>
      </c>
      <c r="D31" s="95">
        <f>IFERROR(D29-C29,"n/a")</f>
        <v>-27.5</v>
      </c>
      <c r="E31" s="95">
        <f>IFERROR(E29-D29,"n/a")</f>
        <v>-26.5</v>
      </c>
      <c r="F31" s="95" t="str">
        <f>IFERROR(F29-E29,"n/a")</f>
        <v>n/a</v>
      </c>
      <c r="G31" s="95" t="s">
        <v>44</v>
      </c>
      <c r="H31" s="95" t="str">
        <f>IFERROR(H29-F29,"n/a")</f>
        <v>n/a</v>
      </c>
      <c r="I31" s="95">
        <f>IFERROR(I29-H29,"n/a")</f>
        <v>-33.5</v>
      </c>
      <c r="J31" s="100">
        <f>IFERROR(J29-I29,"n/a")</f>
        <v>-18.5</v>
      </c>
      <c r="K31" s="4"/>
      <c r="L31" s="3"/>
      <c r="M31" s="3"/>
    </row>
    <row r="32">
      <c r="A32" s="3"/>
      <c r="B32" s="3" t="s">
        <v>579</v>
      </c>
      <c r="C32" s="1" t="s">
        <v>44</v>
      </c>
      <c r="D32" s="1" t="s">
        <v>44</v>
      </c>
      <c r="E32" s="1" t="s">
        <v>44</v>
      </c>
      <c r="F32" s="1" t="s">
        <v>44</v>
      </c>
      <c r="G32" s="1" t="s">
        <v>44</v>
      </c>
      <c r="H32" s="1" t="s">
        <v>44</v>
      </c>
      <c r="I32" s="1" t="s">
        <v>44</v>
      </c>
      <c r="J32" s="51">
        <v>1</v>
      </c>
      <c r="K32" s="4" t="s">
        <v>580</v>
      </c>
      <c r="L32" s="3"/>
      <c r="M32" s="3"/>
    </row>
    <row r="33">
      <c r="A33" s="3"/>
      <c r="B33" s="29" t="s">
        <v>581</v>
      </c>
      <c r="C33" s="1" t="s">
        <v>44</v>
      </c>
      <c r="D33" s="1" t="str">
        <f>IFERROR(D32-C32,"n/a")</f>
        <v>n/a</v>
      </c>
      <c r="E33" s="1" t="str">
        <f>IFERROR(E32-D32,"n/a")</f>
        <v>n/a</v>
      </c>
      <c r="F33" s="1" t="str">
        <f>IFERROR(F32-E32,"n/a")</f>
        <v>n/a</v>
      </c>
      <c r="G33" s="1" t="s">
        <v>44</v>
      </c>
      <c r="H33" s="1" t="str">
        <f>IFERROR(H32-F32,"n/a")</f>
        <v>n/a</v>
      </c>
      <c r="I33" s="1" t="str">
        <f>IFERROR(I32-H32,"n/a")</f>
        <v>n/a</v>
      </c>
      <c r="J33" s="16" t="str">
        <f>IFERROR(J32-I32,"n/a")</f>
        <v>n/a</v>
      </c>
      <c r="K33" s="4"/>
      <c r="L33" s="3"/>
      <c r="M33" s="3"/>
    </row>
    <row r="34">
      <c r="A34" s="3"/>
      <c r="B34" s="3" t="s">
        <v>582</v>
      </c>
      <c r="C34" s="127">
        <v>1.355</v>
      </c>
      <c r="D34" s="127">
        <v>1.4225</v>
      </c>
      <c r="E34" s="127">
        <v>1.4225</v>
      </c>
      <c r="F34" s="127">
        <v>1.4225</v>
      </c>
      <c r="G34" s="131">
        <f>SUM(C34:F34)</f>
        <v>5.6225000000000005</v>
      </c>
      <c r="H34" s="127">
        <v>1.4225</v>
      </c>
      <c r="I34" s="127">
        <v>1.48</v>
      </c>
      <c r="J34" s="126">
        <f>I34</f>
        <v>1.48</v>
      </c>
      <c r="K34" s="4" t="s">
        <v>583</v>
      </c>
      <c r="L34" s="3"/>
      <c r="M34" s="3"/>
    </row>
    <row r="35">
      <c r="A35" s="3"/>
      <c r="B35" s="56" t="s">
        <v>77</v>
      </c>
      <c r="C35" s="7" t="s">
        <v>44</v>
      </c>
      <c r="D35" s="7" t="s">
        <v>44</v>
      </c>
      <c r="E35" s="7" t="s">
        <v>44</v>
      </c>
      <c r="F35" s="7" t="s">
        <v>44</v>
      </c>
      <c r="G35" s="7" t="s">
        <v>44</v>
      </c>
      <c r="H35" s="7">
        <f>IFERROR(IF(OR(H34&lt;0,C34&lt;0),"n.m.",H34/C34-1),"n/a")</f>
        <v>0.04981549815498165</v>
      </c>
      <c r="I35" s="7">
        <f>IFERROR(IF(OR(I34&lt;0,D34&lt;0),"n.m.",I34/D34-1),"n/a")</f>
        <v>0.04042179261862899</v>
      </c>
      <c r="J35" s="25">
        <f>IFERROR(IF(OR(J34&lt;0,E34&lt;0),"n.m.",J34/E34-1),"n/a")</f>
        <v>0.04042179261862899</v>
      </c>
      <c r="K35" s="4"/>
      <c r="L35" s="3"/>
      <c r="M35" s="3"/>
    </row>
    <row r="36">
      <c r="A36" s="3"/>
      <c r="B36" s="29" t="s">
        <v>578</v>
      </c>
      <c r="C36" s="95" t="s">
        <v>44</v>
      </c>
      <c r="D36" s="95">
        <f>IFERROR(D34-C34,"n/a")</f>
        <v>0.06750000000000012</v>
      </c>
      <c r="E36" s="95">
        <f>IFERROR(E34-D34,"n/a")</f>
        <v>0</v>
      </c>
      <c r="F36" s="95">
        <f>IFERROR(F34-E34,"n/a")</f>
        <v>0</v>
      </c>
      <c r="G36" s="95" t="s">
        <v>44</v>
      </c>
      <c r="H36" s="95">
        <f>IFERROR(H34-F34,"n/a")</f>
        <v>0</v>
      </c>
      <c r="I36" s="95">
        <f>IFERROR(I34-H34,"n/a")</f>
        <v>0.057499999999999885</v>
      </c>
      <c r="J36" s="100">
        <f>IFERROR(J34-I34,"n/a")</f>
        <v>0</v>
      </c>
      <c r="K36" s="4"/>
      <c r="L36" s="3"/>
      <c r="M36" s="3"/>
    </row>
    <row r="37">
      <c r="A37" s="3"/>
      <c r="B37" s="3" t="s">
        <v>584</v>
      </c>
      <c r="C37" s="17">
        <f>-'Cash Flow Statement'!C84</f>
        <v>1882</v>
      </c>
      <c r="D37" s="17">
        <f>-'Cash Flow Statement'!D84</f>
        <v>1861</v>
      </c>
      <c r="E37" s="17">
        <f>-'Cash Flow Statement'!E84</f>
        <v>1949</v>
      </c>
      <c r="F37" s="17">
        <f>-'Cash Flow Statement'!F84</f>
        <v>1946</v>
      </c>
      <c r="G37" s="17">
        <f>-'Cash Flow Statement'!G84</f>
        <v>7638</v>
      </c>
      <c r="H37" s="17">
        <f>-'Cash Flow Statement'!H84</f>
        <v>1966</v>
      </c>
      <c r="I37" s="17">
        <f>-'Cash Flow Statement'!I84</f>
        <v>1948</v>
      </c>
      <c r="J37" s="16">
        <f>J34*J10</f>
        <v>2020.937153846154</v>
      </c>
      <c r="K37" s="4" t="s">
        <v>585</v>
      </c>
      <c r="L37" s="3"/>
      <c r="M37" s="3"/>
    </row>
    <row r="38">
      <c r="A38" s="3"/>
      <c r="B38" s="15" t="s">
        <v>586</v>
      </c>
      <c r="C38" s="21">
        <f>C37+C26</f>
        <v>2065</v>
      </c>
      <c r="D38" s="21">
        <f>D37+D26</f>
        <v>2172</v>
      </c>
      <c r="E38" s="21">
        <f>E37+E26</f>
        <v>2207</v>
      </c>
      <c r="F38" s="21">
        <f>F37+F26</f>
        <v>2194</v>
      </c>
      <c r="G38" s="21">
        <f>G37+G26</f>
        <v>8638</v>
      </c>
      <c r="H38" s="21">
        <f>H37+H26</f>
        <v>2148</v>
      </c>
      <c r="I38" s="21">
        <f>I37+I26</f>
        <v>2245</v>
      </c>
      <c r="J38" s="43">
        <f>J37+J26</f>
        <v>2281.4371538461537</v>
      </c>
      <c r="K38" s="4"/>
      <c r="L38" s="3"/>
      <c r="M38" s="3"/>
    </row>
    <row r="39">
      <c r="A39" s="3"/>
      <c r="B39" s="3"/>
      <c r="C39" s="1"/>
      <c r="D39" s="1"/>
      <c r="E39" s="1"/>
      <c r="F39" s="1"/>
      <c r="G39" s="1"/>
      <c r="H39" s="1"/>
      <c r="I39" s="1"/>
      <c r="J39" s="16"/>
      <c r="K39" s="4"/>
      <c r="L39" s="3"/>
      <c r="M39" s="3"/>
    </row>
    <row r="40">
      <c r="A40" s="3"/>
      <c r="B40" s="15" t="s">
        <v>587</v>
      </c>
      <c r="C40" s="5"/>
      <c r="D40" s="5"/>
      <c r="E40" s="5"/>
      <c r="F40" s="5"/>
      <c r="G40" s="5"/>
      <c r="H40" s="5"/>
      <c r="I40" s="5"/>
      <c r="J40" s="22"/>
      <c r="K40" s="4"/>
      <c r="L40" s="3"/>
      <c r="M40" s="3"/>
    </row>
    <row r="41">
      <c r="A41" s="3"/>
      <c r="B41" s="3" t="s">
        <v>588</v>
      </c>
      <c r="C41" s="17">
        <f>'Income Statement'!C131</f>
        <v>2031</v>
      </c>
      <c r="D41" s="17">
        <f>'Income Statement'!D131</f>
        <v>2907</v>
      </c>
      <c r="E41" s="17">
        <f>'Income Statement'!E131</f>
        <v>3137</v>
      </c>
      <c r="F41" s="17">
        <f>'Income Statement'!F131</f>
        <v>3101</v>
      </c>
      <c r="G41" s="17">
        <f>'Income Statement'!G131</f>
        <v>11176</v>
      </c>
      <c r="H41" s="17">
        <f>'Income Statement'!H131</f>
        <v>2204</v>
      </c>
      <c r="I41" s="17">
        <f>'Income Statement'!I131</f>
        <v>3016</v>
      </c>
      <c r="J41" s="64">
        <f>'Income Statement'!J131</f>
        <v>3154.8665308865384</v>
      </c>
      <c r="K41" s="4"/>
      <c r="L41" s="3"/>
      <c r="M41" s="3"/>
    </row>
    <row r="42">
      <c r="A42" s="3"/>
      <c r="B42" s="15" t="s">
        <v>319</v>
      </c>
      <c r="C42" s="116">
        <f>C41/C14</f>
        <v>1.476017441860465</v>
      </c>
      <c r="D42" s="116">
        <f>D41/D14</f>
        <v>2.1172614712308815</v>
      </c>
      <c r="E42" s="116">
        <f>E41/E14</f>
        <v>2.2864431486880465</v>
      </c>
      <c r="F42" s="116">
        <f>F41/F14</f>
        <v>2.2618526622902992</v>
      </c>
      <c r="G42" s="116">
        <f>G41/G14</f>
        <v>8.139839766933722</v>
      </c>
      <c r="H42" s="116">
        <f>H41/H14</f>
        <v>1.6075857038657915</v>
      </c>
      <c r="I42" s="116">
        <f>I41/I14</f>
        <v>2.2030679327976626</v>
      </c>
      <c r="J42" s="120">
        <f>J41/J14</f>
        <v>2.3053496267820277</v>
      </c>
      <c r="K42" s="4"/>
      <c r="L42" s="3"/>
      <c r="M42" s="3"/>
    </row>
    <row r="43">
      <c r="A43" s="3"/>
      <c r="B43" s="12" t="s">
        <v>589</v>
      </c>
      <c r="C43" s="101">
        <f>C41/(C14-1)-C42</f>
        <v>0.0010734672304439918</v>
      </c>
      <c r="D43" s="101">
        <f>D41/(D14-1)-D42</f>
        <v>0.0015431934921505963</v>
      </c>
      <c r="E43" s="101">
        <f>E41/(E14-1)-E42</f>
        <v>0.0016677192915302008</v>
      </c>
      <c r="F43" s="101">
        <f>F41/(F14-1)-F42</f>
        <v>0.0016509873447372314</v>
      </c>
      <c r="G43" s="101">
        <f>G41/(G14-1)-G42</f>
        <v>0.005932827818464048</v>
      </c>
      <c r="H43" s="101">
        <f>H41/(H14-1)-H42</f>
        <v>0.0011734202217996703</v>
      </c>
      <c r="I43" s="101">
        <f>I41/(I14-1)-I42</f>
        <v>0.0016104297754369057</v>
      </c>
      <c r="J43" s="97">
        <f>J41/(J14-1)-J42</f>
        <v>0.0016858156261321255</v>
      </c>
      <c r="K43" s="4"/>
      <c r="L43" s="3"/>
      <c r="M43" s="3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A1:M42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590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/>
      <c r="D5" s="14"/>
      <c r="E5" s="14"/>
      <c r="F5" s="14"/>
      <c r="G5" s="14"/>
      <c r="H5" s="14"/>
      <c r="I5" s="14"/>
      <c r="J5" s="102"/>
      <c r="K5" s="30" t="s">
        <v>12</v>
      </c>
      <c r="L5" s="3"/>
      <c r="M5" s="3"/>
    </row>
    <row r="6">
      <c r="A6" s="3"/>
      <c r="B6" s="26" t="s">
        <v>13</v>
      </c>
      <c r="C6" s="18"/>
      <c r="D6" s="18"/>
      <c r="E6" s="18"/>
      <c r="F6" s="18"/>
      <c r="G6" s="18"/>
      <c r="H6" s="18"/>
      <c r="I6" s="18"/>
      <c r="J6" s="109"/>
      <c r="K6" s="26" t="s">
        <v>591</v>
      </c>
      <c r="L6" s="3"/>
      <c r="M6" s="3"/>
    </row>
    <row r="7">
      <c r="A7" s="3"/>
      <c r="B7" s="34" t="s">
        <v>14</v>
      </c>
      <c r="C7" s="23"/>
      <c r="D7" s="23"/>
      <c r="E7" s="23"/>
      <c r="F7" s="23"/>
      <c r="G7" s="23"/>
      <c r="H7" s="23"/>
      <c r="I7" s="23"/>
      <c r="J7" s="112"/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110"/>
      <c r="K8" s="3"/>
      <c r="L8" s="3"/>
      <c r="M8" s="3"/>
    </row>
    <row r="9">
      <c r="A9" s="3"/>
      <c r="B9" s="15" t="s">
        <v>592</v>
      </c>
      <c r="C9" s="5"/>
      <c r="D9" s="5"/>
      <c r="E9" s="5"/>
      <c r="F9" s="5"/>
      <c r="G9" s="5"/>
      <c r="H9" s="5"/>
      <c r="I9" s="5"/>
      <c r="J9" s="114"/>
      <c r="K9" s="4"/>
      <c r="L9" s="3"/>
      <c r="M9" s="3"/>
    </row>
    <row r="10">
      <c r="A10" s="3"/>
      <c r="B10" s="15" t="s">
        <v>593</v>
      </c>
      <c r="C10" s="20" t="s">
        <v>594</v>
      </c>
      <c r="D10" s="31" t="s">
        <v>3</v>
      </c>
      <c r="E10" s="31" t="s">
        <v>61</v>
      </c>
      <c r="F10" s="31" t="s">
        <v>60</v>
      </c>
      <c r="G10" s="31" t="s">
        <v>595</v>
      </c>
      <c r="H10" s="31" t="s">
        <v>596</v>
      </c>
      <c r="I10" s="31" t="s">
        <v>597</v>
      </c>
      <c r="J10" s="108" t="s">
        <v>598</v>
      </c>
      <c r="K10" s="4"/>
      <c r="L10" s="3"/>
      <c r="M10" s="3"/>
    </row>
    <row r="11">
      <c r="A11" s="3"/>
      <c r="B11" s="15" t="s">
        <v>599</v>
      </c>
      <c r="C11" s="20"/>
      <c r="D11" s="5"/>
      <c r="E11" s="5"/>
      <c r="F11" s="5"/>
      <c r="G11" s="5"/>
      <c r="H11" s="5"/>
      <c r="I11" s="5"/>
      <c r="J11" s="114"/>
      <c r="K11" s="4"/>
      <c r="L11" s="3"/>
      <c r="M11" s="3"/>
    </row>
    <row r="12">
      <c r="A12" s="3"/>
      <c r="B12" s="12" t="s">
        <v>600</v>
      </c>
      <c r="C12" s="2">
        <v>45692</v>
      </c>
      <c r="D12" s="7" t="s">
        <v>601</v>
      </c>
      <c r="E12" s="9">
        <v>0.01</v>
      </c>
      <c r="F12" s="9">
        <v>0.03</v>
      </c>
      <c r="G12" s="7">
        <f>IFERROR(AVERAGE(E12,F12),"n/a")</f>
        <v>0.02</v>
      </c>
      <c r="H12" s="36">
        <f>'Revenue summary'!G56</f>
        <v>0.01711597893322314</v>
      </c>
      <c r="I12" s="7" t="str">
        <f>IF(ISNUMBER(H12),IF(J12="lower",IF(H12&lt;E12,"Beat",IF(H12&gt;F12,"Miss","Within")),IF(H12&gt;F12,"Beat",IF(H12&lt;E12,"Miss","Within"))),"n/a")</f>
        <v>Within</v>
      </c>
      <c r="J12" s="113" t="s">
        <v>602</v>
      </c>
      <c r="K12" s="4" t="s">
        <v>603</v>
      </c>
      <c r="L12" s="3"/>
      <c r="M12" s="3"/>
    </row>
    <row r="13">
      <c r="A13" s="3"/>
      <c r="B13" s="12" t="s">
        <v>604</v>
      </c>
      <c r="C13" s="2">
        <v>45692</v>
      </c>
      <c r="D13" s="7" t="s">
        <v>601</v>
      </c>
      <c r="E13" s="9">
        <v>0.04</v>
      </c>
      <c r="F13" s="9">
        <v>0.06</v>
      </c>
      <c r="G13" s="7">
        <f>IFERROR(AVERAGE(E13,F13),"n/a")</f>
        <v>0.05</v>
      </c>
      <c r="H13" s="9">
        <v>0</v>
      </c>
      <c r="I13" s="7" t="str">
        <f>IF(ISNUMBER(H13),IF(J13="lower",IF(H13&lt;E13,"Beat",IF(H13&gt;F13,"Miss","Within")),IF(H13&gt;F13,"Beat",IF(H13&lt;E13,"Miss","Within"))),"n/a")</f>
        <v>Miss</v>
      </c>
      <c r="J13" s="113" t="s">
        <v>602</v>
      </c>
      <c r="K13" s="4" t="s">
        <v>605</v>
      </c>
      <c r="L13" s="3"/>
      <c r="M13" s="3"/>
    </row>
    <row r="14">
      <c r="A14" s="3"/>
      <c r="B14" s="12" t="s">
        <v>606</v>
      </c>
      <c r="C14" s="2">
        <v>45771</v>
      </c>
      <c r="D14" s="7" t="s">
        <v>601</v>
      </c>
      <c r="E14" s="9">
        <v>-0.005</v>
      </c>
      <c r="F14" s="9">
        <v>0.005</v>
      </c>
      <c r="G14" s="7">
        <f>IFERROR(AVERAGE(E14,F14),"n/a")</f>
        <v>0</v>
      </c>
      <c r="H14" s="9">
        <v>0</v>
      </c>
      <c r="I14" s="7" t="str">
        <f>IF(ISNUMBER(H14),IF(J14="lower",IF(H14&lt;E14,"Beat",IF(H14&gt;F14,"Miss","Within")),IF(H14&gt;F14,"Beat",IF(H14&lt;E14,"Miss","Within"))),"n/a")</f>
        <v>Within</v>
      </c>
      <c r="J14" s="113" t="s">
        <v>602</v>
      </c>
      <c r="K14" s="4" t="s">
        <v>607</v>
      </c>
      <c r="L14" s="3"/>
      <c r="M14" s="3"/>
    </row>
    <row r="15">
      <c r="A15" s="3"/>
      <c r="B15" s="12" t="s">
        <v>608</v>
      </c>
      <c r="C15" s="2">
        <v>45771</v>
      </c>
      <c r="D15" s="7" t="s">
        <v>601</v>
      </c>
      <c r="E15" s="9">
        <v>-0.03</v>
      </c>
      <c r="F15" s="9">
        <v>-0.03</v>
      </c>
      <c r="G15" s="7">
        <f>IFERROR(AVERAGE(E15,F15),"n/a")</f>
        <v>-0.03</v>
      </c>
      <c r="H15" s="7" t="s">
        <v>44</v>
      </c>
      <c r="I15" s="7" t="s">
        <v>44</v>
      </c>
      <c r="J15" s="113" t="s">
        <v>44</v>
      </c>
      <c r="K15" s="4" t="s">
        <v>609</v>
      </c>
      <c r="L15" s="3"/>
      <c r="M15" s="3"/>
    </row>
    <row r="16">
      <c r="A16" s="3"/>
      <c r="B16" s="3" t="s">
        <v>610</v>
      </c>
      <c r="C16" s="10">
        <v>45771</v>
      </c>
      <c r="D16" s="95" t="s">
        <v>601</v>
      </c>
      <c r="E16" s="99">
        <f>'Income Statement'!G143*(1+E15)</f>
        <v>7.9152</v>
      </c>
      <c r="F16" s="99">
        <f>'Income Statement'!G143*(1+F15)</f>
        <v>7.9152</v>
      </c>
      <c r="G16" s="95">
        <f>IFERROR(AVERAGE(E16,F16),"n/a")</f>
        <v>7.9152</v>
      </c>
      <c r="H16" s="99">
        <f>'Income Statement'!G135</f>
        <v>8.14</v>
      </c>
      <c r="I16" s="95" t="str">
        <f>IF(ISNUMBER(H16),IF(J16="lower",IF(H16&lt;E16,"Beat",IF(H16&gt;F16,"Miss","Within")),IF(H16&gt;F16,"Beat",IF(H16&lt;E16,"Miss","Within"))),"n/a")</f>
        <v>Beat</v>
      </c>
      <c r="J16" s="95" t="s">
        <v>602</v>
      </c>
      <c r="K16" s="4" t="s">
        <v>611</v>
      </c>
      <c r="L16" s="3"/>
      <c r="M16" s="3"/>
    </row>
    <row r="17">
      <c r="A17" s="3"/>
      <c r="B17" s="12" t="s">
        <v>608</v>
      </c>
      <c r="C17" s="2">
        <v>45855</v>
      </c>
      <c r="D17" s="7" t="s">
        <v>601</v>
      </c>
      <c r="E17" s="9">
        <v>-0.015</v>
      </c>
      <c r="F17" s="9">
        <v>-0.015</v>
      </c>
      <c r="G17" s="7">
        <f>IFERROR(AVERAGE(E17,F17),"n/a")</f>
        <v>-0.015</v>
      </c>
      <c r="H17" s="7" t="s">
        <v>44</v>
      </c>
      <c r="I17" s="7" t="s">
        <v>44</v>
      </c>
      <c r="J17" s="113" t="s">
        <v>44</v>
      </c>
      <c r="K17" s="4" t="s">
        <v>612</v>
      </c>
      <c r="L17" s="3"/>
      <c r="M17" s="3"/>
    </row>
    <row r="18">
      <c r="A18" s="3"/>
      <c r="B18" s="3" t="s">
        <v>610</v>
      </c>
      <c r="C18" s="10">
        <v>45855</v>
      </c>
      <c r="D18" s="95" t="s">
        <v>601</v>
      </c>
      <c r="E18" s="99">
        <f>'Income Statement'!G143*(1+E17)</f>
        <v>8.0376</v>
      </c>
      <c r="F18" s="99">
        <f>'Income Statement'!G143*(1+F17)</f>
        <v>8.0376</v>
      </c>
      <c r="G18" s="95">
        <f>IFERROR(AVERAGE(E18,F18),"n/a")</f>
        <v>8.0376</v>
      </c>
      <c r="H18" s="99">
        <f>'Income Statement'!G135</f>
        <v>8.14</v>
      </c>
      <c r="I18" s="95" t="str">
        <f>IF(ISNUMBER(H18),IF(J18="lower",IF(H18&lt;E18,"Beat",IF(H18&gt;F18,"Miss","Within")),IF(H18&gt;F18,"Beat",IF(H18&lt;E18,"Miss","Within"))),"n/a")</f>
        <v>Beat</v>
      </c>
      <c r="J18" s="95" t="s">
        <v>602</v>
      </c>
      <c r="K18" s="4" t="s">
        <v>611</v>
      </c>
      <c r="L18" s="3"/>
      <c r="M18" s="3"/>
    </row>
    <row r="19">
      <c r="A19" s="3"/>
      <c r="B19" s="12" t="s">
        <v>608</v>
      </c>
      <c r="C19" s="2">
        <v>45939</v>
      </c>
      <c r="D19" s="7" t="s">
        <v>601</v>
      </c>
      <c r="E19" s="9">
        <v>-0.005</v>
      </c>
      <c r="F19" s="9">
        <v>-0.005</v>
      </c>
      <c r="G19" s="7">
        <f>IFERROR(AVERAGE(E19,F19),"n/a")</f>
        <v>-0.005</v>
      </c>
      <c r="H19" s="7" t="s">
        <v>44</v>
      </c>
      <c r="I19" s="7" t="s">
        <v>44</v>
      </c>
      <c r="J19" s="113" t="s">
        <v>44</v>
      </c>
      <c r="K19" s="4" t="s">
        <v>613</v>
      </c>
      <c r="L19" s="3"/>
      <c r="M19" s="3"/>
    </row>
    <row r="20">
      <c r="A20" s="3"/>
      <c r="B20" s="3" t="s">
        <v>610</v>
      </c>
      <c r="C20" s="10">
        <v>45939</v>
      </c>
      <c r="D20" s="95" t="s">
        <v>601</v>
      </c>
      <c r="E20" s="99">
        <f>'Income Statement'!G143*(1+E19)</f>
        <v>8.1192</v>
      </c>
      <c r="F20" s="99">
        <f>'Income Statement'!G143*(1+F19)</f>
        <v>8.1192</v>
      </c>
      <c r="G20" s="95">
        <f>IFERROR(AVERAGE(E20,F20),"n/a")</f>
        <v>8.1192</v>
      </c>
      <c r="H20" s="99">
        <f>'Income Statement'!G135</f>
        <v>8.14</v>
      </c>
      <c r="I20" s="95" t="str">
        <f>IF(ISNUMBER(H20),IF(J20="lower",IF(H20&lt;E20,"Beat",IF(H20&gt;F20,"Miss","Within")),IF(H20&gt;F20,"Beat",IF(H20&lt;E20,"Miss","Within"))),"n/a")</f>
        <v>Beat</v>
      </c>
      <c r="J20" s="95" t="s">
        <v>602</v>
      </c>
      <c r="K20" s="4" t="s">
        <v>611</v>
      </c>
      <c r="L20" s="3"/>
      <c r="M20" s="3"/>
    </row>
    <row r="21">
      <c r="A21" s="3"/>
      <c r="B21" s="12" t="s">
        <v>614</v>
      </c>
      <c r="C21" s="2">
        <v>45692</v>
      </c>
      <c r="D21" s="7" t="s">
        <v>601</v>
      </c>
      <c r="E21" s="9">
        <v>0.195</v>
      </c>
      <c r="F21" s="9">
        <v>0.205</v>
      </c>
      <c r="G21" s="7">
        <f>IFERROR(AVERAGE(E21,F21),"n/a")</f>
        <v>0.2</v>
      </c>
      <c r="H21" s="36">
        <f>'Income Statement'!G127</f>
        <v>0.19525652049297793</v>
      </c>
      <c r="I21" s="7" t="str">
        <f>IF(ISNUMBER(H21),IF(J21="lower",IF(H21&lt;E21,"Beat",IF(H21&gt;F21,"Miss","Within")),IF(H21&gt;F21,"Beat",IF(H21&lt;E21,"Miss","Within"))),"n/a")</f>
        <v>Within</v>
      </c>
      <c r="J21" s="113" t="s">
        <v>615</v>
      </c>
      <c r="K21" s="4" t="s">
        <v>616</v>
      </c>
      <c r="L21" s="3"/>
      <c r="M21" s="3"/>
    </row>
    <row r="22">
      <c r="A22" s="3"/>
      <c r="B22" s="3" t="s">
        <v>617</v>
      </c>
      <c r="C22" s="10">
        <v>45692</v>
      </c>
      <c r="D22" s="1" t="s">
        <v>601</v>
      </c>
      <c r="E22" s="19">
        <v>8500</v>
      </c>
      <c r="F22" s="19">
        <v>8700</v>
      </c>
      <c r="G22" s="1">
        <f>IFERROR(AVERAGE(E22,F22),"n/a")</f>
        <v>8600</v>
      </c>
      <c r="H22" s="17">
        <f>'Share Count'!G38</f>
        <v>8638</v>
      </c>
      <c r="I22" s="1" t="str">
        <f>IF(ISNUMBER(H22),IF(J22="lower",IF(H22&lt;E22,"Beat",IF(H22&gt;F22,"Miss","Within")),IF(H22&gt;F22,"Beat",IF(H22&lt;E22,"Miss","Within"))),"n/a")</f>
        <v>Within</v>
      </c>
      <c r="J22" s="106" t="s">
        <v>602</v>
      </c>
      <c r="K22" s="4" t="s">
        <v>618</v>
      </c>
      <c r="L22" s="3"/>
      <c r="M22" s="3"/>
    </row>
    <row r="23">
      <c r="A23" s="3"/>
      <c r="B23" s="3"/>
      <c r="C23" s="53"/>
      <c r="D23" s="1"/>
      <c r="E23" s="1"/>
      <c r="F23" s="1"/>
      <c r="G23" s="1"/>
      <c r="H23" s="1"/>
      <c r="I23" s="1"/>
      <c r="J23" s="106"/>
      <c r="K23" s="4"/>
      <c r="L23" s="3"/>
      <c r="M23" s="3"/>
    </row>
    <row r="24">
      <c r="A24" s="3"/>
      <c r="B24" s="15" t="s">
        <v>619</v>
      </c>
      <c r="C24" s="20"/>
      <c r="D24" s="5"/>
      <c r="E24" s="5"/>
      <c r="F24" s="5"/>
      <c r="G24" s="5"/>
      <c r="H24" s="5"/>
      <c r="I24" s="5"/>
      <c r="J24" s="114"/>
      <c r="K24" s="4"/>
      <c r="L24" s="3"/>
      <c r="M24" s="3"/>
    </row>
    <row r="25">
      <c r="A25" s="3"/>
      <c r="B25" s="12" t="s">
        <v>620</v>
      </c>
      <c r="C25" s="2">
        <v>46212</v>
      </c>
      <c r="D25" s="7" t="s">
        <v>621</v>
      </c>
      <c r="E25" s="9">
        <v>0.02</v>
      </c>
      <c r="F25" s="9">
        <v>0.04</v>
      </c>
      <c r="G25" s="7">
        <f>IFERROR(AVERAGE(E25,F25),"n/a")</f>
        <v>0.03</v>
      </c>
      <c r="H25" s="7" t="s">
        <v>44</v>
      </c>
      <c r="I25" s="7" t="str">
        <f>IF(ISNUMBER(H25),IF(J25="lower",IF(H25&lt;E25,"Beat",IF(H25&gt;F25,"Miss","Within")),IF(H25&gt;F25,"Beat",IF(H25&lt;E25,"Miss","Within"))),"n/a")</f>
        <v>n/a</v>
      </c>
      <c r="J25" s="113" t="s">
        <v>602</v>
      </c>
      <c r="K25" s="4" t="s">
        <v>622</v>
      </c>
      <c r="L25" s="3"/>
      <c r="M25" s="3"/>
    </row>
    <row r="26">
      <c r="A26" s="3"/>
      <c r="B26" s="12" t="s">
        <v>623</v>
      </c>
      <c r="C26" s="2">
        <v>46212</v>
      </c>
      <c r="D26" s="7" t="s">
        <v>621</v>
      </c>
      <c r="E26" s="9">
        <v>0.04</v>
      </c>
      <c r="F26" s="9">
        <v>0.06</v>
      </c>
      <c r="G26" s="7">
        <f>IFERROR(AVERAGE(E26,F26),"n/a")</f>
        <v>0.05</v>
      </c>
      <c r="H26" s="7" t="s">
        <v>44</v>
      </c>
      <c r="I26" s="7" t="str">
        <f>IF(ISNUMBER(H26),IF(J26="lower",IF(H26&lt;E26,"Beat",IF(H26&gt;F26,"Miss","Within")),IF(H26&gt;F26,"Beat",IF(H26&lt;E26,"Miss","Within"))),"n/a")</f>
        <v>n/a</v>
      </c>
      <c r="J26" s="113" t="s">
        <v>602</v>
      </c>
      <c r="K26" s="4" t="s">
        <v>624</v>
      </c>
      <c r="L26" s="3"/>
      <c r="M26" s="3"/>
    </row>
    <row r="27">
      <c r="A27" s="3"/>
      <c r="B27" s="12" t="s">
        <v>625</v>
      </c>
      <c r="C27" s="2">
        <v>46212</v>
      </c>
      <c r="D27" s="7" t="s">
        <v>621</v>
      </c>
      <c r="E27" s="9">
        <v>0.05</v>
      </c>
      <c r="F27" s="9">
        <v>0.07</v>
      </c>
      <c r="G27" s="7">
        <f>IFERROR(AVERAGE(E27,F27),"n/a")</f>
        <v>0.060000000000000005</v>
      </c>
      <c r="H27" s="7" t="s">
        <v>44</v>
      </c>
      <c r="I27" s="7" t="str">
        <f>IF(ISNUMBER(H27),IF(J27="lower",IF(H27&lt;E27,"Beat",IF(H27&gt;F27,"Miss","Within")),IF(H27&gt;F27,"Beat",IF(H27&lt;E27,"Miss","Within"))),"n/a")</f>
        <v>n/a</v>
      </c>
      <c r="J27" s="113" t="s">
        <v>602</v>
      </c>
      <c r="K27" s="4" t="s">
        <v>626</v>
      </c>
      <c r="L27" s="3"/>
      <c r="M27" s="3"/>
    </row>
    <row r="28">
      <c r="A28" s="3"/>
      <c r="B28" s="3" t="s">
        <v>610</v>
      </c>
      <c r="C28" s="10">
        <v>46212</v>
      </c>
      <c r="D28" s="95" t="s">
        <v>621</v>
      </c>
      <c r="E28" s="99">
        <f>'Income Statement'!G135*(1+E27)</f>
        <v>8.547</v>
      </c>
      <c r="F28" s="99">
        <f>'Income Statement'!G135*(1+F27)</f>
        <v>8.709800000000001</v>
      </c>
      <c r="G28" s="95">
        <f>IFERROR(AVERAGE(E28,F28),"n/a")</f>
        <v>8.628400000000001</v>
      </c>
      <c r="H28" s="95" t="s">
        <v>44</v>
      </c>
      <c r="I28" s="95" t="str">
        <f>IF(ISNUMBER(H28),IF(J28="lower",IF(H28&lt;E28,"Beat",IF(H28&gt;F28,"Miss","Within")),IF(H28&gt;F28,"Beat",IF(H28&lt;E28,"Miss","Within"))),"n/a")</f>
        <v>n/a</v>
      </c>
      <c r="J28" s="95" t="s">
        <v>602</v>
      </c>
      <c r="K28" s="4" t="s">
        <v>627</v>
      </c>
      <c r="L28" s="3"/>
      <c r="M28" s="3"/>
    </row>
    <row r="29">
      <c r="A29" s="3"/>
      <c r="B29" s="12" t="s">
        <v>628</v>
      </c>
      <c r="C29" s="2">
        <v>46212</v>
      </c>
      <c r="D29" s="7" t="s">
        <v>621</v>
      </c>
      <c r="E29" s="9">
        <v>0.215</v>
      </c>
      <c r="F29" s="9">
        <v>0.225</v>
      </c>
      <c r="G29" s="7">
        <f>IFERROR(AVERAGE(E29,F29),"n/a")</f>
        <v>0.22</v>
      </c>
      <c r="H29" s="7" t="s">
        <v>44</v>
      </c>
      <c r="I29" s="7" t="str">
        <f>IF(ISNUMBER(H29),IF(J29="lower",IF(H29&lt;E29,"Beat",IF(H29&gt;F29,"Miss","Within")),IF(H29&gt;F29,"Beat",IF(H29&lt;E29,"Miss","Within"))),"n/a")</f>
        <v>n/a</v>
      </c>
      <c r="J29" s="113" t="s">
        <v>615</v>
      </c>
      <c r="K29" s="4" t="s">
        <v>629</v>
      </c>
      <c r="L29" s="3"/>
      <c r="M29" s="3"/>
    </row>
    <row r="30">
      <c r="A30" s="3"/>
      <c r="B30" s="12" t="s">
        <v>630</v>
      </c>
      <c r="C30" s="2">
        <v>46212</v>
      </c>
      <c r="D30" s="7" t="s">
        <v>621</v>
      </c>
      <c r="E30" s="9">
        <v>0.04</v>
      </c>
      <c r="F30" s="9">
        <v>0.06</v>
      </c>
      <c r="G30" s="7">
        <f>IFERROR(AVERAGE(E30,F30),"n/a")</f>
        <v>0.05</v>
      </c>
      <c r="H30" s="7" t="s">
        <v>44</v>
      </c>
      <c r="I30" s="7" t="str">
        <f>IF(ISNUMBER(H30),IF(J30="lower",IF(H30&lt;E30,"Beat",IF(H30&gt;F30,"Miss","Within")),IF(H30&gt;F30,"Beat",IF(H30&lt;E30,"Miss","Within"))),"n/a")</f>
        <v>n/a</v>
      </c>
      <c r="J30" s="113" t="s">
        <v>602</v>
      </c>
      <c r="K30" s="4" t="s">
        <v>631</v>
      </c>
      <c r="L30" s="3"/>
      <c r="M30" s="3"/>
    </row>
    <row r="31">
      <c r="A31" s="3"/>
      <c r="B31" s="12" t="s">
        <v>632</v>
      </c>
      <c r="C31" s="2">
        <v>46212</v>
      </c>
      <c r="D31" s="7" t="s">
        <v>621</v>
      </c>
      <c r="E31" s="9">
        <v>0.005</v>
      </c>
      <c r="F31" s="9">
        <v>0.015</v>
      </c>
      <c r="G31" s="7">
        <f>IFERROR(AVERAGE(E31,F31),"n/a")</f>
        <v>0.01</v>
      </c>
      <c r="H31" s="7" t="s">
        <v>44</v>
      </c>
      <c r="I31" s="7" t="str">
        <f>IF(ISNUMBER(H31),IF(J31="lower",IF(H31&lt;E31,"Beat",IF(H31&gt;F31,"Miss","Within")),IF(H31&gt;F31,"Beat",IF(H31&lt;E31,"Miss","Within"))),"n/a")</f>
        <v>n/a</v>
      </c>
      <c r="J31" s="113" t="s">
        <v>602</v>
      </c>
      <c r="K31" s="4" t="s">
        <v>633</v>
      </c>
      <c r="L31" s="3"/>
      <c r="M31" s="3"/>
    </row>
    <row r="32">
      <c r="A32" s="3"/>
      <c r="B32" s="12" t="s">
        <v>634</v>
      </c>
      <c r="C32" s="2">
        <v>46212</v>
      </c>
      <c r="D32" s="7" t="s">
        <v>621</v>
      </c>
      <c r="E32" s="9">
        <v>0.005</v>
      </c>
      <c r="F32" s="9">
        <v>0.015</v>
      </c>
      <c r="G32" s="7">
        <f>IFERROR(AVERAGE(E32,F32),"n/a")</f>
        <v>0.01</v>
      </c>
      <c r="H32" s="7" t="s">
        <v>44</v>
      </c>
      <c r="I32" s="7" t="str">
        <f>IF(ISNUMBER(H32),IF(J32="lower",IF(H32&lt;E32,"Beat",IF(H32&gt;F32,"Miss","Within")),IF(H32&gt;F32,"Beat",IF(H32&lt;E32,"Miss","Within"))),"n/a")</f>
        <v>n/a</v>
      </c>
      <c r="J32" s="113" t="s">
        <v>602</v>
      </c>
      <c r="K32" s="4" t="s">
        <v>635</v>
      </c>
      <c r="L32" s="3"/>
      <c r="M32" s="3"/>
    </row>
    <row r="33">
      <c r="A33" s="3"/>
      <c r="B33" s="12" t="s">
        <v>636</v>
      </c>
      <c r="C33" s="2">
        <v>46212</v>
      </c>
      <c r="D33" s="7" t="s">
        <v>621</v>
      </c>
      <c r="E33" s="7" t="s">
        <v>44</v>
      </c>
      <c r="F33" s="9">
        <v>0.05</v>
      </c>
      <c r="G33" s="7">
        <f>IFERROR(AVERAGE(E33,F33),"n/a")</f>
        <v>0.05</v>
      </c>
      <c r="H33" s="7" t="s">
        <v>44</v>
      </c>
      <c r="I33" s="7" t="str">
        <f>IF(ISNUMBER(H33),IF(J33="lower",IF(H33&lt;E33,"Beat",IF(H33&gt;F33,"Miss","Within")),IF(H33&gt;F33,"Beat",IF(H33&lt;E33,"Miss","Within"))),"n/a")</f>
        <v>n/a</v>
      </c>
      <c r="J33" s="113" t="s">
        <v>615</v>
      </c>
      <c r="K33" s="4" t="s">
        <v>637</v>
      </c>
      <c r="L33" s="3"/>
      <c r="M33" s="3"/>
    </row>
    <row r="34">
      <c r="A34" s="3"/>
      <c r="B34" s="12" t="s">
        <v>638</v>
      </c>
      <c r="C34" s="2">
        <v>46212</v>
      </c>
      <c r="D34" s="7" t="s">
        <v>621</v>
      </c>
      <c r="E34" s="9">
        <v>0.8</v>
      </c>
      <c r="F34" s="7" t="s">
        <v>44</v>
      </c>
      <c r="G34" s="7">
        <f>IFERROR(AVERAGE(E34,F34),"n/a")</f>
        <v>0.8</v>
      </c>
      <c r="H34" s="7" t="s">
        <v>44</v>
      </c>
      <c r="I34" s="7" t="str">
        <f>IF(ISNUMBER(H34),IF(J34="lower",IF(H34&lt;E34,"Beat",IF(H34&gt;F34,"Miss","Within")),IF(H34&gt;F34,"Beat",IF(H34&lt;E34,"Miss","Within"))),"n/a")</f>
        <v>n/a</v>
      </c>
      <c r="J34" s="113" t="s">
        <v>602</v>
      </c>
      <c r="K34" s="4" t="s">
        <v>639</v>
      </c>
      <c r="L34" s="3"/>
      <c r="M34" s="3"/>
    </row>
    <row r="35">
      <c r="A35" s="3"/>
      <c r="B35" s="3" t="s">
        <v>617</v>
      </c>
      <c r="C35" s="10">
        <v>46212</v>
      </c>
      <c r="D35" s="1" t="s">
        <v>621</v>
      </c>
      <c r="E35" s="19">
        <v>8800</v>
      </c>
      <c r="F35" s="19">
        <v>9000</v>
      </c>
      <c r="G35" s="1">
        <f>IFERROR(AVERAGE(E35,F35),"n/a")</f>
        <v>8900</v>
      </c>
      <c r="H35" s="1" t="s">
        <v>44</v>
      </c>
      <c r="I35" s="1" t="str">
        <f>IF(ISNUMBER(H35),IF(J35="lower",IF(H35&lt;E35,"Beat",IF(H35&gt;F35,"Miss","Within")),IF(H35&gt;F35,"Beat",IF(H35&lt;E35,"Miss","Within"))),"n/a")</f>
        <v>n/a</v>
      </c>
      <c r="J35" s="106" t="s">
        <v>602</v>
      </c>
      <c r="K35" s="4" t="s">
        <v>640</v>
      </c>
      <c r="L35" s="3"/>
      <c r="M35" s="3"/>
    </row>
    <row r="36">
      <c r="A36" s="3"/>
      <c r="B36" s="3"/>
      <c r="C36" s="53"/>
      <c r="D36" s="1"/>
      <c r="E36" s="1"/>
      <c r="F36" s="1"/>
      <c r="G36" s="1"/>
      <c r="H36" s="1"/>
      <c r="I36" s="1"/>
      <c r="J36" s="106"/>
      <c r="K36" s="4"/>
      <c r="L36" s="3"/>
      <c r="M36" s="3"/>
    </row>
    <row r="37">
      <c r="A37" s="3"/>
      <c r="B37" s="15" t="s">
        <v>641</v>
      </c>
      <c r="C37" s="20"/>
      <c r="D37" s="5"/>
      <c r="E37" s="5"/>
      <c r="F37" s="5"/>
      <c r="G37" s="5"/>
      <c r="H37" s="5"/>
      <c r="I37" s="5"/>
      <c r="J37" s="114"/>
      <c r="K37" s="4"/>
      <c r="L37" s="3"/>
      <c r="M37" s="3"/>
    </row>
    <row r="38">
      <c r="A38" s="3"/>
      <c r="B38" s="3" t="s">
        <v>642</v>
      </c>
      <c r="C38" s="10">
        <v>46212</v>
      </c>
      <c r="D38" s="95" t="s">
        <v>643</v>
      </c>
      <c r="E38" s="95" t="s">
        <v>44</v>
      </c>
      <c r="F38" s="95" t="s">
        <v>44</v>
      </c>
      <c r="G38" s="95" t="s">
        <v>44</v>
      </c>
      <c r="H38" s="95" t="s">
        <v>44</v>
      </c>
      <c r="I38" s="95" t="s">
        <v>44</v>
      </c>
      <c r="J38" s="95" t="s">
        <v>44</v>
      </c>
      <c r="K38" s="4" t="s">
        <v>644</v>
      </c>
      <c r="L38" s="3"/>
      <c r="M38" s="3"/>
    </row>
    <row r="39">
      <c r="A39" s="3"/>
      <c r="B39" s="12" t="s">
        <v>645</v>
      </c>
      <c r="C39" s="2">
        <v>46212</v>
      </c>
      <c r="D39" s="7" t="s">
        <v>643</v>
      </c>
      <c r="E39" s="9">
        <v>0.01</v>
      </c>
      <c r="F39" s="9">
        <v>0.01</v>
      </c>
      <c r="G39" s="7">
        <f>IFERROR(AVERAGE(E39,F39),"n/a")</f>
        <v>0.01</v>
      </c>
      <c r="H39" s="7" t="s">
        <v>44</v>
      </c>
      <c r="I39" s="7" t="s">
        <v>44</v>
      </c>
      <c r="J39" s="113" t="s">
        <v>44</v>
      </c>
      <c r="K39" s="4" t="s">
        <v>646</v>
      </c>
      <c r="L39" s="3"/>
      <c r="M39" s="3"/>
    </row>
    <row r="40">
      <c r="A40" s="3"/>
      <c r="B40" s="3" t="s">
        <v>647</v>
      </c>
      <c r="C40" s="10">
        <v>46212</v>
      </c>
      <c r="D40" s="95" t="s">
        <v>643</v>
      </c>
      <c r="E40" s="99">
        <f>'Income Statement'!G135*E39</f>
        <v>0.08140000000000001</v>
      </c>
      <c r="F40" s="99">
        <f>'Income Statement'!G135*F39</f>
        <v>0.08140000000000001</v>
      </c>
      <c r="G40" s="95">
        <f>IFERROR(AVERAGE(E40,F40),"n/a")</f>
        <v>0.08140000000000001</v>
      </c>
      <c r="H40" s="95" t="s">
        <v>44</v>
      </c>
      <c r="I40" s="95" t="s">
        <v>44</v>
      </c>
      <c r="J40" s="95" t="s">
        <v>44</v>
      </c>
      <c r="K40" s="4" t="s">
        <v>648</v>
      </c>
      <c r="L40" s="3"/>
      <c r="M40" s="3"/>
    </row>
    <row r="41">
      <c r="A41" s="3"/>
      <c r="B41" s="12" t="s">
        <v>649</v>
      </c>
      <c r="C41" s="2">
        <v>46212</v>
      </c>
      <c r="D41" s="7" t="s">
        <v>643</v>
      </c>
      <c r="E41" s="36">
        <f>'Income Statement'!E127</f>
        <v>0.19406801329583226</v>
      </c>
      <c r="F41" s="7" t="s">
        <v>44</v>
      </c>
      <c r="G41" s="7">
        <f>IFERROR(AVERAGE(E41,F41),"n/a")</f>
        <v>0.19406801329583226</v>
      </c>
      <c r="H41" s="7" t="s">
        <v>44</v>
      </c>
      <c r="I41" s="7" t="s">
        <v>44</v>
      </c>
      <c r="J41" s="113" t="s">
        <v>44</v>
      </c>
      <c r="K41" s="4" t="s">
        <v>650</v>
      </c>
      <c r="L41" s="3"/>
      <c r="M41" s="3"/>
    </row>
    <row r="42">
      <c r="A42" s="3"/>
      <c r="B42" s="3" t="s">
        <v>651</v>
      </c>
      <c r="C42" s="10">
        <v>46212</v>
      </c>
      <c r="D42" s="95" t="s">
        <v>652</v>
      </c>
      <c r="E42" s="95" t="s">
        <v>44</v>
      </c>
      <c r="F42" s="95" t="s">
        <v>44</v>
      </c>
      <c r="G42" s="95" t="s">
        <v>44</v>
      </c>
      <c r="H42" s="95" t="s">
        <v>44</v>
      </c>
      <c r="I42" s="95" t="s">
        <v>44</v>
      </c>
      <c r="J42" s="95" t="s">
        <v>44</v>
      </c>
      <c r="K42" s="4" t="s">
        <v>653</v>
      </c>
      <c r="L42" s="3"/>
      <c r="M42" s="3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dimension ref="A1:M4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  <col min="12" max="12" width="55" customWidth="1"/>
    <col min="13" max="13" width="95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654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/>
      <c r="D5" s="14"/>
      <c r="E5" s="14"/>
      <c r="F5" s="14"/>
      <c r="G5" s="14"/>
      <c r="H5" s="14"/>
      <c r="I5" s="14"/>
      <c r="J5" s="102"/>
      <c r="K5" s="30" t="s">
        <v>12</v>
      </c>
      <c r="L5" s="3"/>
      <c r="M5" s="3"/>
    </row>
    <row r="6">
      <c r="A6" s="3"/>
      <c r="B6" s="26" t="s">
        <v>13</v>
      </c>
      <c r="C6" s="18"/>
      <c r="D6" s="18"/>
      <c r="E6" s="18"/>
      <c r="F6" s="18"/>
      <c r="G6" s="18"/>
      <c r="H6" s="18"/>
      <c r="I6" s="18"/>
      <c r="J6" s="109"/>
      <c r="K6" s="26" t="s">
        <v>655</v>
      </c>
      <c r="L6" s="3"/>
      <c r="M6" s="3"/>
    </row>
    <row r="7">
      <c r="A7" s="3"/>
      <c r="B7" s="34" t="s">
        <v>14</v>
      </c>
      <c r="C7" s="23"/>
      <c r="D7" s="23"/>
      <c r="E7" s="23"/>
      <c r="F7" s="23"/>
      <c r="G7" s="23"/>
      <c r="H7" s="23"/>
      <c r="I7" s="23"/>
      <c r="J7" s="112"/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110"/>
      <c r="K8" s="3"/>
      <c r="L8" s="3"/>
      <c r="M8" s="3"/>
    </row>
    <row r="9">
      <c r="A9" s="3"/>
      <c r="B9" s="15" t="s">
        <v>656</v>
      </c>
      <c r="C9" s="31" t="s">
        <v>657</v>
      </c>
      <c r="D9" s="31" t="s">
        <v>658</v>
      </c>
      <c r="E9" s="31"/>
      <c r="F9" s="31"/>
      <c r="G9" s="31"/>
      <c r="H9" s="31"/>
      <c r="I9" s="31"/>
      <c r="J9" s="108"/>
      <c r="K9" s="15" t="s">
        <v>659</v>
      </c>
      <c r="L9" s="15" t="s">
        <v>660</v>
      </c>
      <c r="M9" s="15" t="s">
        <v>661</v>
      </c>
    </row>
    <row r="10">
      <c r="A10" s="3"/>
      <c r="B10" s="3" t="s">
        <v>662</v>
      </c>
      <c r="C10" s="10">
        <v>46299</v>
      </c>
      <c r="D10" s="53" t="s">
        <v>663</v>
      </c>
      <c r="E10" s="28"/>
      <c r="F10" s="28"/>
      <c r="G10" s="28"/>
      <c r="H10" s="28"/>
      <c r="I10" s="28"/>
      <c r="J10" s="96"/>
      <c r="K10" s="4" t="s">
        <v>664</v>
      </c>
      <c r="L10" s="4" t="s">
        <v>665</v>
      </c>
      <c r="M10" s="4" t="s">
        <v>666</v>
      </c>
    </row>
    <row r="11">
      <c r="A11" s="3"/>
      <c r="B11" s="3" t="s">
        <v>667</v>
      </c>
      <c r="C11" s="10">
        <v>46299</v>
      </c>
      <c r="D11" s="53" t="s">
        <v>663</v>
      </c>
      <c r="E11" s="28"/>
      <c r="F11" s="28"/>
      <c r="G11" s="28"/>
      <c r="H11" s="28"/>
      <c r="I11" s="28"/>
      <c r="J11" s="96"/>
      <c r="K11" s="4" t="s">
        <v>668</v>
      </c>
      <c r="L11" s="4" t="s">
        <v>669</v>
      </c>
      <c r="M11" s="4" t="s">
        <v>670</v>
      </c>
    </row>
    <row r="12">
      <c r="A12" s="3"/>
      <c r="B12" s="3" t="s">
        <v>671</v>
      </c>
      <c r="C12" s="10">
        <v>46212</v>
      </c>
      <c r="D12" s="10">
        <v>46300</v>
      </c>
      <c r="E12" s="28"/>
      <c r="F12" s="28"/>
      <c r="G12" s="28"/>
      <c r="H12" s="28"/>
      <c r="I12" s="28"/>
      <c r="J12" s="96"/>
      <c r="K12" s="4" t="s">
        <v>672</v>
      </c>
      <c r="L12" s="4" t="s">
        <v>673</v>
      </c>
      <c r="M12" s="4" t="s">
        <v>674</v>
      </c>
    </row>
    <row r="13">
      <c r="A13" s="3"/>
      <c r="B13" s="3" t="s">
        <v>675</v>
      </c>
      <c r="C13" s="10">
        <v>46128</v>
      </c>
      <c r="D13" s="10">
        <v>46300</v>
      </c>
      <c r="E13" s="28"/>
      <c r="F13" s="28"/>
      <c r="G13" s="28"/>
      <c r="H13" s="28"/>
      <c r="I13" s="28"/>
      <c r="J13" s="96"/>
      <c r="K13" s="4" t="s">
        <v>676</v>
      </c>
      <c r="L13" s="4" t="s">
        <v>677</v>
      </c>
      <c r="M13" s="4" t="s">
        <v>678</v>
      </c>
    </row>
    <row r="14">
      <c r="A14" s="3"/>
      <c r="B14" s="3" t="s">
        <v>679</v>
      </c>
      <c r="C14" s="10">
        <v>46056</v>
      </c>
      <c r="D14" s="10">
        <v>46300</v>
      </c>
      <c r="E14" s="28"/>
      <c r="F14" s="28"/>
      <c r="G14" s="28"/>
      <c r="H14" s="28"/>
      <c r="I14" s="28"/>
      <c r="J14" s="96"/>
      <c r="K14" s="4" t="s">
        <v>680</v>
      </c>
      <c r="L14" s="4" t="s">
        <v>681</v>
      </c>
      <c r="M14" s="4" t="s">
        <v>682</v>
      </c>
    </row>
    <row r="15">
      <c r="A15" s="3"/>
      <c r="B15" s="3" t="s">
        <v>683</v>
      </c>
      <c r="C15" s="10">
        <v>45939</v>
      </c>
      <c r="D15" s="10">
        <v>46300</v>
      </c>
      <c r="E15" s="28"/>
      <c r="F15" s="28"/>
      <c r="G15" s="28"/>
      <c r="H15" s="28"/>
      <c r="I15" s="28"/>
      <c r="J15" s="96"/>
      <c r="K15" s="4" t="s">
        <v>684</v>
      </c>
      <c r="L15" s="4" t="s">
        <v>685</v>
      </c>
      <c r="M15" s="4" t="s">
        <v>686</v>
      </c>
    </row>
    <row r="16">
      <c r="A16" s="3"/>
      <c r="B16" s="3" t="s">
        <v>687</v>
      </c>
      <c r="C16" s="10">
        <v>45855</v>
      </c>
      <c r="D16" s="10">
        <v>46300</v>
      </c>
      <c r="E16" s="28"/>
      <c r="F16" s="28"/>
      <c r="G16" s="28"/>
      <c r="H16" s="28"/>
      <c r="I16" s="28"/>
      <c r="J16" s="96"/>
      <c r="K16" s="4" t="s">
        <v>688</v>
      </c>
      <c r="L16" s="4" t="s">
        <v>689</v>
      </c>
      <c r="M16" s="4" t="s">
        <v>690</v>
      </c>
    </row>
    <row r="17">
      <c r="A17" s="3"/>
      <c r="B17" s="3" t="s">
        <v>691</v>
      </c>
      <c r="C17" s="10">
        <v>45771</v>
      </c>
      <c r="D17" s="10">
        <v>46300</v>
      </c>
      <c r="E17" s="28"/>
      <c r="F17" s="28"/>
      <c r="G17" s="28"/>
      <c r="H17" s="28"/>
      <c r="I17" s="28"/>
      <c r="J17" s="96"/>
      <c r="K17" s="4" t="s">
        <v>692</v>
      </c>
      <c r="L17" s="4" t="s">
        <v>693</v>
      </c>
      <c r="M17" s="4" t="s">
        <v>694</v>
      </c>
    </row>
    <row r="18">
      <c r="A18" s="3"/>
      <c r="B18" s="3" t="s">
        <v>695</v>
      </c>
      <c r="C18" s="10">
        <v>46211</v>
      </c>
      <c r="D18" s="10">
        <v>46300</v>
      </c>
      <c r="E18" s="28"/>
      <c r="F18" s="28"/>
      <c r="G18" s="28"/>
      <c r="H18" s="28"/>
      <c r="I18" s="28"/>
      <c r="J18" s="96"/>
      <c r="K18" s="4" t="s">
        <v>696</v>
      </c>
      <c r="L18" s="4" t="s">
        <v>697</v>
      </c>
      <c r="M18" s="4" t="s">
        <v>698</v>
      </c>
    </row>
    <row r="19">
      <c r="A19" s="3"/>
      <c r="B19" s="3" t="s">
        <v>699</v>
      </c>
      <c r="C19" s="10">
        <v>46127</v>
      </c>
      <c r="D19" s="10">
        <v>46300</v>
      </c>
      <c r="E19" s="28"/>
      <c r="F19" s="28"/>
      <c r="G19" s="28"/>
      <c r="H19" s="28"/>
      <c r="I19" s="28"/>
      <c r="J19" s="96"/>
      <c r="K19" s="4" t="s">
        <v>700</v>
      </c>
      <c r="L19" s="4" t="s">
        <v>701</v>
      </c>
      <c r="M19" s="4" t="s">
        <v>702</v>
      </c>
    </row>
    <row r="20">
      <c r="A20" s="3"/>
      <c r="B20" s="3" t="s">
        <v>703</v>
      </c>
      <c r="C20" s="10">
        <v>45938</v>
      </c>
      <c r="D20" s="10">
        <v>46300</v>
      </c>
      <c r="E20" s="28"/>
      <c r="F20" s="28"/>
      <c r="G20" s="28"/>
      <c r="H20" s="28"/>
      <c r="I20" s="28"/>
      <c r="J20" s="96"/>
      <c r="K20" s="4" t="s">
        <v>704</v>
      </c>
      <c r="L20" s="4" t="s">
        <v>705</v>
      </c>
      <c r="M20" s="4" t="s">
        <v>706</v>
      </c>
    </row>
    <row r="21">
      <c r="A21" s="3"/>
      <c r="B21" s="3" t="s">
        <v>707</v>
      </c>
      <c r="C21" s="10">
        <v>46056</v>
      </c>
      <c r="D21" s="10">
        <v>46300</v>
      </c>
      <c r="E21" s="28"/>
      <c r="F21" s="28"/>
      <c r="G21" s="28"/>
      <c r="H21" s="28"/>
      <c r="I21" s="28"/>
      <c r="J21" s="96"/>
      <c r="K21" s="4" t="s">
        <v>708</v>
      </c>
      <c r="L21" s="4" t="s">
        <v>709</v>
      </c>
      <c r="M21" s="4" t="s">
        <v>710</v>
      </c>
    </row>
    <row r="22">
      <c r="A22" s="3"/>
      <c r="B22" s="3" t="s">
        <v>711</v>
      </c>
      <c r="C22" s="10">
        <v>46212</v>
      </c>
      <c r="D22" s="10">
        <v>46300</v>
      </c>
      <c r="E22" s="28"/>
      <c r="F22" s="28"/>
      <c r="G22" s="28"/>
      <c r="H22" s="28"/>
      <c r="I22" s="28"/>
      <c r="J22" s="96"/>
      <c r="K22" s="4" t="s">
        <v>712</v>
      </c>
      <c r="L22" s="4" t="s">
        <v>713</v>
      </c>
      <c r="M22" s="4" t="s">
        <v>714</v>
      </c>
    </row>
    <row r="23">
      <c r="A23" s="3"/>
      <c r="B23" s="3" t="s">
        <v>715</v>
      </c>
      <c r="C23" s="10">
        <v>46212</v>
      </c>
      <c r="D23" s="10">
        <v>46300</v>
      </c>
      <c r="E23" s="28"/>
      <c r="F23" s="28"/>
      <c r="G23" s="28"/>
      <c r="H23" s="28"/>
      <c r="I23" s="28"/>
      <c r="J23" s="96"/>
      <c r="K23" s="4" t="s">
        <v>716</v>
      </c>
      <c r="L23" s="4" t="s">
        <v>717</v>
      </c>
      <c r="M23" s="4" t="s">
        <v>718</v>
      </c>
    </row>
    <row r="24">
      <c r="A24" s="3"/>
      <c r="B24" s="3" t="s">
        <v>719</v>
      </c>
      <c r="C24" s="10">
        <v>46259</v>
      </c>
      <c r="D24" s="10">
        <v>46300</v>
      </c>
      <c r="E24" s="28"/>
      <c r="F24" s="28"/>
      <c r="G24" s="28"/>
      <c r="H24" s="28"/>
      <c r="I24" s="28"/>
      <c r="J24" s="96"/>
      <c r="K24" s="4" t="s">
        <v>720</v>
      </c>
      <c r="L24" s="4" t="s">
        <v>721</v>
      </c>
      <c r="M24" s="4" t="s">
        <v>722</v>
      </c>
    </row>
    <row r="25">
      <c r="A25" s="3"/>
      <c r="B25" s="3" t="s">
        <v>723</v>
      </c>
      <c r="C25" s="10">
        <v>46204</v>
      </c>
      <c r="D25" s="10">
        <v>46300</v>
      </c>
      <c r="E25" s="28"/>
      <c r="F25" s="28"/>
      <c r="G25" s="28"/>
      <c r="H25" s="28"/>
      <c r="I25" s="28"/>
      <c r="J25" s="96"/>
      <c r="K25" s="4" t="s">
        <v>724</v>
      </c>
      <c r="L25" s="4" t="s">
        <v>725</v>
      </c>
      <c r="M25" s="4" t="s">
        <v>726</v>
      </c>
    </row>
    <row r="26">
      <c r="A26" s="3"/>
      <c r="B26" s="3" t="s">
        <v>727</v>
      </c>
      <c r="C26" s="10">
        <v>46237</v>
      </c>
      <c r="D26" s="10">
        <v>46300</v>
      </c>
      <c r="E26" s="28"/>
      <c r="F26" s="28"/>
      <c r="G26" s="28"/>
      <c r="H26" s="28"/>
      <c r="I26" s="28"/>
      <c r="J26" s="96"/>
      <c r="K26" s="4" t="s">
        <v>728</v>
      </c>
      <c r="L26" s="4" t="s">
        <v>725</v>
      </c>
      <c r="M26" s="4" t="s">
        <v>729</v>
      </c>
    </row>
    <row r="27">
      <c r="A27" s="3"/>
      <c r="B27" s="3" t="s">
        <v>730</v>
      </c>
      <c r="C27" s="10">
        <v>46266</v>
      </c>
      <c r="D27" s="10">
        <v>46300</v>
      </c>
      <c r="E27" s="28"/>
      <c r="F27" s="28"/>
      <c r="G27" s="28"/>
      <c r="H27" s="28"/>
      <c r="I27" s="28"/>
      <c r="J27" s="96"/>
      <c r="K27" s="4" t="s">
        <v>731</v>
      </c>
      <c r="L27" s="4" t="s">
        <v>732</v>
      </c>
      <c r="M27" s="4" t="s">
        <v>733</v>
      </c>
    </row>
    <row r="28">
      <c r="A28" s="3"/>
      <c r="B28" s="3" t="s">
        <v>734</v>
      </c>
      <c r="C28" s="10">
        <v>46294</v>
      </c>
      <c r="D28" s="10">
        <v>46300</v>
      </c>
      <c r="E28" s="28"/>
      <c r="F28" s="28"/>
      <c r="G28" s="28"/>
      <c r="H28" s="28"/>
      <c r="I28" s="28"/>
      <c r="J28" s="96"/>
      <c r="K28" s="4" t="s">
        <v>735</v>
      </c>
      <c r="L28" s="4" t="s">
        <v>736</v>
      </c>
      <c r="M28" s="4" t="s">
        <v>737</v>
      </c>
    </row>
    <row r="29">
      <c r="A29" s="3"/>
      <c r="B29" s="3" t="s">
        <v>738</v>
      </c>
      <c r="C29" s="10">
        <v>46293</v>
      </c>
      <c r="D29" s="10">
        <v>46300</v>
      </c>
      <c r="E29" s="28"/>
      <c r="F29" s="28"/>
      <c r="G29" s="28"/>
      <c r="H29" s="28"/>
      <c r="I29" s="28"/>
      <c r="J29" s="96"/>
      <c r="K29" s="4" t="s">
        <v>739</v>
      </c>
      <c r="L29" s="4" t="s">
        <v>740</v>
      </c>
      <c r="M29" s="4" t="s">
        <v>741</v>
      </c>
    </row>
    <row r="30">
      <c r="A30" s="3"/>
      <c r="B30" s="3" t="s">
        <v>742</v>
      </c>
      <c r="C30" s="10">
        <v>46297</v>
      </c>
      <c r="D30" s="10">
        <v>46300</v>
      </c>
      <c r="E30" s="28"/>
      <c r="F30" s="28"/>
      <c r="G30" s="28"/>
      <c r="H30" s="28"/>
      <c r="I30" s="28"/>
      <c r="J30" s="96"/>
      <c r="K30" s="4" t="s">
        <v>743</v>
      </c>
      <c r="L30" s="4" t="s">
        <v>744</v>
      </c>
      <c r="M30" s="4" t="s">
        <v>745</v>
      </c>
    </row>
    <row r="31">
      <c r="A31" s="3"/>
      <c r="B31" s="3" t="s">
        <v>746</v>
      </c>
      <c r="C31" s="10">
        <v>46295</v>
      </c>
      <c r="D31" s="10">
        <v>46300</v>
      </c>
      <c r="E31" s="28"/>
      <c r="F31" s="28"/>
      <c r="G31" s="28"/>
      <c r="H31" s="28"/>
      <c r="I31" s="28"/>
      <c r="J31" s="96"/>
      <c r="K31" s="4" t="s">
        <v>747</v>
      </c>
      <c r="L31" s="4" t="s">
        <v>748</v>
      </c>
      <c r="M31" s="4" t="s">
        <v>749</v>
      </c>
    </row>
    <row r="32">
      <c r="A32" s="3"/>
      <c r="B32" s="3" t="s">
        <v>750</v>
      </c>
      <c r="C32" s="10">
        <v>46295</v>
      </c>
      <c r="D32" s="10">
        <v>46300</v>
      </c>
      <c r="E32" s="28"/>
      <c r="F32" s="28"/>
      <c r="G32" s="28"/>
      <c r="H32" s="28"/>
      <c r="I32" s="28"/>
      <c r="J32" s="96"/>
      <c r="K32" s="4" t="s">
        <v>751</v>
      </c>
      <c r="L32" s="4" t="s">
        <v>752</v>
      </c>
      <c r="M32" s="4" t="s">
        <v>753</v>
      </c>
    </row>
    <row r="33">
      <c r="A33" s="3"/>
      <c r="B33" s="3" t="s">
        <v>754</v>
      </c>
      <c r="C33" s="10">
        <v>46297</v>
      </c>
      <c r="D33" s="10">
        <v>46300</v>
      </c>
      <c r="E33" s="28"/>
      <c r="F33" s="28"/>
      <c r="G33" s="28"/>
      <c r="H33" s="28"/>
      <c r="I33" s="28"/>
      <c r="J33" s="96"/>
      <c r="K33" s="4" t="s">
        <v>755</v>
      </c>
      <c r="L33" s="4" t="s">
        <v>756</v>
      </c>
      <c r="M33" s="4" t="s">
        <v>757</v>
      </c>
    </row>
    <row r="34">
      <c r="A34" s="3"/>
      <c r="B34" s="3" t="s">
        <v>758</v>
      </c>
      <c r="C34" s="10">
        <v>46288</v>
      </c>
      <c r="D34" s="10">
        <v>46300</v>
      </c>
      <c r="E34" s="28"/>
      <c r="F34" s="28"/>
      <c r="G34" s="28"/>
      <c r="H34" s="28"/>
      <c r="I34" s="28"/>
      <c r="J34" s="96"/>
      <c r="K34" s="4" t="s">
        <v>759</v>
      </c>
      <c r="L34" s="4" t="s">
        <v>760</v>
      </c>
      <c r="M34" s="4" t="s">
        <v>761</v>
      </c>
    </row>
    <row r="35">
      <c r="A35" s="3"/>
      <c r="B35" s="3" t="s">
        <v>762</v>
      </c>
      <c r="C35" s="10">
        <v>46295</v>
      </c>
      <c r="D35" s="10">
        <v>46300</v>
      </c>
      <c r="E35" s="28"/>
      <c r="F35" s="28"/>
      <c r="G35" s="28"/>
      <c r="H35" s="28"/>
      <c r="I35" s="28"/>
      <c r="J35" s="96"/>
      <c r="K35" s="4" t="s">
        <v>763</v>
      </c>
      <c r="L35" s="4" t="s">
        <v>764</v>
      </c>
      <c r="M35" s="4" t="s">
        <v>765</v>
      </c>
    </row>
    <row r="36">
      <c r="A36" s="3"/>
      <c r="B36" s="3" t="s">
        <v>766</v>
      </c>
      <c r="C36" s="10">
        <v>45898</v>
      </c>
      <c r="D36" s="10">
        <v>46300</v>
      </c>
      <c r="E36" s="28"/>
      <c r="F36" s="28"/>
      <c r="G36" s="28"/>
      <c r="H36" s="28"/>
      <c r="I36" s="28"/>
      <c r="J36" s="96"/>
      <c r="K36" s="4" t="s">
        <v>767</v>
      </c>
      <c r="L36" s="4" t="s">
        <v>768</v>
      </c>
      <c r="M36" s="4" t="s">
        <v>769</v>
      </c>
    </row>
    <row r="37">
      <c r="A37" s="3"/>
      <c r="B37" s="3" t="s">
        <v>770</v>
      </c>
      <c r="C37" s="10">
        <v>45995</v>
      </c>
      <c r="D37" s="10">
        <v>46300</v>
      </c>
      <c r="E37" s="28"/>
      <c r="F37" s="28"/>
      <c r="G37" s="28"/>
      <c r="H37" s="28"/>
      <c r="I37" s="28"/>
      <c r="J37" s="96"/>
      <c r="K37" s="4" t="s">
        <v>771</v>
      </c>
      <c r="L37" s="4" t="s">
        <v>772</v>
      </c>
      <c r="M37" s="4" t="s">
        <v>773</v>
      </c>
    </row>
    <row r="38">
      <c r="A38" s="3"/>
      <c r="B38" s="3" t="s">
        <v>774</v>
      </c>
      <c r="C38" s="10">
        <v>46296</v>
      </c>
      <c r="D38" s="10">
        <v>46300</v>
      </c>
      <c r="E38" s="28"/>
      <c r="F38" s="28"/>
      <c r="G38" s="28"/>
      <c r="H38" s="28"/>
      <c r="I38" s="28"/>
      <c r="J38" s="96"/>
      <c r="K38" s="4" t="s">
        <v>775</v>
      </c>
      <c r="L38" s="4" t="s">
        <v>776</v>
      </c>
      <c r="M38" s="4" t="s">
        <v>777</v>
      </c>
    </row>
    <row r="39">
      <c r="A39" s="3"/>
      <c r="B39" s="3"/>
      <c r="C39" s="53"/>
      <c r="D39" s="53"/>
      <c r="E39" s="1"/>
      <c r="F39" s="1"/>
      <c r="G39" s="1"/>
      <c r="H39" s="1"/>
      <c r="I39" s="1"/>
      <c r="J39" s="106"/>
      <c r="K39" s="4"/>
      <c r="L39" s="4"/>
      <c r="M39" s="4"/>
    </row>
    <row r="40">
      <c r="A40" s="3"/>
      <c r="B40" s="3" t="s">
        <v>778</v>
      </c>
      <c r="C40" s="53"/>
      <c r="D40" s="53"/>
      <c r="E40" s="28"/>
      <c r="F40" s="28"/>
      <c r="G40" s="28"/>
      <c r="H40" s="28"/>
      <c r="I40" s="28"/>
      <c r="J40" s="96"/>
      <c r="K40" s="4" t="s">
        <v>779</v>
      </c>
      <c r="L40" s="4"/>
      <c r="M40" s="4"/>
    </row>
    <row r="41">
      <c r="A41" s="3"/>
      <c r="B41" s="3" t="s">
        <v>780</v>
      </c>
      <c r="C41" s="53"/>
      <c r="D41" s="53"/>
      <c r="E41" s="28"/>
      <c r="F41" s="28"/>
      <c r="G41" s="28"/>
      <c r="H41" s="28"/>
      <c r="I41" s="28"/>
      <c r="J41" s="96"/>
      <c r="K41" s="4" t="s">
        <v>781</v>
      </c>
      <c r="L41" s="4"/>
      <c r="M41" s="4"/>
    </row>
    <row r="42">
      <c r="A42" s="3"/>
      <c r="B42" s="3" t="s">
        <v>782</v>
      </c>
      <c r="C42" s="53"/>
      <c r="D42" s="53"/>
      <c r="E42" s="28"/>
      <c r="F42" s="28"/>
      <c r="G42" s="28"/>
      <c r="H42" s="28"/>
      <c r="I42" s="28"/>
      <c r="J42" s="96"/>
      <c r="K42" s="4" t="s">
        <v>783</v>
      </c>
      <c r="L42" s="4"/>
      <c r="M42" s="4"/>
    </row>
    <row r="43">
      <c r="A43" s="3"/>
      <c r="B43" s="3" t="s">
        <v>784</v>
      </c>
      <c r="C43" s="53"/>
      <c r="D43" s="53"/>
      <c r="E43" s="28"/>
      <c r="F43" s="28"/>
      <c r="G43" s="28"/>
      <c r="H43" s="28"/>
      <c r="I43" s="28"/>
      <c r="J43" s="96"/>
      <c r="K43" s="4" t="s">
        <v>785</v>
      </c>
      <c r="L43" s="4"/>
      <c r="M43" s="4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dimension ref="A1:M13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10" width="12" customWidth="1"/>
    <col min="11" max="11" width="60" customWidth="1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3"/>
      <c r="B2" s="38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3"/>
      <c r="B3" s="15" t="s">
        <v>786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3"/>
      <c r="B4" s="12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3"/>
      <c r="B5" s="30" t="s">
        <v>3</v>
      </c>
      <c r="C5" s="14" t="s">
        <v>4</v>
      </c>
      <c r="D5" s="14" t="s">
        <v>5</v>
      </c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48" t="s">
        <v>11</v>
      </c>
      <c r="K5" s="30" t="s">
        <v>12</v>
      </c>
      <c r="L5" s="3"/>
      <c r="M5" s="3"/>
    </row>
    <row r="6">
      <c r="A6" s="3"/>
      <c r="B6" s="26" t="s">
        <v>13</v>
      </c>
      <c r="C6" s="18">
        <v>45738</v>
      </c>
      <c r="D6" s="18">
        <v>45822</v>
      </c>
      <c r="E6" s="18">
        <v>45906</v>
      </c>
      <c r="F6" s="18">
        <v>46018</v>
      </c>
      <c r="G6" s="18">
        <v>46018</v>
      </c>
      <c r="H6" s="18">
        <v>46102</v>
      </c>
      <c r="I6" s="18">
        <v>46186</v>
      </c>
      <c r="J6" s="50">
        <v>46270</v>
      </c>
      <c r="K6" s="26"/>
      <c r="L6" s="3"/>
      <c r="M6" s="3"/>
    </row>
    <row r="7">
      <c r="A7" s="3"/>
      <c r="B7" s="34" t="s">
        <v>14</v>
      </c>
      <c r="C7" s="23">
        <v>84</v>
      </c>
      <c r="D7" s="23">
        <v>84</v>
      </c>
      <c r="E7" s="23">
        <v>84</v>
      </c>
      <c r="F7" s="23">
        <v>112</v>
      </c>
      <c r="G7" s="23">
        <v>364</v>
      </c>
      <c r="H7" s="23">
        <v>84</v>
      </c>
      <c r="I7" s="23">
        <v>84</v>
      </c>
      <c r="J7" s="11">
        <v>84</v>
      </c>
      <c r="K7" s="34"/>
      <c r="L7" s="3"/>
      <c r="M7" s="3"/>
    </row>
    <row r="8">
      <c r="A8" s="3"/>
      <c r="B8" s="3"/>
      <c r="C8" s="3"/>
      <c r="D8" s="3"/>
      <c r="E8" s="3"/>
      <c r="F8" s="3"/>
      <c r="G8" s="3"/>
      <c r="H8" s="3"/>
      <c r="I8" s="3"/>
      <c r="J8" s="37"/>
      <c r="K8" s="3"/>
      <c r="L8" s="3"/>
      <c r="M8" s="3"/>
    </row>
    <row r="9">
      <c r="A9" s="3"/>
      <c r="B9" s="15" t="s">
        <v>787</v>
      </c>
      <c r="C9" s="5"/>
      <c r="D9" s="5"/>
      <c r="E9" s="5"/>
      <c r="F9" s="5"/>
      <c r="G9" s="5"/>
      <c r="H9" s="5"/>
      <c r="I9" s="5"/>
      <c r="J9" s="22"/>
      <c r="K9" s="4"/>
      <c r="L9" s="3"/>
      <c r="M9" s="3"/>
    </row>
    <row r="10">
      <c r="A10" s="3"/>
      <c r="B10" s="3" t="s">
        <v>788</v>
      </c>
      <c r="C10" s="39"/>
      <c r="D10" s="39"/>
      <c r="E10" s="39"/>
      <c r="F10" s="39"/>
      <c r="G10" s="39"/>
      <c r="H10" s="39"/>
      <c r="I10" s="39"/>
      <c r="J10" s="42" t="s">
        <v>789</v>
      </c>
      <c r="K10" s="4"/>
      <c r="L10" s="3"/>
      <c r="M10" s="3"/>
    </row>
    <row r="11">
      <c r="A11" s="3"/>
      <c r="B11" s="3" t="s">
        <v>790</v>
      </c>
      <c r="C11" s="39"/>
      <c r="D11" s="39"/>
      <c r="E11" s="39"/>
      <c r="F11" s="39"/>
      <c r="G11" s="39"/>
      <c r="H11" s="39"/>
      <c r="I11" s="39"/>
      <c r="J11" s="42" t="s">
        <v>791</v>
      </c>
      <c r="K11" s="4" t="s">
        <v>792</v>
      </c>
      <c r="L11" s="3"/>
      <c r="M11" s="3"/>
    </row>
    <row r="12">
      <c r="A12" s="3"/>
      <c r="B12" s="3" t="s">
        <v>793</v>
      </c>
      <c r="C12" s="39"/>
      <c r="D12" s="39"/>
      <c r="E12" s="39"/>
      <c r="F12" s="39"/>
      <c r="G12" s="39"/>
      <c r="H12" s="39"/>
      <c r="I12" s="39"/>
      <c r="J12" s="42" t="s">
        <v>19</v>
      </c>
      <c r="K12" s="4"/>
      <c r="L12" s="3"/>
      <c r="M12" s="3"/>
    </row>
    <row r="13">
      <c r="A13" s="3"/>
      <c r="B13" s="3" t="s">
        <v>794</v>
      </c>
      <c r="C13" s="39"/>
      <c r="D13" s="39"/>
      <c r="E13" s="39"/>
      <c r="F13" s="39"/>
      <c r="G13" s="39"/>
      <c r="H13" s="39"/>
      <c r="I13" s="39"/>
      <c r="J13" s="42" t="s">
        <v>795</v>
      </c>
      <c r="K13" s="4" t="s">
        <v>792</v>
      </c>
      <c r="L13" s="3"/>
      <c r="M13" s="3"/>
    </row>
    <row r="14">
      <c r="A14" s="3"/>
      <c r="B14" s="3" t="s">
        <v>796</v>
      </c>
      <c r="C14" s="39"/>
      <c r="D14" s="39"/>
      <c r="E14" s="39"/>
      <c r="F14" s="39"/>
      <c r="G14" s="39"/>
      <c r="H14" s="39"/>
      <c r="I14" s="39"/>
      <c r="J14" s="121">
        <v>46270</v>
      </c>
      <c r="K14" s="4" t="s">
        <v>792</v>
      </c>
      <c r="L14" s="3"/>
      <c r="M14" s="3"/>
    </row>
    <row r="15">
      <c r="A15" s="3"/>
      <c r="B15" s="3" t="s">
        <v>797</v>
      </c>
      <c r="C15" s="39"/>
      <c r="D15" s="39"/>
      <c r="E15" s="39"/>
      <c r="F15" s="39"/>
      <c r="G15" s="39"/>
      <c r="H15" s="39"/>
      <c r="I15" s="39"/>
      <c r="J15" s="121">
        <v>46299</v>
      </c>
      <c r="K15" s="4" t="s">
        <v>792</v>
      </c>
      <c r="L15" s="3"/>
      <c r="M15" s="3"/>
    </row>
    <row r="16">
      <c r="A16" s="3"/>
      <c r="B16" s="3" t="s">
        <v>798</v>
      </c>
      <c r="C16" s="27"/>
      <c r="D16" s="27"/>
      <c r="E16" s="27"/>
      <c r="F16" s="27"/>
      <c r="G16" s="27"/>
      <c r="H16" s="27"/>
      <c r="I16" s="27"/>
      <c r="J16" s="66">
        <v>17</v>
      </c>
      <c r="K16" s="4" t="s">
        <v>792</v>
      </c>
      <c r="L16" s="3"/>
      <c r="M16" s="3"/>
    </row>
    <row r="17">
      <c r="A17" s="3"/>
      <c r="B17" s="3" t="s">
        <v>799</v>
      </c>
      <c r="C17" s="95"/>
      <c r="D17" s="95"/>
      <c r="E17" s="95"/>
      <c r="F17" s="95"/>
      <c r="G17" s="95"/>
      <c r="H17" s="95"/>
      <c r="I17" s="95"/>
      <c r="J17" s="119">
        <v>2.3</v>
      </c>
      <c r="K17" s="4" t="s">
        <v>792</v>
      </c>
      <c r="L17" s="3"/>
      <c r="M17" s="3"/>
    </row>
    <row r="18" ht="81.75">
      <c r="A18" s="3"/>
      <c r="B18" s="128" t="s">
        <v>800</v>
      </c>
      <c r="C18" s="39"/>
      <c r="D18" s="39"/>
      <c r="E18" s="39"/>
      <c r="F18" s="39"/>
      <c r="G18" s="39"/>
      <c r="H18" s="39"/>
      <c r="I18" s="39"/>
      <c r="J18" s="122" t="s">
        <v>801</v>
      </c>
      <c r="K18" s="136"/>
      <c r="L18" s="3"/>
      <c r="M18" s="3"/>
    </row>
    <row r="19">
      <c r="A19" s="3"/>
      <c r="B19" s="3" t="s">
        <v>802</v>
      </c>
      <c r="C19" s="1"/>
      <c r="D19" s="1"/>
      <c r="E19" s="1"/>
      <c r="F19" s="1"/>
      <c r="G19" s="1"/>
      <c r="H19" s="1"/>
      <c r="I19" s="1"/>
      <c r="J19" s="51">
        <v>24970.63</v>
      </c>
      <c r="K19" s="4" t="s">
        <v>792</v>
      </c>
      <c r="L19" s="3"/>
      <c r="M19" s="3"/>
    </row>
    <row r="20">
      <c r="A20" s="3"/>
      <c r="B20" s="3" t="s">
        <v>803</v>
      </c>
      <c r="C20" s="39"/>
      <c r="D20" s="39"/>
      <c r="E20" s="39"/>
      <c r="F20" s="39"/>
      <c r="G20" s="39"/>
      <c r="H20" s="39"/>
      <c r="I20" s="39"/>
      <c r="J20" s="42" t="s">
        <v>25</v>
      </c>
      <c r="K20" s="4" t="s">
        <v>792</v>
      </c>
      <c r="L20" s="3"/>
      <c r="M20" s="3"/>
    </row>
    <row r="21" ht="70.5">
      <c r="A21" s="3"/>
      <c r="B21" s="128" t="s">
        <v>804</v>
      </c>
      <c r="C21" s="39"/>
      <c r="D21" s="39"/>
      <c r="E21" s="39"/>
      <c r="F21" s="39"/>
      <c r="G21" s="39"/>
      <c r="H21" s="39"/>
      <c r="I21" s="39"/>
      <c r="J21" s="122" t="s">
        <v>805</v>
      </c>
      <c r="K21" s="136"/>
      <c r="L21" s="3"/>
      <c r="M21" s="3"/>
    </row>
    <row r="22" ht="36.75">
      <c r="A22" s="3"/>
      <c r="B22" s="128" t="s">
        <v>806</v>
      </c>
      <c r="C22" s="39"/>
      <c r="D22" s="39"/>
      <c r="E22" s="39"/>
      <c r="F22" s="39"/>
      <c r="G22" s="39"/>
      <c r="H22" s="39"/>
      <c r="I22" s="39"/>
      <c r="J22" s="122" t="s">
        <v>807</v>
      </c>
      <c r="K22" s="136"/>
      <c r="L22" s="3"/>
      <c r="M22" s="3"/>
    </row>
    <row r="23" ht="59.25">
      <c r="A23" s="3"/>
      <c r="B23" s="128" t="s">
        <v>808</v>
      </c>
      <c r="C23" s="39"/>
      <c r="D23" s="39"/>
      <c r="E23" s="39"/>
      <c r="F23" s="39"/>
      <c r="G23" s="39"/>
      <c r="H23" s="39"/>
      <c r="I23" s="39"/>
      <c r="J23" s="122" t="s">
        <v>809</v>
      </c>
      <c r="K23" s="136"/>
      <c r="L23" s="3"/>
      <c r="M23" s="3"/>
    </row>
    <row r="24">
      <c r="A24" s="3"/>
      <c r="B24" s="3"/>
      <c r="C24" s="1"/>
      <c r="D24" s="1"/>
      <c r="E24" s="1"/>
      <c r="F24" s="1"/>
      <c r="G24" s="1"/>
      <c r="H24" s="1"/>
      <c r="I24" s="1"/>
      <c r="J24" s="16"/>
      <c r="K24" s="4"/>
      <c r="L24" s="3"/>
      <c r="M24" s="3"/>
    </row>
    <row r="25">
      <c r="A25" s="3"/>
      <c r="B25" s="15" t="s">
        <v>810</v>
      </c>
      <c r="C25" s="5"/>
      <c r="D25" s="5"/>
      <c r="E25" s="5"/>
      <c r="F25" s="5"/>
      <c r="G25" s="5"/>
      <c r="H25" s="5"/>
      <c r="I25" s="5"/>
      <c r="J25" s="22"/>
      <c r="K25" s="4"/>
      <c r="L25" s="3"/>
      <c r="M25" s="3"/>
    </row>
    <row r="26">
      <c r="A26" s="3"/>
      <c r="B26" s="3" t="s">
        <v>790</v>
      </c>
      <c r="C26" s="39"/>
      <c r="D26" s="39"/>
      <c r="E26" s="39"/>
      <c r="F26" s="39"/>
      <c r="G26" s="39"/>
      <c r="H26" s="39"/>
      <c r="I26" s="39"/>
      <c r="J26" s="42" t="s">
        <v>791</v>
      </c>
      <c r="K26" s="4" t="s">
        <v>792</v>
      </c>
      <c r="L26" s="3"/>
      <c r="M26" s="3"/>
    </row>
    <row r="27">
      <c r="A27" s="3"/>
      <c r="B27" s="3" t="s">
        <v>811</v>
      </c>
      <c r="C27" s="39"/>
      <c r="D27" s="39"/>
      <c r="E27" s="39"/>
      <c r="F27" s="39"/>
      <c r="G27" s="39"/>
      <c r="H27" s="39"/>
      <c r="I27" s="39"/>
      <c r="J27" s="42" t="s">
        <v>19</v>
      </c>
      <c r="K27" s="4"/>
      <c r="L27" s="3"/>
      <c r="M27" s="3"/>
    </row>
    <row r="28">
      <c r="A28" s="3"/>
      <c r="B28" s="3" t="s">
        <v>812</v>
      </c>
      <c r="C28" s="39"/>
      <c r="D28" s="39"/>
      <c r="E28" s="39"/>
      <c r="F28" s="39"/>
      <c r="G28" s="39"/>
      <c r="H28" s="39"/>
      <c r="I28" s="39"/>
      <c r="J28" s="42" t="s">
        <v>813</v>
      </c>
      <c r="K28" s="4" t="s">
        <v>792</v>
      </c>
      <c r="L28" s="3"/>
      <c r="M28" s="3"/>
    </row>
    <row r="29">
      <c r="A29" s="3"/>
      <c r="B29" s="3" t="s">
        <v>814</v>
      </c>
      <c r="C29" s="27"/>
      <c r="D29" s="27"/>
      <c r="E29" s="27"/>
      <c r="F29" s="27"/>
      <c r="G29" s="27"/>
      <c r="H29" s="27"/>
      <c r="I29" s="27"/>
      <c r="J29" s="66">
        <v>32854</v>
      </c>
      <c r="K29" s="4" t="s">
        <v>792</v>
      </c>
      <c r="L29" s="3"/>
      <c r="M29" s="3"/>
    </row>
    <row r="30">
      <c r="A30" s="3"/>
      <c r="B30" s="3" t="s">
        <v>815</v>
      </c>
      <c r="C30" s="39"/>
      <c r="D30" s="39"/>
      <c r="E30" s="39"/>
      <c r="F30" s="39"/>
      <c r="G30" s="39"/>
      <c r="H30" s="39"/>
      <c r="I30" s="39"/>
      <c r="J30" s="42" t="s">
        <v>816</v>
      </c>
      <c r="K30" s="4" t="s">
        <v>792</v>
      </c>
      <c r="L30" s="3"/>
      <c r="M30" s="3"/>
    </row>
    <row r="31">
      <c r="A31" s="3"/>
      <c r="B31" s="3" t="s">
        <v>817</v>
      </c>
      <c r="C31" s="39"/>
      <c r="D31" s="39"/>
      <c r="E31" s="39"/>
      <c r="F31" s="39"/>
      <c r="G31" s="39"/>
      <c r="H31" s="39"/>
      <c r="I31" s="39"/>
      <c r="J31" s="42"/>
      <c r="K31" s="4" t="s">
        <v>818</v>
      </c>
      <c r="L31" s="3"/>
      <c r="M31" s="3"/>
    </row>
    <row r="32">
      <c r="A32" s="3"/>
      <c r="B32" s="3" t="s">
        <v>819</v>
      </c>
      <c r="C32" s="39"/>
      <c r="D32" s="39"/>
      <c r="E32" s="39"/>
      <c r="F32" s="39"/>
      <c r="G32" s="39"/>
      <c r="H32" s="39"/>
      <c r="I32" s="39"/>
      <c r="J32" s="42" t="s">
        <v>820</v>
      </c>
      <c r="K32" s="4"/>
      <c r="L32" s="3"/>
      <c r="M32" s="3"/>
    </row>
    <row r="33">
      <c r="A33" s="3"/>
      <c r="B33" s="3" t="s">
        <v>821</v>
      </c>
      <c r="C33" s="39"/>
      <c r="D33" s="39"/>
      <c r="E33" s="39"/>
      <c r="F33" s="39"/>
      <c r="G33" s="39"/>
      <c r="H33" s="39"/>
      <c r="I33" s="39"/>
      <c r="J33" s="121">
        <v>46295</v>
      </c>
      <c r="K33" s="4" t="s">
        <v>792</v>
      </c>
      <c r="L33" s="3"/>
      <c r="M33" s="3"/>
    </row>
    <row r="34">
      <c r="A34" s="3"/>
      <c r="B34" s="3" t="s">
        <v>822</v>
      </c>
      <c r="C34" s="39"/>
      <c r="D34" s="39"/>
      <c r="E34" s="39"/>
      <c r="F34" s="39"/>
      <c r="G34" s="39"/>
      <c r="H34" s="39"/>
      <c r="I34" s="39"/>
      <c r="J34" s="121">
        <v>46309</v>
      </c>
      <c r="K34" s="4" t="s">
        <v>792</v>
      </c>
      <c r="L34" s="3"/>
      <c r="M34" s="3"/>
    </row>
    <row r="35">
      <c r="A35" s="3"/>
      <c r="B35" s="3" t="s">
        <v>823</v>
      </c>
      <c r="C35" s="39"/>
      <c r="D35" s="39"/>
      <c r="E35" s="39"/>
      <c r="F35" s="39"/>
      <c r="G35" s="39"/>
      <c r="H35" s="39"/>
      <c r="I35" s="39"/>
      <c r="J35" s="42" t="s">
        <v>824</v>
      </c>
      <c r="K35" s="4" t="s">
        <v>792</v>
      </c>
      <c r="L35" s="3"/>
      <c r="M35" s="3"/>
    </row>
    <row r="36">
      <c r="A36" s="3"/>
      <c r="B36" s="3" t="s">
        <v>825</v>
      </c>
      <c r="C36" s="27"/>
      <c r="D36" s="27"/>
      <c r="E36" s="27"/>
      <c r="F36" s="27"/>
      <c r="G36" s="27"/>
      <c r="H36" s="27"/>
      <c r="I36" s="27"/>
      <c r="J36" s="66">
        <v>24</v>
      </c>
      <c r="K36" s="4" t="s">
        <v>792</v>
      </c>
      <c r="L36" s="3"/>
      <c r="M36" s="3"/>
    </row>
    <row r="37">
      <c r="A37" s="3"/>
      <c r="B37" s="3" t="s">
        <v>826</v>
      </c>
      <c r="C37" s="95"/>
      <c r="D37" s="95"/>
      <c r="E37" s="95"/>
      <c r="F37" s="95"/>
      <c r="G37" s="95"/>
      <c r="H37" s="95"/>
      <c r="I37" s="95"/>
      <c r="J37" s="119">
        <v>2.3</v>
      </c>
      <c r="K37" s="4" t="s">
        <v>792</v>
      </c>
      <c r="L37" s="3"/>
      <c r="M37" s="3"/>
    </row>
    <row r="38">
      <c r="A38" s="3"/>
      <c r="B38" s="3" t="s">
        <v>827</v>
      </c>
      <c r="C38" s="95"/>
      <c r="D38" s="95"/>
      <c r="E38" s="95"/>
      <c r="F38" s="95"/>
      <c r="G38" s="95"/>
      <c r="H38" s="95"/>
      <c r="I38" s="95"/>
      <c r="J38" s="119">
        <v>2.3</v>
      </c>
      <c r="K38" s="4" t="s">
        <v>792</v>
      </c>
      <c r="L38" s="3"/>
      <c r="M38" s="3"/>
    </row>
    <row r="39">
      <c r="A39" s="3"/>
      <c r="B39" s="3" t="s">
        <v>828</v>
      </c>
      <c r="C39" s="95"/>
      <c r="D39" s="95"/>
      <c r="E39" s="95"/>
      <c r="F39" s="95"/>
      <c r="G39" s="95"/>
      <c r="H39" s="95"/>
      <c r="I39" s="95"/>
      <c r="J39" s="119">
        <v>2.33</v>
      </c>
      <c r="K39" s="4" t="s">
        <v>792</v>
      </c>
      <c r="L39" s="3"/>
      <c r="M39" s="3"/>
    </row>
    <row r="40">
      <c r="A40" s="3"/>
      <c r="B40" s="3" t="s">
        <v>829</v>
      </c>
      <c r="C40" s="95"/>
      <c r="D40" s="95"/>
      <c r="E40" s="95"/>
      <c r="F40" s="95"/>
      <c r="G40" s="95"/>
      <c r="H40" s="95"/>
      <c r="I40" s="95"/>
      <c r="J40" s="119">
        <v>2.26</v>
      </c>
      <c r="K40" s="4" t="s">
        <v>792</v>
      </c>
      <c r="L40" s="3"/>
      <c r="M40" s="3"/>
    </row>
    <row r="41">
      <c r="A41" s="3"/>
      <c r="B41" s="3" t="s">
        <v>830</v>
      </c>
      <c r="C41" s="95"/>
      <c r="D41" s="95"/>
      <c r="E41" s="95"/>
      <c r="F41" s="95"/>
      <c r="G41" s="95"/>
      <c r="H41" s="95"/>
      <c r="I41" s="95"/>
      <c r="J41" s="119">
        <v>0.02</v>
      </c>
      <c r="K41" s="4" t="s">
        <v>792</v>
      </c>
      <c r="L41" s="3"/>
      <c r="M41" s="3"/>
    </row>
    <row r="42">
      <c r="A42" s="3"/>
      <c r="B42" s="3" t="s">
        <v>831</v>
      </c>
      <c r="C42" s="27"/>
      <c r="D42" s="27"/>
      <c r="E42" s="27"/>
      <c r="F42" s="27"/>
      <c r="G42" s="27"/>
      <c r="H42" s="27"/>
      <c r="I42" s="27"/>
      <c r="J42" s="66">
        <v>17</v>
      </c>
      <c r="K42" s="4" t="s">
        <v>792</v>
      </c>
      <c r="L42" s="3"/>
      <c r="M42" s="3"/>
    </row>
    <row r="43">
      <c r="A43" s="3"/>
      <c r="B43" s="3" t="s">
        <v>832</v>
      </c>
      <c r="C43" s="39"/>
      <c r="D43" s="39"/>
      <c r="E43" s="39"/>
      <c r="F43" s="39"/>
      <c r="G43" s="39"/>
      <c r="H43" s="39"/>
      <c r="I43" s="39"/>
      <c r="J43" s="42"/>
      <c r="K43" s="4" t="s">
        <v>818</v>
      </c>
      <c r="L43" s="3"/>
      <c r="M43" s="3"/>
    </row>
    <row r="44">
      <c r="A44" s="3"/>
      <c r="B44" s="3" t="s">
        <v>833</v>
      </c>
      <c r="C44" s="39"/>
      <c r="D44" s="39"/>
      <c r="E44" s="39"/>
      <c r="F44" s="39"/>
      <c r="G44" s="39"/>
      <c r="H44" s="39"/>
      <c r="I44" s="39"/>
      <c r="J44" s="42"/>
      <c r="K44" s="4" t="s">
        <v>818</v>
      </c>
      <c r="L44" s="3"/>
      <c r="M44" s="3"/>
    </row>
    <row r="45">
      <c r="A45" s="3"/>
      <c r="B45" s="3" t="s">
        <v>834</v>
      </c>
      <c r="C45" s="39"/>
      <c r="D45" s="39"/>
      <c r="E45" s="39"/>
      <c r="F45" s="39"/>
      <c r="G45" s="39"/>
      <c r="H45" s="39"/>
      <c r="I45" s="39"/>
      <c r="J45" s="42"/>
      <c r="K45" s="4" t="s">
        <v>818</v>
      </c>
      <c r="L45" s="3"/>
      <c r="M45" s="3"/>
    </row>
    <row r="46">
      <c r="A46" s="3"/>
      <c r="B46" s="3" t="s">
        <v>835</v>
      </c>
      <c r="C46" s="95"/>
      <c r="D46" s="95"/>
      <c r="E46" s="95"/>
      <c r="F46" s="95"/>
      <c r="G46" s="95"/>
      <c r="H46" s="95"/>
      <c r="I46" s="95"/>
      <c r="J46" s="119">
        <v>2.28</v>
      </c>
      <c r="K46" s="4" t="s">
        <v>792</v>
      </c>
      <c r="L46" s="3"/>
      <c r="M46" s="3"/>
    </row>
    <row r="47">
      <c r="A47" s="3"/>
      <c r="B47" s="3" t="s">
        <v>836</v>
      </c>
      <c r="C47" s="95"/>
      <c r="D47" s="95"/>
      <c r="E47" s="95"/>
      <c r="F47" s="95"/>
      <c r="G47" s="95"/>
      <c r="H47" s="95"/>
      <c r="I47" s="95"/>
      <c r="J47" s="119">
        <v>2.29</v>
      </c>
      <c r="K47" s="4" t="s">
        <v>792</v>
      </c>
      <c r="L47" s="3"/>
      <c r="M47" s="3"/>
    </row>
    <row r="48">
      <c r="A48" s="3"/>
      <c r="B48" s="3" t="s">
        <v>837</v>
      </c>
      <c r="C48" s="95"/>
      <c r="D48" s="95"/>
      <c r="E48" s="95"/>
      <c r="F48" s="95"/>
      <c r="G48" s="95"/>
      <c r="H48" s="95"/>
      <c r="I48" s="95"/>
      <c r="J48" s="119">
        <v>2.31</v>
      </c>
      <c r="K48" s="4" t="s">
        <v>792</v>
      </c>
      <c r="L48" s="3"/>
      <c r="M48" s="3"/>
    </row>
    <row r="49">
      <c r="A49" s="3"/>
      <c r="B49" s="3" t="s">
        <v>838</v>
      </c>
      <c r="C49" s="95"/>
      <c r="D49" s="95"/>
      <c r="E49" s="95"/>
      <c r="F49" s="95"/>
      <c r="G49" s="95"/>
      <c r="H49" s="95"/>
      <c r="I49" s="95"/>
      <c r="J49" s="119">
        <v>2.22</v>
      </c>
      <c r="K49" s="4" t="s">
        <v>792</v>
      </c>
      <c r="L49" s="3"/>
      <c r="M49" s="3"/>
    </row>
    <row r="50">
      <c r="A50" s="3"/>
      <c r="B50" s="3" t="s">
        <v>839</v>
      </c>
      <c r="C50" s="95"/>
      <c r="D50" s="95"/>
      <c r="E50" s="95"/>
      <c r="F50" s="95"/>
      <c r="G50" s="95"/>
      <c r="H50" s="95"/>
      <c r="I50" s="95"/>
      <c r="J50" s="119">
        <v>0.03</v>
      </c>
      <c r="K50" s="4" t="s">
        <v>792</v>
      </c>
      <c r="L50" s="3"/>
      <c r="M50" s="3"/>
    </row>
    <row r="51">
      <c r="A51" s="3"/>
      <c r="B51" s="3" t="s">
        <v>840</v>
      </c>
      <c r="C51" s="27"/>
      <c r="D51" s="27"/>
      <c r="E51" s="27"/>
      <c r="F51" s="27"/>
      <c r="G51" s="27"/>
      <c r="H51" s="27"/>
      <c r="I51" s="27"/>
      <c r="J51" s="66">
        <v>5</v>
      </c>
      <c r="K51" s="4" t="s">
        <v>792</v>
      </c>
      <c r="L51" s="3"/>
      <c r="M51" s="3"/>
    </row>
    <row r="52">
      <c r="A52" s="3"/>
      <c r="B52" s="3" t="s">
        <v>841</v>
      </c>
      <c r="C52" s="39"/>
      <c r="D52" s="39"/>
      <c r="E52" s="39"/>
      <c r="F52" s="39"/>
      <c r="G52" s="39"/>
      <c r="H52" s="39"/>
      <c r="I52" s="39"/>
      <c r="J52" s="42"/>
      <c r="K52" s="4" t="s">
        <v>818</v>
      </c>
      <c r="L52" s="3"/>
      <c r="M52" s="3"/>
    </row>
    <row r="53">
      <c r="A53" s="3"/>
      <c r="B53" s="3" t="s">
        <v>842</v>
      </c>
      <c r="C53" s="55"/>
      <c r="D53" s="55"/>
      <c r="E53" s="55"/>
      <c r="F53" s="55"/>
      <c r="G53" s="55"/>
      <c r="H53" s="55"/>
      <c r="I53" s="55"/>
      <c r="J53" s="81">
        <v>24970.63</v>
      </c>
      <c r="K53" s="4" t="s">
        <v>792</v>
      </c>
      <c r="L53" s="3"/>
      <c r="M53" s="3"/>
    </row>
    <row r="54">
      <c r="A54" s="3"/>
      <c r="B54" s="3" t="s">
        <v>843</v>
      </c>
      <c r="C54" s="55"/>
      <c r="D54" s="55"/>
      <c r="E54" s="55"/>
      <c r="F54" s="55"/>
      <c r="G54" s="55"/>
      <c r="H54" s="55"/>
      <c r="I54" s="55"/>
      <c r="J54" s="81">
        <v>24978</v>
      </c>
      <c r="K54" s="4" t="s">
        <v>792</v>
      </c>
      <c r="L54" s="3"/>
      <c r="M54" s="3"/>
    </row>
    <row r="55">
      <c r="A55" s="3"/>
      <c r="B55" s="3" t="s">
        <v>844</v>
      </c>
      <c r="C55" s="55"/>
      <c r="D55" s="55"/>
      <c r="E55" s="55"/>
      <c r="F55" s="55"/>
      <c r="G55" s="55"/>
      <c r="H55" s="55"/>
      <c r="I55" s="55"/>
      <c r="J55" s="81">
        <v>25324.5</v>
      </c>
      <c r="K55" s="4" t="s">
        <v>792</v>
      </c>
      <c r="L55" s="3"/>
      <c r="M55" s="3"/>
    </row>
    <row r="56">
      <c r="A56" s="3"/>
      <c r="B56" s="3" t="s">
        <v>845</v>
      </c>
      <c r="C56" s="55"/>
      <c r="D56" s="55"/>
      <c r="E56" s="55"/>
      <c r="F56" s="55"/>
      <c r="G56" s="55"/>
      <c r="H56" s="55"/>
      <c r="I56" s="55"/>
      <c r="J56" s="81">
        <v>24653.21</v>
      </c>
      <c r="K56" s="4" t="s">
        <v>792</v>
      </c>
      <c r="L56" s="3"/>
      <c r="M56" s="3"/>
    </row>
    <row r="57">
      <c r="A57" s="3"/>
      <c r="B57" s="3" t="s">
        <v>846</v>
      </c>
      <c r="C57" s="55"/>
      <c r="D57" s="55"/>
      <c r="E57" s="55"/>
      <c r="F57" s="55"/>
      <c r="G57" s="55"/>
      <c r="H57" s="55"/>
      <c r="I57" s="55"/>
      <c r="J57" s="81">
        <v>181.72</v>
      </c>
      <c r="K57" s="4" t="s">
        <v>792</v>
      </c>
      <c r="L57" s="3"/>
      <c r="M57" s="3"/>
    </row>
    <row r="58">
      <c r="A58" s="3"/>
      <c r="B58" s="3" t="s">
        <v>847</v>
      </c>
      <c r="C58" s="27"/>
      <c r="D58" s="27"/>
      <c r="E58" s="27"/>
      <c r="F58" s="27"/>
      <c r="G58" s="27"/>
      <c r="H58" s="27"/>
      <c r="I58" s="27"/>
      <c r="J58" s="66">
        <v>15</v>
      </c>
      <c r="K58" s="4" t="s">
        <v>792</v>
      </c>
      <c r="L58" s="3"/>
      <c r="M58" s="3"/>
    </row>
    <row r="59">
      <c r="A59" s="3"/>
      <c r="B59" s="3" t="s">
        <v>848</v>
      </c>
      <c r="C59" s="39"/>
      <c r="D59" s="39"/>
      <c r="E59" s="39"/>
      <c r="F59" s="39"/>
      <c r="G59" s="39"/>
      <c r="H59" s="39"/>
      <c r="I59" s="39"/>
      <c r="J59" s="42"/>
      <c r="K59" s="4" t="s">
        <v>818</v>
      </c>
      <c r="L59" s="3"/>
      <c r="M59" s="3"/>
    </row>
    <row r="60">
      <c r="A60" s="3"/>
      <c r="B60" s="3" t="s">
        <v>849</v>
      </c>
      <c r="C60" s="39"/>
      <c r="D60" s="39"/>
      <c r="E60" s="39"/>
      <c r="F60" s="39"/>
      <c r="G60" s="39"/>
      <c r="H60" s="39"/>
      <c r="I60" s="39"/>
      <c r="J60" s="42"/>
      <c r="K60" s="4" t="s">
        <v>818</v>
      </c>
      <c r="L60" s="3"/>
      <c r="M60" s="3"/>
    </row>
    <row r="61">
      <c r="A61" s="3"/>
      <c r="B61" s="3" t="s">
        <v>850</v>
      </c>
      <c r="C61" s="39"/>
      <c r="D61" s="39"/>
      <c r="E61" s="39"/>
      <c r="F61" s="39"/>
      <c r="G61" s="39"/>
      <c r="H61" s="39"/>
      <c r="I61" s="39"/>
      <c r="J61" s="42"/>
      <c r="K61" s="4" t="s">
        <v>818</v>
      </c>
      <c r="L61" s="3"/>
      <c r="M61" s="3"/>
    </row>
    <row r="62">
      <c r="A62" s="3"/>
      <c r="B62" s="3" t="s">
        <v>851</v>
      </c>
      <c r="C62" s="55"/>
      <c r="D62" s="55"/>
      <c r="E62" s="55"/>
      <c r="F62" s="55"/>
      <c r="G62" s="55"/>
      <c r="H62" s="55"/>
      <c r="I62" s="55"/>
      <c r="J62" s="81">
        <v>5133.22</v>
      </c>
      <c r="K62" s="4" t="s">
        <v>792</v>
      </c>
      <c r="L62" s="3"/>
      <c r="M62" s="3"/>
    </row>
    <row r="63">
      <c r="A63" s="3"/>
      <c r="B63" s="3" t="s">
        <v>852</v>
      </c>
      <c r="C63" s="55"/>
      <c r="D63" s="55"/>
      <c r="E63" s="55"/>
      <c r="F63" s="55"/>
      <c r="G63" s="55"/>
      <c r="H63" s="55"/>
      <c r="I63" s="55"/>
      <c r="J63" s="81">
        <v>4286.81</v>
      </c>
      <c r="K63" s="4" t="s">
        <v>792</v>
      </c>
      <c r="L63" s="3"/>
      <c r="M63" s="3"/>
    </row>
    <row r="64">
      <c r="A64" s="3"/>
      <c r="B64" s="3" t="s">
        <v>853</v>
      </c>
      <c r="C64" s="55"/>
      <c r="D64" s="55"/>
      <c r="E64" s="55"/>
      <c r="F64" s="55"/>
      <c r="G64" s="55"/>
      <c r="H64" s="55"/>
      <c r="I64" s="55"/>
      <c r="J64" s="81">
        <v>4073.31</v>
      </c>
      <c r="K64" s="4" t="s">
        <v>792</v>
      </c>
      <c r="L64" s="3"/>
      <c r="M64" s="3"/>
    </row>
    <row r="65">
      <c r="A65" s="3"/>
      <c r="B65" s="3" t="s">
        <v>854</v>
      </c>
      <c r="C65" s="55"/>
      <c r="D65" s="55"/>
      <c r="E65" s="55"/>
      <c r="F65" s="55"/>
      <c r="G65" s="55"/>
      <c r="H65" s="55"/>
      <c r="I65" s="55"/>
      <c r="J65" s="81">
        <v>4073.93</v>
      </c>
      <c r="K65" s="4" t="s">
        <v>792</v>
      </c>
      <c r="L65" s="3"/>
      <c r="M65" s="3"/>
    </row>
    <row r="66">
      <c r="A66" s="3"/>
      <c r="B66" s="3" t="s">
        <v>855</v>
      </c>
      <c r="C66" s="55"/>
      <c r="D66" s="55"/>
      <c r="E66" s="55"/>
      <c r="F66" s="55"/>
      <c r="G66" s="55"/>
      <c r="H66" s="55"/>
      <c r="I66" s="55"/>
      <c r="J66" s="81">
        <v>3140.74</v>
      </c>
      <c r="K66" s="4" t="s">
        <v>792</v>
      </c>
      <c r="L66" s="3"/>
      <c r="M66" s="3"/>
    </row>
    <row r="67">
      <c r="A67" s="3"/>
      <c r="B67" s="3" t="s">
        <v>856</v>
      </c>
      <c r="C67" s="55"/>
      <c r="D67" s="55"/>
      <c r="E67" s="55"/>
      <c r="F67" s="55"/>
      <c r="G67" s="55"/>
      <c r="H67" s="55"/>
      <c r="I67" s="55"/>
      <c r="J67" s="81">
        <v>3115.72</v>
      </c>
      <c r="K67" s="4" t="s">
        <v>792</v>
      </c>
      <c r="L67" s="3"/>
      <c r="M67" s="3"/>
    </row>
    <row r="68">
      <c r="A68" s="3"/>
      <c r="B68" s="3" t="s">
        <v>857</v>
      </c>
      <c r="C68" s="39"/>
      <c r="D68" s="39"/>
      <c r="E68" s="39"/>
      <c r="F68" s="39"/>
      <c r="G68" s="39"/>
      <c r="H68" s="39"/>
      <c r="I68" s="39"/>
      <c r="J68" s="42"/>
      <c r="K68" s="4" t="s">
        <v>818</v>
      </c>
      <c r="L68" s="3"/>
      <c r="M68" s="3"/>
    </row>
    <row r="69">
      <c r="A69" s="3"/>
      <c r="B69" s="3" t="s">
        <v>858</v>
      </c>
      <c r="C69" s="39"/>
      <c r="D69" s="39"/>
      <c r="E69" s="39"/>
      <c r="F69" s="39"/>
      <c r="G69" s="39"/>
      <c r="H69" s="39"/>
      <c r="I69" s="39"/>
      <c r="J69" s="42"/>
      <c r="K69" s="4" t="s">
        <v>818</v>
      </c>
      <c r="L69" s="3"/>
      <c r="M69" s="3"/>
    </row>
    <row r="70">
      <c r="A70" s="3"/>
      <c r="B70" s="3" t="s">
        <v>859</v>
      </c>
      <c r="C70" s="39"/>
      <c r="D70" s="39"/>
      <c r="E70" s="39"/>
      <c r="F70" s="39"/>
      <c r="G70" s="39"/>
      <c r="H70" s="39"/>
      <c r="I70" s="39"/>
      <c r="J70" s="42"/>
      <c r="K70" s="4" t="s">
        <v>818</v>
      </c>
      <c r="L70" s="3"/>
      <c r="M70" s="3"/>
    </row>
    <row r="71">
      <c r="A71" s="3"/>
      <c r="B71" s="3" t="s">
        <v>860</v>
      </c>
      <c r="C71" s="39"/>
      <c r="D71" s="39"/>
      <c r="E71" s="39"/>
      <c r="F71" s="39"/>
      <c r="G71" s="39"/>
      <c r="H71" s="39"/>
      <c r="I71" s="39"/>
      <c r="J71" s="42"/>
      <c r="K71" s="4" t="s">
        <v>818</v>
      </c>
      <c r="L71" s="3"/>
      <c r="M71" s="3"/>
    </row>
    <row r="72">
      <c r="A72" s="3"/>
      <c r="B72" s="3" t="s">
        <v>861</v>
      </c>
      <c r="C72" s="39"/>
      <c r="D72" s="39"/>
      <c r="E72" s="39"/>
      <c r="F72" s="39"/>
      <c r="G72" s="39"/>
      <c r="H72" s="39"/>
      <c r="I72" s="39"/>
      <c r="J72" s="42"/>
      <c r="K72" s="4" t="s">
        <v>818</v>
      </c>
      <c r="L72" s="3"/>
      <c r="M72" s="3"/>
    </row>
    <row r="73">
      <c r="A73" s="3"/>
      <c r="B73" s="3" t="s">
        <v>862</v>
      </c>
      <c r="C73" s="39"/>
      <c r="D73" s="39"/>
      <c r="E73" s="39"/>
      <c r="F73" s="39"/>
      <c r="G73" s="39"/>
      <c r="H73" s="39"/>
      <c r="I73" s="39"/>
      <c r="J73" s="42"/>
      <c r="K73" s="4" t="s">
        <v>818</v>
      </c>
      <c r="L73" s="3"/>
      <c r="M73" s="3"/>
    </row>
    <row r="74">
      <c r="A74" s="3"/>
      <c r="B74" s="3" t="s">
        <v>863</v>
      </c>
      <c r="C74" s="55"/>
      <c r="D74" s="55"/>
      <c r="E74" s="55"/>
      <c r="F74" s="55"/>
      <c r="G74" s="55"/>
      <c r="H74" s="55"/>
      <c r="I74" s="55"/>
      <c r="J74" s="81">
        <v>-276.27</v>
      </c>
      <c r="K74" s="4" t="s">
        <v>792</v>
      </c>
      <c r="L74" s="3"/>
      <c r="M74" s="3"/>
    </row>
    <row r="75">
      <c r="A75" s="3"/>
      <c r="B75" s="3" t="s">
        <v>864</v>
      </c>
      <c r="C75" s="55"/>
      <c r="D75" s="55"/>
      <c r="E75" s="55"/>
      <c r="F75" s="55"/>
      <c r="G75" s="55"/>
      <c r="H75" s="55"/>
      <c r="I75" s="55"/>
      <c r="J75" s="81">
        <v>40265.69</v>
      </c>
      <c r="K75" s="4" t="s">
        <v>792</v>
      </c>
      <c r="L75" s="3"/>
      <c r="M75" s="3"/>
    </row>
    <row r="76">
      <c r="A76" s="3"/>
      <c r="B76" s="3" t="s">
        <v>865</v>
      </c>
      <c r="C76" s="39"/>
      <c r="D76" s="39"/>
      <c r="E76" s="39"/>
      <c r="F76" s="39"/>
      <c r="G76" s="39"/>
      <c r="H76" s="39"/>
      <c r="I76" s="39"/>
      <c r="J76" s="42"/>
      <c r="K76" s="4" t="s">
        <v>818</v>
      </c>
      <c r="L76" s="3"/>
      <c r="M76" s="3"/>
    </row>
    <row r="77">
      <c r="A77" s="3"/>
      <c r="B77" s="3" t="s">
        <v>866</v>
      </c>
      <c r="C77" s="39"/>
      <c r="D77" s="39"/>
      <c r="E77" s="39"/>
      <c r="F77" s="39"/>
      <c r="G77" s="39"/>
      <c r="H77" s="39"/>
      <c r="I77" s="39"/>
      <c r="J77" s="42"/>
      <c r="K77" s="4" t="s">
        <v>818</v>
      </c>
      <c r="L77" s="3"/>
      <c r="M77" s="3"/>
    </row>
    <row r="78">
      <c r="A78" s="3"/>
      <c r="B78" s="3" t="s">
        <v>867</v>
      </c>
      <c r="C78" s="39"/>
      <c r="D78" s="39"/>
      <c r="E78" s="39"/>
      <c r="F78" s="39"/>
      <c r="G78" s="39"/>
      <c r="H78" s="39"/>
      <c r="I78" s="39"/>
      <c r="J78" s="42"/>
      <c r="K78" s="4" t="s">
        <v>818</v>
      </c>
      <c r="L78" s="3"/>
      <c r="M78" s="3"/>
    </row>
    <row r="79">
      <c r="A79" s="3"/>
      <c r="B79" s="3" t="s">
        <v>868</v>
      </c>
      <c r="C79" s="39"/>
      <c r="D79" s="39"/>
      <c r="E79" s="39"/>
      <c r="F79" s="39"/>
      <c r="G79" s="39"/>
      <c r="H79" s="39"/>
      <c r="I79" s="39"/>
      <c r="J79" s="42"/>
      <c r="K79" s="4" t="s">
        <v>818</v>
      </c>
      <c r="L79" s="3"/>
      <c r="M79" s="3"/>
    </row>
    <row r="80">
      <c r="A80" s="3"/>
      <c r="B80" s="3" t="s">
        <v>869</v>
      </c>
      <c r="C80" s="39"/>
      <c r="D80" s="39"/>
      <c r="E80" s="39"/>
      <c r="F80" s="39"/>
      <c r="G80" s="39"/>
      <c r="H80" s="39"/>
      <c r="I80" s="39"/>
      <c r="J80" s="42"/>
      <c r="K80" s="4" t="s">
        <v>818</v>
      </c>
      <c r="L80" s="3"/>
      <c r="M80" s="3"/>
    </row>
    <row r="81">
      <c r="A81" s="3"/>
      <c r="B81" s="3" t="s">
        <v>870</v>
      </c>
      <c r="C81" s="39"/>
      <c r="D81" s="39"/>
      <c r="E81" s="39"/>
      <c r="F81" s="39"/>
      <c r="G81" s="39"/>
      <c r="H81" s="39"/>
      <c r="I81" s="39"/>
      <c r="J81" s="42"/>
      <c r="K81" s="4" t="s">
        <v>818</v>
      </c>
      <c r="L81" s="3"/>
      <c r="M81" s="3"/>
    </row>
    <row r="82">
      <c r="A82" s="3"/>
      <c r="B82" s="3" t="s">
        <v>871</v>
      </c>
      <c r="C82" s="39"/>
      <c r="D82" s="39"/>
      <c r="E82" s="39"/>
      <c r="F82" s="39"/>
      <c r="G82" s="39"/>
      <c r="H82" s="39"/>
      <c r="I82" s="39"/>
      <c r="J82" s="42"/>
      <c r="K82" s="4" t="s">
        <v>818</v>
      </c>
      <c r="L82" s="3"/>
      <c r="M82" s="3"/>
    </row>
    <row r="83">
      <c r="A83" s="3"/>
      <c r="B83" s="3" t="s">
        <v>872</v>
      </c>
      <c r="C83" s="55"/>
      <c r="D83" s="55"/>
      <c r="E83" s="55"/>
      <c r="F83" s="55"/>
      <c r="G83" s="55"/>
      <c r="H83" s="55"/>
      <c r="I83" s="55"/>
      <c r="J83" s="81">
        <v>149.36</v>
      </c>
      <c r="K83" s="4" t="s">
        <v>873</v>
      </c>
      <c r="L83" s="3"/>
      <c r="M83" s="3"/>
    </row>
    <row r="84">
      <c r="A84" s="3"/>
      <c r="B84" s="3" t="s">
        <v>874</v>
      </c>
      <c r="C84" s="55"/>
      <c r="D84" s="55"/>
      <c r="E84" s="55"/>
      <c r="F84" s="55"/>
      <c r="G84" s="55"/>
      <c r="H84" s="55"/>
      <c r="I84" s="55"/>
      <c r="J84" s="81">
        <v>148.5</v>
      </c>
      <c r="K84" s="4" t="s">
        <v>873</v>
      </c>
      <c r="L84" s="3"/>
      <c r="M84" s="3"/>
    </row>
    <row r="85">
      <c r="A85" s="3"/>
      <c r="B85" s="3" t="s">
        <v>875</v>
      </c>
      <c r="C85" s="55"/>
      <c r="D85" s="55"/>
      <c r="E85" s="55"/>
      <c r="F85" s="55"/>
      <c r="G85" s="55"/>
      <c r="H85" s="55"/>
      <c r="I85" s="55"/>
      <c r="J85" s="81">
        <v>180</v>
      </c>
      <c r="K85" s="4" t="s">
        <v>873</v>
      </c>
      <c r="L85" s="3"/>
      <c r="M85" s="3"/>
    </row>
    <row r="86">
      <c r="A86" s="3"/>
      <c r="B86" s="3" t="s">
        <v>876</v>
      </c>
      <c r="C86" s="55"/>
      <c r="D86" s="55"/>
      <c r="E86" s="55"/>
      <c r="F86" s="55"/>
      <c r="G86" s="55"/>
      <c r="H86" s="55"/>
      <c r="I86" s="55"/>
      <c r="J86" s="81">
        <v>124</v>
      </c>
      <c r="K86" s="4" t="s">
        <v>873</v>
      </c>
      <c r="L86" s="3"/>
      <c r="M86" s="3"/>
    </row>
    <row r="87">
      <c r="A87" s="3"/>
      <c r="B87" s="3" t="s">
        <v>877</v>
      </c>
      <c r="C87" s="55"/>
      <c r="D87" s="55"/>
      <c r="E87" s="55"/>
      <c r="F87" s="55"/>
      <c r="G87" s="55"/>
      <c r="H87" s="55"/>
      <c r="I87" s="55"/>
      <c r="J87" s="81">
        <v>14.72</v>
      </c>
      <c r="K87" s="4" t="s">
        <v>873</v>
      </c>
      <c r="L87" s="3"/>
      <c r="M87" s="3"/>
    </row>
    <row r="88">
      <c r="A88" s="3"/>
      <c r="B88" s="3" t="s">
        <v>878</v>
      </c>
      <c r="C88" s="27"/>
      <c r="D88" s="27"/>
      <c r="E88" s="27"/>
      <c r="F88" s="27"/>
      <c r="G88" s="27"/>
      <c r="H88" s="27"/>
      <c r="I88" s="27"/>
      <c r="J88" s="66">
        <v>22</v>
      </c>
      <c r="K88" s="4" t="s">
        <v>873</v>
      </c>
      <c r="L88" s="3"/>
      <c r="M88" s="3"/>
    </row>
    <row r="89">
      <c r="A89" s="3"/>
      <c r="B89" s="3" t="s">
        <v>879</v>
      </c>
      <c r="C89" s="39"/>
      <c r="D89" s="39"/>
      <c r="E89" s="39"/>
      <c r="F89" s="39"/>
      <c r="G89" s="39"/>
      <c r="H89" s="39"/>
      <c r="I89" s="39"/>
      <c r="J89" s="42" t="s">
        <v>880</v>
      </c>
      <c r="K89" s="4" t="s">
        <v>792</v>
      </c>
      <c r="L89" s="3"/>
      <c r="M89" s="3"/>
    </row>
    <row r="90">
      <c r="A90" s="3"/>
      <c r="B90" s="3" t="s">
        <v>881</v>
      </c>
      <c r="C90" s="55"/>
      <c r="D90" s="55"/>
      <c r="E90" s="55"/>
      <c r="F90" s="55"/>
      <c r="G90" s="55"/>
      <c r="H90" s="55"/>
      <c r="I90" s="55"/>
      <c r="J90" s="81">
        <v>2.75</v>
      </c>
      <c r="K90" s="4" t="s">
        <v>792</v>
      </c>
      <c r="L90" s="3"/>
      <c r="M90" s="3"/>
    </row>
    <row r="91">
      <c r="A91" s="3"/>
      <c r="B91" s="3" t="s">
        <v>882</v>
      </c>
      <c r="C91" s="55"/>
      <c r="D91" s="55"/>
      <c r="E91" s="55"/>
      <c r="F91" s="55"/>
      <c r="G91" s="55"/>
      <c r="H91" s="55"/>
      <c r="I91" s="55"/>
      <c r="J91" s="81">
        <v>125.89</v>
      </c>
      <c r="K91" s="4" t="s">
        <v>792</v>
      </c>
      <c r="L91" s="3"/>
      <c r="M91" s="3"/>
    </row>
    <row r="92">
      <c r="A92" s="3"/>
      <c r="B92" s="3" t="s">
        <v>883</v>
      </c>
      <c r="C92" s="39"/>
      <c r="D92" s="39"/>
      <c r="E92" s="39"/>
      <c r="F92" s="39"/>
      <c r="G92" s="39"/>
      <c r="H92" s="39"/>
      <c r="I92" s="39"/>
      <c r="J92" s="42"/>
      <c r="K92" s="4" t="s">
        <v>818</v>
      </c>
      <c r="L92" s="3"/>
      <c r="M92" s="3"/>
    </row>
    <row r="93">
      <c r="A93" s="3"/>
      <c r="B93" s="3" t="s">
        <v>803</v>
      </c>
      <c r="C93" s="39"/>
      <c r="D93" s="39"/>
      <c r="E93" s="39"/>
      <c r="F93" s="39"/>
      <c r="G93" s="39"/>
      <c r="H93" s="39"/>
      <c r="I93" s="39"/>
      <c r="J93" s="42" t="s">
        <v>25</v>
      </c>
      <c r="K93" s="4" t="s">
        <v>792</v>
      </c>
      <c r="L93" s="3"/>
      <c r="M93" s="3"/>
    </row>
    <row r="94" ht="59.25">
      <c r="A94" s="3"/>
      <c r="B94" s="128" t="s">
        <v>884</v>
      </c>
      <c r="C94" s="39"/>
      <c r="D94" s="39"/>
      <c r="E94" s="39"/>
      <c r="F94" s="39"/>
      <c r="G94" s="39"/>
      <c r="H94" s="39"/>
      <c r="I94" s="39"/>
      <c r="J94" s="122" t="s">
        <v>885</v>
      </c>
      <c r="K94" s="136"/>
      <c r="L94" s="3"/>
      <c r="M94" s="3"/>
    </row>
    <row r="95">
      <c r="A95" s="3"/>
      <c r="B95" s="3" t="s">
        <v>886</v>
      </c>
      <c r="C95" s="39"/>
      <c r="D95" s="39"/>
      <c r="E95" s="39"/>
      <c r="F95" s="39"/>
      <c r="G95" s="39"/>
      <c r="H95" s="39"/>
      <c r="I95" s="39"/>
      <c r="J95" s="121">
        <v>46299</v>
      </c>
      <c r="K95" s="4" t="s">
        <v>792</v>
      </c>
      <c r="L95" s="3"/>
      <c r="M95" s="3"/>
    </row>
    <row r="96" ht="160.5">
      <c r="A96" s="3"/>
      <c r="B96" s="128" t="s">
        <v>887</v>
      </c>
      <c r="C96" s="39"/>
      <c r="D96" s="39"/>
      <c r="E96" s="39"/>
      <c r="F96" s="39"/>
      <c r="G96" s="39"/>
      <c r="H96" s="39"/>
      <c r="I96" s="39"/>
      <c r="J96" s="122" t="s">
        <v>888</v>
      </c>
      <c r="K96" s="136"/>
      <c r="L96" s="3"/>
      <c r="M96" s="3"/>
    </row>
    <row r="97">
      <c r="A97" s="3"/>
      <c r="B97" s="3"/>
      <c r="C97" s="1"/>
      <c r="D97" s="1"/>
      <c r="E97" s="1"/>
      <c r="F97" s="1"/>
      <c r="G97" s="1"/>
      <c r="H97" s="1"/>
      <c r="I97" s="1"/>
      <c r="J97" s="16"/>
      <c r="K97" s="4"/>
      <c r="L97" s="3"/>
      <c r="M97" s="3"/>
    </row>
    <row r="98">
      <c r="A98" s="3"/>
      <c r="B98" s="15" t="s">
        <v>889</v>
      </c>
      <c r="C98" s="5"/>
      <c r="D98" s="5"/>
      <c r="E98" s="5"/>
      <c r="F98" s="5"/>
      <c r="G98" s="5"/>
      <c r="H98" s="5"/>
      <c r="I98" s="5"/>
      <c r="J98" s="22"/>
      <c r="K98" s="4"/>
      <c r="L98" s="3"/>
      <c r="M98" s="3"/>
    </row>
    <row r="99">
      <c r="A99" s="3"/>
      <c r="B99" s="3" t="s">
        <v>796</v>
      </c>
      <c r="C99" s="129">
        <v>45747</v>
      </c>
      <c r="D99" s="129">
        <v>45838</v>
      </c>
      <c r="E99" s="129">
        <v>45930</v>
      </c>
      <c r="F99" s="129">
        <v>46022</v>
      </c>
      <c r="G99" s="143"/>
      <c r="H99" s="129">
        <v>46112</v>
      </c>
      <c r="I99" s="129">
        <v>46203</v>
      </c>
      <c r="J99" s="42"/>
      <c r="K99" s="4" t="s">
        <v>890</v>
      </c>
      <c r="L99" s="3"/>
      <c r="M99" s="3"/>
    </row>
    <row r="100">
      <c r="A100" s="3"/>
      <c r="B100" s="3" t="s">
        <v>891</v>
      </c>
      <c r="C100" s="129">
        <v>45771</v>
      </c>
      <c r="D100" s="129">
        <v>45855</v>
      </c>
      <c r="E100" s="129">
        <v>45939</v>
      </c>
      <c r="F100" s="129">
        <v>46056</v>
      </c>
      <c r="G100" s="143"/>
      <c r="H100" s="129">
        <v>46128</v>
      </c>
      <c r="I100" s="129">
        <v>46212</v>
      </c>
      <c r="J100" s="42"/>
      <c r="K100" s="4" t="s">
        <v>890</v>
      </c>
      <c r="L100" s="3"/>
      <c r="M100" s="3"/>
    </row>
    <row r="101">
      <c r="A101" s="3"/>
      <c r="B101" s="3" t="s">
        <v>892</v>
      </c>
      <c r="C101" s="104">
        <v>1.49</v>
      </c>
      <c r="D101" s="104">
        <v>2.03</v>
      </c>
      <c r="E101" s="104">
        <v>2.26</v>
      </c>
      <c r="F101" s="104">
        <v>2.24</v>
      </c>
      <c r="G101" s="95"/>
      <c r="H101" s="104">
        <v>1.55</v>
      </c>
      <c r="I101" s="104">
        <v>2.21</v>
      </c>
      <c r="J101" s="100"/>
      <c r="K101" s="4" t="s">
        <v>890</v>
      </c>
      <c r="L101" s="3"/>
      <c r="M101" s="3"/>
    </row>
    <row r="102">
      <c r="A102" s="3"/>
      <c r="B102" s="3" t="s">
        <v>893</v>
      </c>
      <c r="C102" s="104">
        <v>1.48</v>
      </c>
      <c r="D102" s="104">
        <v>2.12</v>
      </c>
      <c r="E102" s="104">
        <v>2.29</v>
      </c>
      <c r="F102" s="104">
        <v>2.26</v>
      </c>
      <c r="G102" s="95"/>
      <c r="H102" s="104">
        <v>1.61</v>
      </c>
      <c r="I102" s="104">
        <v>2.2</v>
      </c>
      <c r="J102" s="100"/>
      <c r="K102" s="4" t="s">
        <v>890</v>
      </c>
      <c r="L102" s="3"/>
      <c r="M102" s="3"/>
    </row>
    <row r="103">
      <c r="A103" s="3"/>
      <c r="B103" s="3" t="s">
        <v>894</v>
      </c>
      <c r="C103" s="104">
        <v>1.5</v>
      </c>
      <c r="D103" s="104">
        <v>2.03</v>
      </c>
      <c r="E103" s="104">
        <v>2.27</v>
      </c>
      <c r="F103" s="104">
        <v>2.21</v>
      </c>
      <c r="G103" s="95"/>
      <c r="H103" s="104">
        <v>1.53</v>
      </c>
      <c r="I103" s="104">
        <v>2.16</v>
      </c>
      <c r="J103" s="100"/>
      <c r="K103" s="4" t="s">
        <v>890</v>
      </c>
      <c r="L103" s="3"/>
      <c r="M103" s="3"/>
    </row>
    <row r="104">
      <c r="A104" s="3"/>
      <c r="B104" s="3" t="s">
        <v>895</v>
      </c>
      <c r="C104" s="104">
        <v>1.33</v>
      </c>
      <c r="D104" s="104">
        <v>0.92</v>
      </c>
      <c r="E104" s="104">
        <v>1.9</v>
      </c>
      <c r="F104" s="104">
        <v>1.85</v>
      </c>
      <c r="G104" s="95"/>
      <c r="H104" s="104">
        <v>1.7</v>
      </c>
      <c r="I104" s="104">
        <v>2.18</v>
      </c>
      <c r="J104" s="100"/>
      <c r="K104" s="4" t="s">
        <v>890</v>
      </c>
      <c r="L104" s="3"/>
      <c r="M104" s="3"/>
    </row>
    <row r="105">
      <c r="A105" s="3"/>
      <c r="B105" s="3" t="s">
        <v>896</v>
      </c>
      <c r="C105" s="19">
        <v>17728.73</v>
      </c>
      <c r="D105" s="19">
        <v>22304.24</v>
      </c>
      <c r="E105" s="19">
        <v>23844.32</v>
      </c>
      <c r="F105" s="19">
        <v>28969.91</v>
      </c>
      <c r="G105" s="1"/>
      <c r="H105" s="19">
        <v>18941.92</v>
      </c>
      <c r="I105" s="19">
        <v>23966.26</v>
      </c>
      <c r="J105" s="16"/>
      <c r="K105" s="4" t="s">
        <v>890</v>
      </c>
      <c r="L105" s="3"/>
      <c r="M105" s="3"/>
    </row>
    <row r="106">
      <c r="A106" s="3"/>
      <c r="B106" s="3" t="s">
        <v>897</v>
      </c>
      <c r="C106" s="19">
        <v>17919</v>
      </c>
      <c r="D106" s="19">
        <v>22726</v>
      </c>
      <c r="E106" s="19">
        <v>23937</v>
      </c>
      <c r="F106" s="19">
        <v>29343</v>
      </c>
      <c r="G106" s="1"/>
      <c r="H106" s="19">
        <v>19443</v>
      </c>
      <c r="I106" s="19">
        <v>24181</v>
      </c>
      <c r="J106" s="16"/>
      <c r="K106" s="4" t="s">
        <v>890</v>
      </c>
      <c r="L106" s="3"/>
      <c r="M106" s="3"/>
    </row>
    <row r="107">
      <c r="A107" s="3"/>
      <c r="B107" s="3"/>
      <c r="C107" s="1"/>
      <c r="D107" s="1"/>
      <c r="E107" s="1"/>
      <c r="F107" s="1"/>
      <c r="G107" s="1"/>
      <c r="H107" s="1"/>
      <c r="I107" s="1"/>
      <c r="J107" s="16"/>
      <c r="K107" s="4"/>
      <c r="L107" s="3"/>
      <c r="M107" s="3"/>
    </row>
    <row r="108">
      <c r="A108" s="3"/>
      <c r="B108" s="15" t="s">
        <v>898</v>
      </c>
      <c r="C108" s="5"/>
      <c r="D108" s="5"/>
      <c r="E108" s="5"/>
      <c r="F108" s="5"/>
      <c r="G108" s="5"/>
      <c r="H108" s="5"/>
      <c r="I108" s="5"/>
      <c r="J108" s="22"/>
      <c r="K108" s="4"/>
      <c r="L108" s="3"/>
      <c r="M108" s="3"/>
    </row>
    <row r="109">
      <c r="A109" s="3"/>
      <c r="B109" s="3" t="s">
        <v>899</v>
      </c>
      <c r="C109" s="95">
        <f>IFERROR(C102-C101,"n/a")</f>
        <v>-0.010000000000000009</v>
      </c>
      <c r="D109" s="95">
        <f>IFERROR(D102-D101,"n/a")</f>
        <v>0.0900000000000003</v>
      </c>
      <c r="E109" s="95">
        <f>IFERROR(E102-E101,"n/a")</f>
        <v>0.03000000000000025</v>
      </c>
      <c r="F109" s="95">
        <f>IFERROR(F102-F101,"n/a")</f>
        <v>0.019999999999999574</v>
      </c>
      <c r="G109" s="95"/>
      <c r="H109" s="95">
        <f>IFERROR(H102-H101,"n/a")</f>
        <v>0.06000000000000005</v>
      </c>
      <c r="I109" s="95">
        <f>IFERROR(I102-I101,"n/a")</f>
        <v>-0.009999999999999787</v>
      </c>
      <c r="J109" s="100"/>
      <c r="K109" s="4"/>
      <c r="L109" s="3"/>
      <c r="M109" s="3"/>
    </row>
    <row r="110">
      <c r="A110" s="3"/>
      <c r="B110" s="3" t="s">
        <v>900</v>
      </c>
      <c r="C110" s="27">
        <f>IF(C102&gt;C101,1,0)</f>
        <v>0</v>
      </c>
      <c r="D110" s="27">
        <f>IF(D102&gt;D101,1,0)</f>
        <v>1</v>
      </c>
      <c r="E110" s="27">
        <f>IF(E102&gt;E101,1,0)</f>
        <v>1</v>
      </c>
      <c r="F110" s="27">
        <f>IF(F102&gt;F101,1,0)</f>
        <v>1</v>
      </c>
      <c r="G110" s="27"/>
      <c r="H110" s="27">
        <f>IF(H102&gt;H101,1,0)</f>
        <v>1</v>
      </c>
      <c r="I110" s="27">
        <f>IF(I102&gt;I101,1,0)</f>
        <v>0</v>
      </c>
      <c r="J110" s="74"/>
      <c r="K110" s="4"/>
      <c r="L110" s="3"/>
      <c r="M110" s="3"/>
    </row>
    <row r="111">
      <c r="A111" s="3"/>
      <c r="B111" s="3" t="s">
        <v>901</v>
      </c>
      <c r="C111" s="27">
        <f>IF(AND(ISNUMBER(C102),ISNUMBER(C101)),1,0)</f>
        <v>1</v>
      </c>
      <c r="D111" s="27">
        <f>IF(AND(ISNUMBER(D102),ISNUMBER(D101)),1,0)</f>
        <v>1</v>
      </c>
      <c r="E111" s="27">
        <f>IF(AND(ISNUMBER(E102),ISNUMBER(E101)),1,0)</f>
        <v>1</v>
      </c>
      <c r="F111" s="27">
        <f>IF(AND(ISNUMBER(F102),ISNUMBER(F101)),1,0)</f>
        <v>1</v>
      </c>
      <c r="G111" s="27"/>
      <c r="H111" s="27">
        <f>IF(AND(ISNUMBER(H102),ISNUMBER(H101)),1,0)</f>
        <v>1</v>
      </c>
      <c r="I111" s="27">
        <f>IF(AND(ISNUMBER(I102),ISNUMBER(I101)),1,0)</f>
        <v>1</v>
      </c>
      <c r="J111" s="74"/>
      <c r="K111" s="4"/>
      <c r="L111" s="3"/>
      <c r="M111" s="3"/>
    </row>
    <row r="112">
      <c r="A112" s="3"/>
      <c r="B112" s="12" t="s">
        <v>902</v>
      </c>
      <c r="C112" s="7">
        <f>IFERROR(IF(OR(C106&lt;0,C105&lt;0),"n.m.",C106/C105-1),"n/a")</f>
        <v>0.010732297237309174</v>
      </c>
      <c r="D112" s="7">
        <f>IFERROR(IF(OR(D106&lt;0,D105&lt;0),"n.m.",D106/D105-1),"n/a")</f>
        <v>0.01890940915269912</v>
      </c>
      <c r="E112" s="7">
        <f>IFERROR(IF(OR(E106&lt;0,E105&lt;0),"n.m.",E106/E105-1),"n/a")</f>
        <v>0.003886879558737677</v>
      </c>
      <c r="F112" s="7">
        <f>IFERROR(IF(OR(F106&lt;0,F105&lt;0),"n.m.",F106/F105-1),"n/a")</f>
        <v>0.012878535004078318</v>
      </c>
      <c r="G112" s="7"/>
      <c r="H112" s="7">
        <f>IFERROR(IF(OR(H106&lt;0,H105&lt;0),"n.m.",H106/H105-1),"n/a")</f>
        <v>0.02645349573855249</v>
      </c>
      <c r="I112" s="7">
        <f>IFERROR(IF(OR(I106&lt;0,I105&lt;0),"n.m.",I106/I105-1),"n/a")</f>
        <v>0.008960096402192086</v>
      </c>
      <c r="J112" s="25"/>
      <c r="K112" s="4"/>
      <c r="L112" s="3"/>
      <c r="M112" s="3"/>
    </row>
    <row r="113">
      <c r="A113" s="3"/>
      <c r="B113" s="3"/>
      <c r="C113" s="1"/>
      <c r="D113" s="1"/>
      <c r="E113" s="1"/>
      <c r="F113" s="1"/>
      <c r="G113" s="1"/>
      <c r="H113" s="1"/>
      <c r="I113" s="1"/>
      <c r="J113" s="16"/>
      <c r="K113" s="4"/>
      <c r="L113" s="3"/>
      <c r="M113" s="3"/>
    </row>
    <row r="114">
      <c r="A114" s="3"/>
      <c r="B114" s="15" t="s">
        <v>903</v>
      </c>
      <c r="C114" s="5"/>
      <c r="D114" s="5"/>
      <c r="E114" s="5"/>
      <c r="F114" s="5"/>
      <c r="G114" s="5"/>
      <c r="H114" s="5"/>
      <c r="I114" s="5"/>
      <c r="J114" s="22"/>
      <c r="K114" s="4"/>
      <c r="L114" s="3"/>
      <c r="M114" s="3"/>
    </row>
    <row r="115">
      <c r="A115" s="3"/>
      <c r="B115" s="3" t="s">
        <v>34</v>
      </c>
      <c r="C115" s="1"/>
      <c r="D115" s="1"/>
      <c r="E115" s="1"/>
      <c r="F115" s="1"/>
      <c r="G115" s="1"/>
      <c r="H115" s="1"/>
      <c r="I115" s="1"/>
      <c r="J115" s="51">
        <v>171830</v>
      </c>
      <c r="K115" s="4" t="s">
        <v>904</v>
      </c>
      <c r="L115" s="3"/>
      <c r="M115" s="3"/>
    </row>
    <row r="116">
      <c r="A116" s="3"/>
      <c r="B116" s="3" t="s">
        <v>905</v>
      </c>
      <c r="C116" s="1"/>
      <c r="D116" s="1"/>
      <c r="E116" s="1"/>
      <c r="F116" s="1"/>
      <c r="G116" s="1"/>
      <c r="H116" s="1"/>
      <c r="I116" s="1"/>
      <c r="J116" s="51">
        <v>10000</v>
      </c>
      <c r="K116" s="4" t="s">
        <v>906</v>
      </c>
      <c r="L116" s="3"/>
      <c r="M116" s="3"/>
    </row>
    <row r="117">
      <c r="A117" s="3"/>
      <c r="B117" s="3" t="s">
        <v>907</v>
      </c>
      <c r="C117" s="1"/>
      <c r="D117" s="1"/>
      <c r="E117" s="1"/>
      <c r="F117" s="1"/>
      <c r="G117" s="1"/>
      <c r="H117" s="1"/>
      <c r="I117" s="1"/>
      <c r="J117" s="51">
        <v>2000</v>
      </c>
      <c r="K117" s="4" t="s">
        <v>908</v>
      </c>
      <c r="L117" s="3"/>
      <c r="M117" s="3"/>
    </row>
    <row r="118">
      <c r="A118" s="3"/>
      <c r="B118" s="3" t="s">
        <v>909</v>
      </c>
      <c r="C118" s="39"/>
      <c r="D118" s="39"/>
      <c r="E118" s="39"/>
      <c r="F118" s="39"/>
      <c r="G118" s="39"/>
      <c r="H118" s="39"/>
      <c r="I118" s="39"/>
      <c r="J118" s="85" t="str">
        <f>IF(J115&gt;J116,"large",IF(J115&gt;=J117,"mid","small"))</f>
        <v>large</v>
      </c>
      <c r="K118" s="4"/>
      <c r="L118" s="3"/>
      <c r="M118" s="3"/>
    </row>
    <row r="119">
      <c r="A119" s="3"/>
      <c r="B119" s="3" t="s">
        <v>910</v>
      </c>
      <c r="C119" s="39"/>
      <c r="D119" s="39"/>
      <c r="E119" s="39"/>
      <c r="F119" s="39"/>
      <c r="G119" s="39"/>
      <c r="H119" s="39"/>
      <c r="I119" s="39"/>
      <c r="J119" s="42" t="str">
        <f>J30</f>
        <v>Y</v>
      </c>
      <c r="K119" s="4"/>
      <c r="L119" s="3"/>
      <c r="M119" s="3"/>
    </row>
    <row r="120">
      <c r="A120" s="3"/>
      <c r="B120" s="12" t="s">
        <v>911</v>
      </c>
      <c r="C120" s="7"/>
      <c r="D120" s="7"/>
      <c r="E120" s="7"/>
      <c r="F120" s="7"/>
      <c r="G120" s="7"/>
      <c r="H120" s="7"/>
      <c r="I120" s="7"/>
      <c r="J120" s="79">
        <v>0.78</v>
      </c>
      <c r="K120" s="4" t="s">
        <v>912</v>
      </c>
      <c r="L120" s="3"/>
      <c r="M120" s="3"/>
    </row>
    <row r="121">
      <c r="A121" s="3"/>
      <c r="B121" s="12" t="s">
        <v>913</v>
      </c>
      <c r="C121" s="7"/>
      <c r="D121" s="7"/>
      <c r="E121" s="7"/>
      <c r="F121" s="7"/>
      <c r="G121" s="7"/>
      <c r="H121" s="7"/>
      <c r="I121" s="7"/>
      <c r="J121" s="79">
        <v>0.7</v>
      </c>
      <c r="K121" s="4" t="s">
        <v>914</v>
      </c>
      <c r="L121" s="3"/>
      <c r="M121" s="3"/>
    </row>
    <row r="122">
      <c r="A122" s="3"/>
      <c r="B122" s="12" t="s">
        <v>915</v>
      </c>
      <c r="C122" s="7"/>
      <c r="D122" s="7"/>
      <c r="E122" s="7"/>
      <c r="F122" s="7"/>
      <c r="G122" s="7"/>
      <c r="H122" s="7"/>
      <c r="I122" s="7"/>
      <c r="J122" s="79">
        <v>0.6</v>
      </c>
      <c r="K122" s="4" t="s">
        <v>914</v>
      </c>
      <c r="L122" s="3"/>
      <c r="M122" s="3"/>
    </row>
    <row r="123">
      <c r="A123" s="3"/>
      <c r="B123" s="12" t="s">
        <v>916</v>
      </c>
      <c r="C123" s="7"/>
      <c r="D123" s="7"/>
      <c r="E123" s="7"/>
      <c r="F123" s="7"/>
      <c r="G123" s="7"/>
      <c r="H123" s="7"/>
      <c r="I123" s="7"/>
      <c r="J123" s="25">
        <f>IF(OR(J118="large",J119="Y"),J120,IF(J118="mid",J121,J122))</f>
        <v>0.78</v>
      </c>
      <c r="K123" s="4"/>
      <c r="L123" s="3"/>
      <c r="M123" s="3"/>
    </row>
    <row r="124">
      <c r="A124" s="3"/>
      <c r="B124" s="3" t="s">
        <v>917</v>
      </c>
      <c r="C124" s="27"/>
      <c r="D124" s="27"/>
      <c r="E124" s="27"/>
      <c r="F124" s="27"/>
      <c r="G124" s="27"/>
      <c r="H124" s="27"/>
      <c r="I124" s="27"/>
      <c r="J124" s="74">
        <f>SUM(C110:I110)</f>
        <v>4</v>
      </c>
      <c r="K124" s="4"/>
      <c r="L124" s="3"/>
      <c r="M124" s="3"/>
    </row>
    <row r="125">
      <c r="A125" s="3"/>
      <c r="B125" s="3" t="s">
        <v>918</v>
      </c>
      <c r="C125" s="27"/>
      <c r="D125" s="27"/>
      <c r="E125" s="27"/>
      <c r="F125" s="27"/>
      <c r="G125" s="27"/>
      <c r="H125" s="27"/>
      <c r="I125" s="27"/>
      <c r="J125" s="74">
        <f>SUM(C111:I111)</f>
        <v>6</v>
      </c>
      <c r="K125" s="4"/>
      <c r="L125" s="3"/>
      <c r="M125" s="3"/>
    </row>
    <row r="126">
      <c r="A126" s="3"/>
      <c r="B126" s="3" t="s">
        <v>919</v>
      </c>
      <c r="C126" s="27"/>
      <c r="D126" s="27"/>
      <c r="E126" s="27"/>
      <c r="F126" s="27"/>
      <c r="G126" s="27"/>
      <c r="H126" s="27"/>
      <c r="I126" s="27"/>
      <c r="J126" s="66">
        <v>8</v>
      </c>
      <c r="K126" s="4"/>
      <c r="L126" s="3"/>
      <c r="M126" s="3"/>
    </row>
    <row r="127">
      <c r="A127" s="3"/>
      <c r="B127" s="12" t="s">
        <v>920</v>
      </c>
      <c r="C127" s="7"/>
      <c r="D127" s="7"/>
      <c r="E127" s="7"/>
      <c r="F127" s="7"/>
      <c r="G127" s="7"/>
      <c r="H127" s="7"/>
      <c r="I127" s="7"/>
      <c r="J127" s="25">
        <f>(J126*J123+J124)/(J126+J125)</f>
        <v>0.7314285714285714</v>
      </c>
      <c r="K127" s="4"/>
      <c r="L127" s="3"/>
      <c r="M127" s="3"/>
    </row>
    <row r="128">
      <c r="A128" s="3"/>
      <c r="B128" s="12" t="s">
        <v>921</v>
      </c>
      <c r="C128" s="7"/>
      <c r="D128" s="7"/>
      <c r="E128" s="7"/>
      <c r="F128" s="7"/>
      <c r="G128" s="7"/>
      <c r="H128" s="7"/>
      <c r="I128" s="7"/>
      <c r="J128" s="79">
        <v>-0.11</v>
      </c>
      <c r="K128" s="4" t="s">
        <v>922</v>
      </c>
      <c r="L128" s="3"/>
      <c r="M128" s="3"/>
    </row>
    <row r="129">
      <c r="A129" s="3"/>
      <c r="B129" s="75" t="s">
        <v>923</v>
      </c>
      <c r="C129" s="83"/>
      <c r="D129" s="83"/>
      <c r="E129" s="83"/>
      <c r="F129" s="83"/>
      <c r="G129" s="83"/>
      <c r="H129" s="83"/>
      <c r="I129" s="83"/>
      <c r="J129" s="80">
        <f>ROUND(J127+J128,3)</f>
        <v>0.621</v>
      </c>
      <c r="K129" s="4"/>
      <c r="L129" s="3"/>
      <c r="M129" s="3"/>
    </row>
    <row r="130">
      <c r="A130" s="3"/>
      <c r="B130" s="3" t="s">
        <v>57</v>
      </c>
      <c r="C130" s="39"/>
      <c r="D130" s="39"/>
      <c r="E130" s="39"/>
      <c r="F130" s="39"/>
      <c r="G130" s="39"/>
      <c r="H130" s="39"/>
      <c r="I130" s="39"/>
      <c r="J130" s="42" t="s">
        <v>924</v>
      </c>
      <c r="K130" s="4"/>
      <c r="L130" s="3"/>
      <c r="M130" s="3"/>
    </row>
    <row r="131">
      <c r="A131" s="3"/>
      <c r="B131" s="3" t="s">
        <v>925</v>
      </c>
      <c r="C131" s="95"/>
      <c r="D131" s="95"/>
      <c r="E131" s="95"/>
      <c r="F131" s="95"/>
      <c r="G131" s="95"/>
      <c r="H131" s="95"/>
      <c r="I131" s="95"/>
      <c r="J131" s="100">
        <f>J37</f>
        <v>2.3</v>
      </c>
      <c r="K131" s="4" t="s">
        <v>926</v>
      </c>
      <c r="L131" s="3"/>
      <c r="M131" s="3"/>
    </row>
  </sheetData>
</worksheet>
</file>