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Share Count" sheetId="6" r:id="rId7"/>
    <sheet name="Guidance" sheetId="7" r:id="rId8"/>
    <sheet name="Sources" sheetId="8" r:id="rId9"/>
    <sheet name="Inputs" sheetId="9" r:id="rId10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27" authorId="0">
      <text>
        <t>CapIQ net income consensus field is blank in the supplied snapshot (unavailable).</t>
      </text>
    </comment>
    <comment ref="B43" authorId="0">
      <text>
        <t>Broader street estimates (MarketBeat/TradingView) assume no lump-sum upfront recognition. Recorded separately; the frozen CapIQ 5.11 remains the comparator.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35" authorId="0">
      <text>
        <t>Agreement effective 21-Jul-2026 (S08); no Roche revenue possible in earlier periods.</t>
      </text>
    </comment>
    <comment ref="B73" authorId="0">
      <text>
        <t>3Q24, 4Q24, FY24 and 1Q25 license revenue were nil (10-K FY25 / 10-Q comparatives); 2Q25 = $30.0M Sanofi license extensions.</t>
      </text>
    </comment>
    <comment ref="B100" authorId="0">
      <text>
        <t>S07/S08: $700M upfront; agreement effective 21-Jul-2026 on HSR clearance; payment due within 30 days (S09).</t>
      </text>
    </comment>
    <comment ref="B101" authorId="0">
      <text>
        <t>Judgment: exclusive worldwide license incl. vs Nurix (S07) + Nurix PIT policy for prior licenses (S05) + Sage/Biogen precedent (S19). Risk: Kura/Arvinas-style over-time treatment (S20, S22).</t>
      </text>
    </comment>
    <comment ref="B106" authorId="0">
      <text>
        <t>S10: $10M earned on Sanofi initiating Phase 1 of SAR448272/NX-3911; Sanofi performance obligations fully satisfied (S03) so recognized when earned.</t>
      </text>
    </comment>
    <comment ref="B108" authorId="0">
      <text>
        <t>Run-rate 4.7-5.0/qtr (S03/S04); deferred $19.1M at 31-May-2026. $7M Pfizer milestone announced 29-Sep-2026 (S11) falls in 4Q26.</t>
      </text>
    </comment>
    <comment ref="B109" authorId="0">
      <text>
        <t>Gilead deferred revenue only $0.2M at 31-May-2026 (S03).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31" authorId="0">
      <text>
        <t>Pre-effectiveness periods: no cost share existed (agreement effective 21-Jul-2026). Forecast assumes ASC 808 reimbursements reduce R&amp;D.</t>
      </text>
    </comment>
    <comment ref="B39" authorId="0">
      <text>
        <t>Not separately disclosed historically (2Q26 10-Q cites higher BD legal costs). Goodwin advised Nurix (S23); no banker fee disclosed — $3M is an assumption.</t>
      </text>
    </comment>
    <comment ref="B67" authorId="0">
      <text>
        <t>4Q25 EPS not separately reported (derived as FY less 9M).</t>
      </text>
    </comment>
    <comment ref="B84" authorId="0">
      <text>
        <t>Not disclosed; assumption. Bexo is the lead program and the majority of clinical spend.</t>
      </text>
    </comment>
    <comment ref="B86" authorId="0">
      <text>
        <t>S07: costs shared 40% Nurix / 60% Roche.</t>
      </text>
    </comment>
    <comment ref="B93" authorId="0">
      <text>
        <t>S09: payment within 30 days of effectiveness (21-Jul-2026). Morgan Stanley fireside (S14): deal "did just close in August".</t>
      </text>
    </comment>
    <comment ref="B95" authorId="0">
      <text>
        <t>Federal NOLs $323M + R&amp;D credits $60.5M + capitalized R&amp;E DTA $132.8M (S05) shelter most federal tax; CA NOL use suspended 2024-26 -&gt; mainly state tax. ~$10M.</t>
      </text>
    </comment>
    <comment ref="B99" authorId="0">
      <text>
        <t>Illustrative: ~6 weeks of a multi-year cost-to-cost measure (cf. Kura/Kyowa Kirin, S20).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45" authorId="0">
      <text>
        <t>No borrowings on the balance sheet in any period (S03-S06).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2" authorId="0">
      <text>
        <t>Included in basic weighted shares by Nurix (S03 Note 7). No PFW exercises FY25-2Q26.</t>
      </text>
    </comment>
    <comment ref="B14" authorId="0">
      <text>
        <t>Oct-2025 RDO at $10.21 (S03).</t>
      </text>
    </comment>
    <comment ref="B15" authorId="0">
      <text>
        <t>Jan-2026 ATM, 1.0M shares at $18.25 (S03).</t>
      </text>
    </comment>
    <comment ref="B22" authorId="0">
      <text>
        <t>4Q25 approximated as 4 x FY weighted less 1Q-3Q (equal-quarter weighting); FY25 EPS reconciles.</t>
      </text>
    </comment>
    <comment ref="B31" authorId="0">
      <text>
        <t>Month-end closes: Jun $24.26, Jul $23.21, Aug $25.78; mid-Aug closes $26.7-27.8 (S18). Early June pre-deal ~$18.</t>
      </text>
    </comment>
    <comment ref="B36" authorId="0">
      <text>
        <t>Historical: net losses, so diluted = basic as reported.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1" authorId="0">
      <text>
        <t>S09: "we expect to receive the $700 million upfront payment from Roche in the third fiscal quarter of 2026".</t>
      </text>
    </comment>
    <comment ref="B12" authorId="0">
      <text>
        <t>S09: "pro-forma cash of approximately $1.14 billion". Actual = reported $443.5M + $700M.</t>
      </text>
    </comment>
    <comment ref="B14" authorId="0">
      <text>
        <t>Nurix does not issue P&amp;L guidance; CapIQ revenue/EPS guidance fields are blank (S01).</t>
      </text>
    </comment>
  </commentList>
</comments>
</file>

<file path=xl/sharedStrings.xml><?xml version="1.0" encoding="utf-8"?>
<sst xmlns="http://schemas.openxmlformats.org/spreadsheetml/2006/main" count="1258" uniqueCount="644">
  <si>
    <t>Nurix Therapeutics, Inc. (NasdaqGM: NRIX)</t>
  </si>
  <si>
    <t>Cover</t>
  </si>
  <si>
    <t>$ millions, except per share</t>
  </si>
  <si>
    <t>Forecast period</t>
  </si>
  <si>
    <t>3Q26E</t>
  </si>
  <si>
    <t>Period end</t>
  </si>
  <si>
    <t>Days in period</t>
  </si>
  <si>
    <t>Company Model — built by Shortcut</t>
  </si>
  <si>
    <t>Author: Shortcut. Single-company forecast model for the fiscal quarter ended 31-Aug-2026 (3Q FY26).</t>
  </si>
  <si>
    <t>Company</t>
  </si>
  <si>
    <t>Nurix Therapeutics, Inc.</t>
  </si>
  <si>
    <t>Ticker</t>
  </si>
  <si>
    <t>NRIX</t>
  </si>
  <si>
    <t>Exchange</t>
  </si>
  <si>
    <t>Nasdaq Global Market (NasdaqGM:NRIX)</t>
  </si>
  <si>
    <t>Fiscal year end</t>
  </si>
  <si>
    <t>November 30 (FY ends 30-Nov)</t>
  </si>
  <si>
    <t>Reporting currency</t>
  </si>
  <si>
    <t>USD</t>
  </si>
  <si>
    <t>EPS basis</t>
  </si>
  <si>
    <t>Normalized diluted EPS (CapIQ), USD; zero adj. assumed - see J18</t>
  </si>
  <si>
    <t>No issuer non-GAAP measure exists. Zero GAAP-to-normalized adjustments (Income Statement rows 72-75) are an assumption based on supplied CapIQ history (normalized = GAAP for 1Q25-2Q26, incl. $30M 2Q25 license revenue); not verified for 3Q26 contributors. Matched-basis validation required before win/loss scoring.</t>
  </si>
  <si>
    <t>Information cutoff</t>
  </si>
  <si>
    <t>2026-10-04 22:22 UTC</t>
  </si>
  <si>
    <t>Expected report date</t>
  </si>
  <si>
    <t>2026-10-09 (tentative; not issuer-confirmed)</t>
  </si>
  <si>
    <t>3Q26E: quarter ended 31-Aug-2026 (92 days)</t>
  </si>
  <si>
    <t>Market cap at cutoff ($M)</t>
  </si>
  <si>
    <t>Size bucket / S&amp;P 500 member</t>
  </si>
  <si>
    <t>Headline: 3Q26E</t>
  </si>
  <si>
    <t>Shortcut estimate</t>
  </si>
  <si>
    <t>Consensus at cutoff (CapIQ, 4-Oct-26)</t>
  </si>
  <si>
    <t>Variance</t>
  </si>
  <si>
    <t>Variance %</t>
  </si>
  <si>
    <t>Guidance midpoint</t>
  </si>
  <si>
    <t>Est. vs guidance</t>
  </si>
  <si>
    <t>Revenue ($M)</t>
  </si>
  <si>
    <t>Revenue includes the $700M Roche upfront at 100% point-in-time: selected base case (user decision 4-Oct-26), a judgmental assumption, not verified accounting. See Revenue summary!J101; over-time downside EPS in C44.</t>
  </si>
  <si>
    <t>Net income ($M)</t>
  </si>
  <si>
    <t>Normalized diluted EPS ($) - assumed consensus basis</t>
  </si>
  <si>
    <t>Frozen CapIQ 4-Oct-26 normalized mean $5.11 retained unchanged. Contributor basis is unreconciled (GAAP mean $3.09; revenue low $25M; 14 covering vs source note '3 of 13'). Comparison pending matched-basis confirmation before win/loss scoring. GAAP row 29 is not the scoring baseline.</t>
  </si>
  <si>
    <t>GAAP diluted EPS ($)</t>
  </si>
  <si>
    <t>Forecast (3Q26E) identities: cover links, BS balance, cash &amp; deferred-revenue roll (by construction; not accounting validation)</t>
  </si>
  <si>
    <t>Historical tie-out to reported data (columns C:G)</t>
  </si>
  <si>
    <t>C31 tests only historical columns C:G: genuine ties where memo data exist; blank/n.a. memos (RS C94:E94, IS D67, IS E78) default to 0 and are not tested, and some 4Q25 memos are FY less 9M derivations. Forecast checks (C30 and H-column check rows) are model identities or blank-memo checks that return 0 by construction; not evidence that 3Q26 accounting assumptions are correct.</t>
  </si>
  <si>
    <t>P(beat consensus EPS)</t>
  </si>
  <si>
    <t>P(beat) 0.35 is the original judgmental probability, not re-estimated. The $5.30 base case is conditional on 100% point-in-time recognition; the original rationale assigned ~40% to over-time accounting (EPS about -$0.51) plus deferral/tax downside, so P(beat) &lt; 0.5 despite base &gt; consensus. The user selected the base case, not a new probability.</t>
  </si>
  <si>
    <t>Confidence</t>
  </si>
  <si>
    <t>Consensus detail at cutoff (S&amp;P Capital IQ snapshot, 4-Oct-2026)</t>
  </si>
  <si>
    <t>Normalized EPS: mean / median</t>
  </si>
  <si>
    <t>Normalized EPS: high / low</t>
  </si>
  <si>
    <t>Normalized EPS contributors (eps_normalized_n_est) / analysts covering</t>
  </si>
  <si>
    <t>Revenue ($M): mean / median</t>
  </si>
  <si>
    <t>Revenue ($M): high / low</t>
  </si>
  <si>
    <t>GAAP EPS: mean / low</t>
  </si>
  <si>
    <t>Other aggregator revenue ($M; MarketBeat, 1-Oct-26) - not scoring baseline</t>
  </si>
  <si>
    <t>Other aggregator EPS ($; MarketBeat, 1-Oct-26) - not scoring baseline</t>
  </si>
  <si>
    <t>Downside EPS if upfront is recognized over time ($)</t>
  </si>
  <si>
    <t>Starting P(beat) from size prior + history (playbook v2)</t>
  </si>
  <si>
    <t>Revenue summary and drivers</t>
  </si>
  <si>
    <t>Period</t>
  </si>
  <si>
    <t>3Q25A</t>
  </si>
  <si>
    <t>4Q25A</t>
  </si>
  <si>
    <t>FY25A</t>
  </si>
  <si>
    <t>1Q26A</t>
  </si>
  <si>
    <t>2Q26A</t>
  </si>
  <si>
    <t>Collaboration revenue by partner (cost-based input method; milestones recognized when achieved)</t>
  </si>
  <si>
    <t>Gilead collaboration revenue</t>
  </si>
  <si>
    <t>% Y/Y</t>
  </si>
  <si>
    <t>n.a.</t>
  </si>
  <si>
    <t>% Q/Q</t>
  </si>
  <si>
    <t>Abs. sequential change ($M)</t>
  </si>
  <si>
    <t>% of total revenue</t>
  </si>
  <si>
    <t>M&amp;A / scope contribution (not disclosed)</t>
  </si>
  <si>
    <t>FX impact (not disclosed)</t>
  </si>
  <si>
    <t>Organic growth = (1+Y/Y)/((1+M&amp;A)x(1+FX))-1</t>
  </si>
  <si>
    <t>Sanofi collaboration revenue</t>
  </si>
  <si>
    <t>Pfizer (ex-Seagen) collaboration revenue</t>
  </si>
  <si>
    <t>Roche collaboration revenue (over-time portion of upfront)</t>
  </si>
  <si>
    <t>Collaboration revenue</t>
  </si>
  <si>
    <t>Prior-year quarter collaboration revenue (memo)</t>
  </si>
  <si>
    <t>Collaboration revenue as reported (memo)</t>
  </si>
  <si>
    <t>Check: partners sum to reported collaboration revenue (= 0)</t>
  </si>
  <si>
    <t>License revenue (point-in-time recognition of distinct licenses)</t>
  </si>
  <si>
    <t>Sanofi license extension fees</t>
  </si>
  <si>
    <t>Roche bexobrutideg license (upfront x % point-in-time)</t>
  </si>
  <si>
    <t>License revenue</t>
  </si>
  <si>
    <t>Prior-year quarter license revenue (memo)</t>
  </si>
  <si>
    <t>Historical zeros source-confirmed: FY24 license revenue $0 (S05 10-K R5); 3Q24 and 9M FY24 license revenue nil (S06 10-Q: no license revenue for nine months ended 31-Aug-24), so 4Q24 = 0; 1Q25 = 0 (Sanofi licenses transferred in 2Q FY25, S05 Note).</t>
  </si>
  <si>
    <t>License revenue as reported (memo)</t>
  </si>
  <si>
    <t>Check: license lines sum to reported license revenue (= 0)</t>
  </si>
  <si>
    <t>Total revenue</t>
  </si>
  <si>
    <t>Prior-year quarter total revenue (memo)</t>
  </si>
  <si>
    <t>CapIQ revenue actual (memo, NRIX_history.csv)</t>
  </si>
  <si>
    <t>CapIQ revenue actual, prior-year quarter (memo, NRIX_history.csv)</t>
  </si>
  <si>
    <t>Check: prior-year memo vs CapIQ, rounded to $0.01M (= 0)</t>
  </si>
  <si>
    <t>Check: model vs CapIQ revenue actual, rounded to $0.01M (= 0)</t>
  </si>
  <si>
    <t>Check: collaboration + license = total revenue as reported (= 0)</t>
  </si>
  <si>
    <t>Forecast drivers — partner economics, 3Q26E</t>
  </si>
  <si>
    <t>Roche upfront payment, contractual ($M)</t>
  </si>
  <si>
    <t>% of upfront allocated to license, recognized at point in time (base case)</t>
  </si>
  <si>
    <t>SELECTED BASE CASE (user decision 4-Oct-26; judgmental, not verified accounting): 100% of the $700M upfront recognized at a point in time on the 21-Jul-26 effective date. Support: Nurix recognizes distinct functional-IP licenses when control transfers; prior license fees were point-in-time (Gilead $20M FY23; Sanofi $30M 2Q FY25; S05). Unverified: deal-specific ASC 606/808 allocation (agreement to be filed with 3Q26 10-Q; S07). Cash timing (IS!H93) affects interest only, not revenue. ~$0.60 EPS per 10pp over time; break-even ~3.2pp; downside Income Statement!H104.</t>
  </si>
  <si>
    <t>Change (bp) - n.a.: new agreement, no prior period</t>
  </si>
  <si>
    <t>Upfront allocated to deferred revenue (contract liability)</t>
  </si>
  <si>
    <t>% of deferred upfront recognized in quarter (over-time portion)</t>
  </si>
  <si>
    <t>Sanofi STAT6 Phase 1 milestone (4-Aug-2026)</t>
  </si>
  <si>
    <t>Source-supported (audit F07): S03 10-Q 2Q FY26 states no Sanofi deferred revenue at 31-May-26 and all performance obligations satisfied; milestones added to the transaction price are recorded as a cumulative effect in that period. Full $10M recognition on achievement (4-Aug-26) retained.</t>
  </si>
  <si>
    <t>Sanofi other collaboration revenue</t>
  </si>
  <si>
    <t>Pfizer revenue recognized from deferred balance</t>
  </si>
  <si>
    <t>Gilead revenue recognized from deferred balance</t>
  </si>
  <si>
    <t>Source-supported (R2 audit F06 rejected): S03 10-Q Note 3 states Gilead deferred revenue at 31-May-26 was $0.2 million, all current. $0.2M is the full remaining Gilead balance; the 2Q26 run-rate is not used.</t>
  </si>
  <si>
    <t>Deferred revenue ladder (contract liabilities)</t>
  </si>
  <si>
    <t>Opening deferred revenue</t>
  </si>
  <si>
    <t>Net change in deferred revenue</t>
  </si>
  <si>
    <t>Y/Y change ($M)</t>
  </si>
  <si>
    <t>Closing deferred revenue</t>
  </si>
  <si>
    <t>Deferred revenue per Balance Sheet (current + non-current)</t>
  </si>
  <si>
    <t>Check: ladder closing = Balance Sheet (= 0)</t>
  </si>
  <si>
    <t>Average deferred revenue</t>
  </si>
  <si>
    <t>Billings (revenue + change in deferred revenue)</t>
  </si>
  <si>
    <t>Deferred revenue burn-off rate (-change / opening)</t>
  </si>
  <si>
    <t>Change in burn-off rate (bp, Q/Q)</t>
  </si>
  <si>
    <t>Segment &amp; geography: Nurix reports a single operating segment (FY25 10-K, Segment Information); revenue by geography is not disclosed — partners: Gilead &amp; Pfizer (US), Sanofi (France), Roche (Switzerland). No Segment or Geo tabs.</t>
  </si>
  <si>
    <t>Income Statement</t>
  </si>
  <si>
    <t>Revenue</t>
  </si>
  <si>
    <t>Operating expenses</t>
  </si>
  <si>
    <t>R&amp;D external clinical - bexobrutideg (NX-5948)</t>
  </si>
  <si>
    <t>R&amp;D external clinical - zelebrudomide (NX-2127)</t>
  </si>
  <si>
    <t>R&amp;D external clinical - NX-1607</t>
  </si>
  <si>
    <t>R&amp;D internal (personnel, research, facilities)</t>
  </si>
  <si>
    <t>R&amp;D before Roche cost share</t>
  </si>
  <si>
    <t>Roche share of bexobrutideg development costs (net)</t>
  </si>
  <si>
    <t>Research and development</t>
  </si>
  <si>
    <t>R&amp;D as reported (memo)</t>
  </si>
  <si>
    <t>Check: R&amp;D components = reported (= 0)</t>
  </si>
  <si>
    <t>G&amp;A - run-rate</t>
  </si>
  <si>
    <t>G&amp;A - Roche transaction costs (estimate)</t>
  </si>
  <si>
    <t>General and administrative</t>
  </si>
  <si>
    <t>Total operating expenses</t>
  </si>
  <si>
    <t>Income (loss) from operations</t>
  </si>
  <si>
    <t>Operating margin (n.m. where |margin| &gt; 100%)</t>
  </si>
  <si>
    <t>Change in operating margin (bp, Q/Q)</t>
  </si>
  <si>
    <t>Interest and other income, net</t>
  </si>
  <si>
    <t>Income (loss) before income taxes</t>
  </si>
  <si>
    <t>Provision for (benefit from) income taxes</t>
  </si>
  <si>
    <t>Effective tax rate</t>
  </si>
  <si>
    <t>Change in effective tax rate (bp, Q/Q)</t>
  </si>
  <si>
    <t>Net income (loss)</t>
  </si>
  <si>
    <t>Net margin (n.m. where |margin| &gt; 100%)</t>
  </si>
  <si>
    <t>Change in net margin (bp, Q/Q)</t>
  </si>
  <si>
    <t>Net income (loss) as reported (memo)</t>
  </si>
  <si>
    <t>Check: net income = reported (= 0)</t>
  </si>
  <si>
    <t>Per share (GAAP)</t>
  </si>
  <si>
    <t>Weighted average shares - basic (m)</t>
  </si>
  <si>
    <t>Weighted average shares - diluted (m)</t>
  </si>
  <si>
    <t>EPS - basic</t>
  </si>
  <si>
    <t>EPS - diluted (GAAP)</t>
  </si>
  <si>
    <t>Abs. sequential change ($)</t>
  </si>
  <si>
    <t>Diluted EPS as reported (memo)</t>
  </si>
  <si>
    <t>Check: EPS = net income / diluted shares vs reported (= 0)</t>
  </si>
  <si>
    <t>GAAP to normalized bridge (assumed CapIQ basis: zero adjustments per history; match pending)</t>
  </si>
  <si>
    <t>GAAP net income (loss)</t>
  </si>
  <si>
    <t>Adj. 1: Roche upfront license revenue - not excluded (operating revenue)</t>
  </si>
  <si>
    <t>Adj. 2: Roche transaction costs - not excluded (not separately reported)</t>
  </si>
  <si>
    <t>Adj. 3: stock-based compensation - not excluded on CapIQ normalized basis</t>
  </si>
  <si>
    <t>Adj. 4: tax effect of adjustments</t>
  </si>
  <si>
    <t>Normalized net income (loss)</t>
  </si>
  <si>
    <t>Normalized diluted EPS (assumed consensus basis)</t>
  </si>
  <si>
    <t>CapIQ normalized EPS actual (memo, NRIX_history.csv)</t>
  </si>
  <si>
    <t>Check: model normalized EPS vs CapIQ actual (= 0)</t>
  </si>
  <si>
    <t>Forecast drivers, 3Q26E</t>
  </si>
  <si>
    <t>Roche agreement effective date</t>
  </si>
  <si>
    <t>Days of cost sharing in quarter</t>
  </si>
  <si>
    <t>Share of internal R&amp;D attributable to bexobrutideg (assumption)</t>
  </si>
  <si>
    <t>Change (bp) - n.a.: new cost-share driver, no prior period</t>
  </si>
  <si>
    <t>Roche share of global development costs</t>
  </si>
  <si>
    <t>Change (bp) - n.a.: contractual, no prior period</t>
  </si>
  <si>
    <t>Bexobrutideg development cost base in quarter</t>
  </si>
  <si>
    <t>Nurix 40% share of Roche-incurred development costs (assumption)</t>
  </si>
  <si>
    <t>Opening cash, equivalents &amp; marketable securities</t>
  </si>
  <si>
    <t>Annualized yield on cash &amp; securities (3Q26E held at 2Q26 level)</t>
  </si>
  <si>
    <t>Change in yield (bp, Q/Q)</t>
  </si>
  <si>
    <t>Days Roche upfront held in quarter (assumption: paid ~20-Aug-2026)</t>
  </si>
  <si>
    <t>Interest and other income forecast</t>
  </si>
  <si>
    <t>Effective tax rate on 3Q26 pretax income (assumption)</t>
  </si>
  <si>
    <t>ASSUMED RATE (original judgment, not a verified tax bridge): 1.6% reflects expected use of disclosed federal NOLs ($323.4M) and research credits ($60.5M), with mainly state tax (S05 10-K R56). Full valuation allowance retained; 2Q26 $0.271M benefit was a one-off California FTB settlement (S03). No annual/current/deferred ETR reconciliation or NOL-limitation analysis is available. Break-even vs $5.11 about 5.2%.</t>
  </si>
  <si>
    <t>Change vs 2Q26 effective tax rate (bp)</t>
  </si>
  <si>
    <t>Scenario memo: upfront recognized over time instead (downside)</t>
  </si>
  <si>
    <t>Share of $700M upfront recognized in 3Q26 under over-time treatment</t>
  </si>
  <si>
    <t>Change (bp) - n.a.: scenario assumption, no prior period</t>
  </si>
  <si>
    <t>Pretax income (loss) - downside</t>
  </si>
  <si>
    <t>Tax - downside</t>
  </si>
  <si>
    <t>Net income (loss) - downside</t>
  </si>
  <si>
    <t>Diluted EPS - downside</t>
  </si>
  <si>
    <t>Balance Sheet</t>
  </si>
  <si>
    <t>Assets</t>
  </si>
  <si>
    <t>Cash and cash equivalents</t>
  </si>
  <si>
    <t>Marketable securities</t>
  </si>
  <si>
    <t>Prepaid expenses and other current assets (3Q26E incl. partner receivables, CF row 17)</t>
  </si>
  <si>
    <t>Total current assets</t>
  </si>
  <si>
    <t>Operating lease right-of-use assets</t>
  </si>
  <si>
    <t>Property and equipment, net</t>
  </si>
  <si>
    <t>Restricted cash</t>
  </si>
  <si>
    <t>Other assets</t>
  </si>
  <si>
    <t>Total assets</t>
  </si>
  <si>
    <t>Liabilities</t>
  </si>
  <si>
    <t>Accounts payable</t>
  </si>
  <si>
    <t>Accrued expenses and other current liabilities</t>
  </si>
  <si>
    <t>Operating lease liabilities, current</t>
  </si>
  <si>
    <t>Deferred revenue, current</t>
  </si>
  <si>
    <t>Total current liabilities</t>
  </si>
  <si>
    <t>Operating lease liabilities, net of current portion</t>
  </si>
  <si>
    <t>Deferred revenue, net of current portion</t>
  </si>
  <si>
    <t>Total liabilities</t>
  </si>
  <si>
    <t>Stockholders' equity</t>
  </si>
  <si>
    <t>Common stock, $0.001 par</t>
  </si>
  <si>
    <t>Additional paid-in capital</t>
  </si>
  <si>
    <t>Accumulated other comprehensive income (loss)</t>
  </si>
  <si>
    <t>Accumulated deficit</t>
  </si>
  <si>
    <t>Total stockholders' equity</t>
  </si>
  <si>
    <t>Total liabilities and stockholders' equity</t>
  </si>
  <si>
    <t>Check: assets - liabilities - equity (= 0)</t>
  </si>
  <si>
    <t>Memo</t>
  </si>
  <si>
    <t>Cash, cash equivalents &amp; marketable securities</t>
  </si>
  <si>
    <t>Cash, cash equivalents &amp; restricted cash (ties to Cash Flow)</t>
  </si>
  <si>
    <t>Deferred revenue, total</t>
  </si>
  <si>
    <t>Debt (none outstanding)</t>
  </si>
  <si>
    <t>Cash Flow Statement</t>
  </si>
  <si>
    <t>Operating activities</t>
  </si>
  <si>
    <t>Depreciation and amortization</t>
  </si>
  <si>
    <t>Stock-based compensation</t>
  </si>
  <si>
    <t>Net accretion of discount on marketable securities</t>
  </si>
  <si>
    <t>Loss on disposal of property and equipment</t>
  </si>
  <si>
    <t>Amortization of operating lease ROU assets</t>
  </si>
  <si>
    <t>Accounts receivable</t>
  </si>
  <si>
    <t>Prepaid expenses and other assets</t>
  </si>
  <si>
    <t>Deferred revenue</t>
  </si>
  <si>
    <t>Operating lease liabilities</t>
  </si>
  <si>
    <t>Accrued expenses and other current liabilities (incl. tax payable)</t>
  </si>
  <si>
    <t>Net cash from operating activities</t>
  </si>
  <si>
    <t>Investing activities</t>
  </si>
  <si>
    <t>Purchases of marketable securities</t>
  </si>
  <si>
    <t>Maturities of marketable securities</t>
  </si>
  <si>
    <t>Purchases of property and equipment</t>
  </si>
  <si>
    <t>Net cash from investing activities</t>
  </si>
  <si>
    <t>Financing activities</t>
  </si>
  <si>
    <t>Proceeds from exercise of stock options</t>
  </si>
  <si>
    <t>Proceeds from employee stock purchase plan</t>
  </si>
  <si>
    <t>Underwritten / registered direct offerings, net</t>
  </si>
  <si>
    <t>At-the-market offerings, net</t>
  </si>
  <si>
    <t>Net cash from financing activities</t>
  </si>
  <si>
    <t>Net change in cash, equivalents &amp; restricted cash</t>
  </si>
  <si>
    <t>Beginning cash, equivalents &amp; restricted cash</t>
  </si>
  <si>
    <t>Ending cash, equivalents &amp; restricted cash</t>
  </si>
  <si>
    <t>Balance Sheet cash + restricted cash</t>
  </si>
  <si>
    <t>Check: change in cash ties to Balance Sheet (= 0)</t>
  </si>
  <si>
    <t>Memo: operating cash flow less capex</t>
  </si>
  <si>
    <t>Share Count</t>
  </si>
  <si>
    <t>Shares in millions; $ where noted</t>
  </si>
  <si>
    <t>Shares outstanding (millions)</t>
  </si>
  <si>
    <t>Common shares outstanding, period end</t>
  </si>
  <si>
    <t>Pre-funded warrants outstanding, period end ($0.001 strike)</t>
  </si>
  <si>
    <t>Basic share base (common + pre-funded warrants)</t>
  </si>
  <si>
    <t>Issued: underwritten / registered direct offering</t>
  </si>
  <si>
    <t>Issued: at-the-market offering</t>
  </si>
  <si>
    <t>Issued: options, RSU vesting &amp; ESPP (derived)</t>
  </si>
  <si>
    <t>Repurchased (no buyback programme; none in cash flows)</t>
  </si>
  <si>
    <t>Weighted average shares (millions)</t>
  </si>
  <si>
    <t>Mid-period weighting of in-quarter issuance (assumption)</t>
  </si>
  <si>
    <t>Change (bp) - n.a.: convention, no prior period</t>
  </si>
  <si>
    <t>Weighted average shares - basic</t>
  </si>
  <si>
    <t>Y/Y change (m)</t>
  </si>
  <si>
    <t>Abs. sequential change (m)</t>
  </si>
  <si>
    <t>Dilution - treasury stock method (3Q26E; historical periods anti-dilutive)</t>
  </si>
  <si>
    <t>Options outstanding (31-May-2026)</t>
  </si>
  <si>
    <t>Options weighted-average exercise price ($)</t>
  </si>
  <si>
    <t>RSUs outstanding (31-May-2026)</t>
  </si>
  <si>
    <t>Unrecognized stock compensation ($M, 31-May-2026)</t>
  </si>
  <si>
    <t>Average NRIX share price, Jun-Aug 2026 ($, assumption)</t>
  </si>
  <si>
    <t>Incremental shares from options</t>
  </si>
  <si>
    <t>Incremental shares from RSUs</t>
  </si>
  <si>
    <t>Less: shares repurchased with unrecognized compensation</t>
  </si>
  <si>
    <t>Net incremental dilutive shares</t>
  </si>
  <si>
    <t>Weighted average shares - diluted</t>
  </si>
  <si>
    <t>Share count behind forecast EPS (diluted)</t>
  </si>
  <si>
    <t>Dilution vs basic</t>
  </si>
  <si>
    <t>Change in dilution (bp, Q/Q)</t>
  </si>
  <si>
    <t>Guidance</t>
  </si>
  <si>
    <t>Guidance item</t>
  </si>
  <si>
    <t>Date given</t>
  </si>
  <si>
    <t>Low</t>
  </si>
  <si>
    <t>High</t>
  </si>
  <si>
    <t>Midpoint</t>
  </si>
  <si>
    <t>Actual</t>
  </si>
  <si>
    <t>Beat / miss</t>
  </si>
  <si>
    <t>Roche upfront cash payment to be received ($M)</t>
  </si>
  <si>
    <t>3Q26</t>
  </si>
  <si>
    <t>Pending (reported with 3Q26 results)</t>
  </si>
  <si>
    <t>Pro forma cash, equivalents &amp; securities incl. Roche upfront ($M)</t>
  </si>
  <si>
    <t>2Q26 PF</t>
  </si>
  <si>
    <t>Roche agreement effectiveness (expected in 3Q26)</t>
  </si>
  <si>
    <t>Met (HSR cleared, closed 21-Jul-26)</t>
  </si>
  <si>
    <t>Revenue guidance ($M)</t>
  </si>
  <si>
    <t>none</t>
  </si>
  <si>
    <t>Not provided</t>
  </si>
  <si>
    <t>Net income guidance ($M)</t>
  </si>
  <si>
    <t>EPS guidance ($)</t>
  </si>
  <si>
    <t>Sanofi STAT6 Phase 1 milestone earned ($M) - event, not guidance</t>
  </si>
  <si>
    <t>Pending</t>
  </si>
  <si>
    <t>Sources</t>
  </si>
  <si>
    <t>Source</t>
  </si>
  <si>
    <t>ID</t>
  </si>
  <si>
    <t>Published</t>
  </si>
  <si>
    <t>Retrieved (UTC)</t>
  </si>
  <si>
    <t>Publisher</t>
  </si>
  <si>
    <t>Feeds</t>
  </si>
  <si>
    <t>URL or file</t>
  </si>
  <si>
    <t>NRIX_history.csv (S&amp;P Capital IQ history, 6 quarters)</t>
  </si>
  <si>
    <t>S01</t>
  </si>
  <si>
    <t>2026-10-04</t>
  </si>
  <si>
    <t>S&amp;P Capital IQ (supplied)</t>
  </si>
  <si>
    <t>Inputs A; RS, IS memo; prior</t>
  </si>
  <si>
    <t>file: workspace/NRIX_history.csv</t>
  </si>
  <si>
    <t>NRIX_consensus.json (S&amp;P Capital IQ consensus snapshot)</t>
  </si>
  <si>
    <t>S02</t>
  </si>
  <si>
    <t>Inputs B/C; Cover</t>
  </si>
  <si>
    <t>file: workspace/NRIX_consensus.json</t>
  </si>
  <si>
    <t>Form 10-Q, quarter ended 31-May-2026 (2Q FY26)</t>
  </si>
  <si>
    <t>S03</t>
  </si>
  <si>
    <t>2026-07-09</t>
  </si>
  <si>
    <t>2026-10-05</t>
  </si>
  <si>
    <t>Nurix / SEC EDGAR</t>
  </si>
  <si>
    <t>IS, BS, CF, SC, RS 2Q26</t>
  </si>
  <si>
    <t>https://www.sec.gov/Archives/edgar/data/1549595/000154959526000040/nrix-20260531.htm</t>
  </si>
  <si>
    <t>Form 10-Q, quarter ended 28-Feb-2026 (1Q FY26)</t>
  </si>
  <si>
    <t>S04</t>
  </si>
  <si>
    <t>2026-04-08</t>
  </si>
  <si>
    <t>IS, BS, CF, SC, RS 1Q26</t>
  </si>
  <si>
    <t>https://www.sec.gov/Archives/edgar/data/1549595/000154959526000025/nrix-20260228.htm</t>
  </si>
  <si>
    <t>Form 10-K, fiscal year ended 30-Nov-2025 (XBRL R3, R5, R9, R12, R56, R60, R66)</t>
  </si>
  <si>
    <t>S05</t>
  </si>
  <si>
    <t>2026-01-28</t>
  </si>
  <si>
    <t>FY25 column; 4Q25 derivation; tax</t>
  </si>
  <si>
    <t>https://www.sec.gov/Archives/edgar/data/1549595/000154959526000016/R5.htm</t>
  </si>
  <si>
    <t>Form 10-Q, quarter ended 31-Aug-2025 (3Q FY25)</t>
  </si>
  <si>
    <t>S06</t>
  </si>
  <si>
    <t>2025-10-09</t>
  </si>
  <si>
    <t>3Q25 column; 9M FY25 extracts</t>
  </si>
  <si>
    <t>https://www.sec.gov/Archives/edgar/data/1549595/000154959525000113/nrix-20250831.htm</t>
  </si>
  <si>
    <t>Form 8-K: Roche License and Collaboration Agreement</t>
  </si>
  <si>
    <t>S07</t>
  </si>
  <si>
    <t>2026-06-08</t>
  </si>
  <si>
    <t>RS Roche drivers; IS cost share</t>
  </si>
  <si>
    <t>https://www.sec.gov/Archives/edgar/data/1549595/000154959526000030/nrix-20260606.htm</t>
  </si>
  <si>
    <t>PR: HSR clearance and closing of Roche collaboration</t>
  </si>
  <si>
    <t>S08</t>
  </si>
  <si>
    <t>2026-07-21</t>
  </si>
  <si>
    <t>Nurix (GlobeNewswire)</t>
  </si>
  <si>
    <t>RS, IS effective date</t>
  </si>
  <si>
    <t>https://ir.nurixtx.com/news-releases/news-release-details/nurix-therapeutics-announces-hsr-clearance-global-collaboration</t>
  </si>
  <si>
    <t>PR: Second quarter 2026 financial results (8-K Ex. 99.1)</t>
  </si>
  <si>
    <t>S09</t>
  </si>
  <si>
    <t>Guidance; RS timing</t>
  </si>
  <si>
    <t>https://www.sec.gov/Archives/edgar/data/1549595/000154959526000038/nrix-20260709xexx991.htm</t>
  </si>
  <si>
    <t>PR: $10M milestone on Sanofi STAT6 degrader Phase 1 initiation</t>
  </si>
  <si>
    <t>S10</t>
  </si>
  <si>
    <t>2026-08-04</t>
  </si>
  <si>
    <t>RS Sanofi 3Q26</t>
  </si>
  <si>
    <t>https://www.globenewswire.com/news-release/2026/08/04/3338158/0/en/nurix-announces-10-million-milestone-payment-associated-with-initiation-of-a-phase-1-clinical-trial-of-a-stat6-degrader.html</t>
  </si>
  <si>
    <t>PR: $7M research milestone under Pfizer collaboration (4Q26 event)</t>
  </si>
  <si>
    <t>S11</t>
  </si>
  <si>
    <t>2026-09-29</t>
  </si>
  <si>
    <t>RS Pfizer note</t>
  </si>
  <si>
    <t>https://www.globenewswire.com/news-release/2026/09/29/3370668/0/en/nurix-therapeutics-announces-achievement-of-7-million-milestone-under-strategic-collaboration-with-pfizer.html</t>
  </si>
  <si>
    <t>Transcript: Wells Fargo Healthcare Conference fireside</t>
  </si>
  <si>
    <t>S12</t>
  </si>
  <si>
    <t>2026-09-08</t>
  </si>
  <si>
    <t>Investing.com</t>
  </si>
  <si>
    <t>Qualitative (cost share)</t>
  </si>
  <si>
    <t>https://www.investing.com/news/transcripts/nurix-therapeutics-at-wells-fargo-conference-pipeline-deal-momentum-93CH-4892295</t>
  </si>
  <si>
    <t>Transcript: H.C. Wainwright Global Investment Conference</t>
  </si>
  <si>
    <t>S13</t>
  </si>
  <si>
    <t>2026-09-14</t>
  </si>
  <si>
    <t>StockAnalysis</t>
  </si>
  <si>
    <t>Qualitative</t>
  </si>
  <si>
    <t>https://stockanalysis.com/stocks/nrix/transcripts/751758-h-c-wainwright-28th-annual-global-investment-conference/</t>
  </si>
  <si>
    <t>Transcript: Morgan Stanley Global Healthcare Conference</t>
  </si>
  <si>
    <t>S14</t>
  </si>
  <si>
    <t>2026-09-16</t>
  </si>
  <si>
    <t>IS interest timing</t>
  </si>
  <si>
    <t>https://stockanalysis.com/stocks/nrix/transcripts/745257-morgan-stanley-24th-annual-global-healthcare-conference/</t>
  </si>
  <si>
    <t>Market cap $2.39B as of 4-Oct-2026 (price $22.99, 2-Oct-2026)</t>
  </si>
  <si>
    <t>S15</t>
  </si>
  <si>
    <t>MarketCapLens</t>
  </si>
  <si>
    <t>Inputs F; Cover</t>
  </si>
  <si>
    <t>https://www.marketcaplens.com/company/NRIX</t>
  </si>
  <si>
    <t>Earnings preview: 3Q26 EPS est. ($0.60), revenue $24.35M</t>
  </si>
  <si>
    <t>S16</t>
  </si>
  <si>
    <t>2026-10-01</t>
  </si>
  <si>
    <t>MarketBeat</t>
  </si>
  <si>
    <t>Cover other aggregator</t>
  </si>
  <si>
    <t>https://www.marketbeat.com/instant-alerts/upcoming-nurix-therapeutics-nrix-projected-to-post-earnings-on-thursday-2026-10-01/</t>
  </si>
  <si>
    <t>NRIX Q3'26 revenue estimate $24.35M, EPS ($0.60)</t>
  </si>
  <si>
    <t>S17</t>
  </si>
  <si>
    <t>n.a. (undated page)</t>
  </si>
  <si>
    <t>TradingView News</t>
  </si>
  <si>
    <t>Cover note</t>
  </si>
  <si>
    <t>https://www.tradingview.com/news/tradingview:41a85c8dd813c:0-nrix-q3-26-earnings-revenue-estimate-is-24-35m-usd/</t>
  </si>
  <si>
    <t>NRIX daily/monthly price history (Jun-Oct 2026)</t>
  </si>
  <si>
    <t>S18</t>
  </si>
  <si>
    <t>2026-10-02</t>
  </si>
  <si>
    <t>Yahoo Finance / Digrin / StockAnalysis</t>
  </si>
  <si>
    <t>SC average price</t>
  </si>
  <si>
    <t>https://beta.finance.yahoo.com/quote/NRIX/history/</t>
  </si>
  <si>
    <t>Precedent: Sage recognized $875M Biogen upfront as 4Q20 revenue (point in time)</t>
  </si>
  <si>
    <t>S19</t>
  </si>
  <si>
    <t>2021-02-24</t>
  </si>
  <si>
    <t>Sage Therapeutics / SEC EDGAR</t>
  </si>
  <si>
    <t>RS PIT judgment</t>
  </si>
  <si>
    <t>https://www.sec.gov/Archives/edgar/data/1597553/000119312521053319/d138718dex991.htm</t>
  </si>
  <si>
    <t>Precedent: Kura Oncology - Kyowa Kirin upfront recognized over time</t>
  </si>
  <si>
    <t>S20</t>
  </si>
  <si>
    <t>2026 (10-Q)</t>
  </si>
  <si>
    <t>Kura Oncology / SEC EDGAR</t>
  </si>
  <si>
    <t>Downside scenario</t>
  </si>
  <si>
    <t>https://www.sec.gov/Archives/edgar/data/1422143/000119312526346884/R15.htm</t>
  </si>
  <si>
    <t>Precedent: iTeos - GSK $625M upfront, $344.8M recognized in 2021</t>
  </si>
  <si>
    <t>S21</t>
  </si>
  <si>
    <t>2022-07 (CORRESP)</t>
  </si>
  <si>
    <t>iTeos / SEC EDGAR</t>
  </si>
  <si>
    <t>https://www.sec.gov/Archives/edgar/data/1808865/000095017022017136/filename1.htm</t>
  </si>
  <si>
    <t>Precedent: Arvinas - Pfizer $650M upfront deferred, recognized over time</t>
  </si>
  <si>
    <t>S22</t>
  </si>
  <si>
    <t>Arvinas / SEC EDGAR</t>
  </si>
  <si>
    <t>https://www.sec.gov/Archives/edgar/data/1655759/000162828026033669/R25.htm</t>
  </si>
  <si>
    <t>Goodwin advises Nurix on Roche collaboration</t>
  </si>
  <si>
    <t>S23</t>
  </si>
  <si>
    <t>2026-06-09</t>
  </si>
  <si>
    <t>Goodwin Procter</t>
  </si>
  <si>
    <t>IS G&amp;A deal cost note</t>
  </si>
  <si>
    <t>https://www.goodwinlaw.com/en/news-and-events/news/2026/06/announcements-lifesciences-goodwin-advises-nurix-therapeutics-on-global-collaboration-with-roche</t>
  </si>
  <si>
    <t>Roche media release on Nurix collaboration</t>
  </si>
  <si>
    <t>S24</t>
  </si>
  <si>
    <t>Roche</t>
  </si>
  <si>
    <t>RS deal terms</t>
  </si>
  <si>
    <t>https://www.roche.com/media/releases/med-cor-2026-06-08</t>
  </si>
  <si>
    <t>Omitted tabs: Geo - revenue by geography not disclosed (FY25 10-K S05, Segment Information: single segment). Segment tabs - single reportable segment (S05). Drivers live on Revenue summary.</t>
  </si>
  <si>
    <t>Retrieval note: web sources retrieved 2026-10-05 (supplied CapIQ files S01/S02: 4-Oct-2026, date precision only; no timestamped snapshot). Publication dates are as shown by each source: S17 is undated and S20/S22 are year-only, so their pre-cutoff status is not timestamp-verified. No 3Q26 actual results were seen.</t>
  </si>
  <si>
    <t>Inputs (raw CapIQ files, filing extracts, prior calibration)</t>
  </si>
  <si>
    <t>A. S&amp;P Capital IQ history — NRIX_history.csv (6 rows x 8 columns, transposed: one CSV row per column C:H; values unchanged)</t>
  </si>
  <si>
    <t>CSV row number</t>
  </si>
  <si>
    <t>period_end_date</t>
  </si>
  <si>
    <t>2025-02-28</t>
  </si>
  <si>
    <t>2025-05-31</t>
  </si>
  <si>
    <t>2025-08-31</t>
  </si>
  <si>
    <t>2025-11-30</t>
  </si>
  <si>
    <t>2026-02-28</t>
  </si>
  <si>
    <t>2026-05-31</t>
  </si>
  <si>
    <t>report_date</t>
  </si>
  <si>
    <t>2025-04-08</t>
  </si>
  <si>
    <t>2025-07-09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</si>
  <si>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</si>
  <si>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</si>
  <si>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</si>
  <si>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</si>
  <si>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</si>
  <si>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</si>
  <si>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beat? (normalized actual &gt; normalized consensus; 1 = beat)</t>
  </si>
  <si>
    <t>Surprise, $ per share (normalized actual - consensus)</t>
  </si>
  <si>
    <t>B. S&amp;P Capital IQ consensus file — NRIX_consensus.json (top-level fields, raw)</t>
  </si>
  <si>
    <t>source</t>
  </si>
  <si>
    <t>S&amp;P Capital IQ</t>
  </si>
  <si>
    <t>ticker</t>
  </si>
  <si>
    <t>company</t>
  </si>
  <si>
    <t>fiscal_period</t>
  </si>
  <si>
    <t>Q3 FY2026</t>
  </si>
  <si>
    <t>2026-08-31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</si>
  <si>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</si>
  <si>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</si>
  <si>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</si>
  <si>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</si>
  <si>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</si>
  <si>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</si>
  <si>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</si>
  <si>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</si>
  <si>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</si>
  <si>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</si>
  <si>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</si>
  <si>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</si>
  <si>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</si>
  <si>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C. S&amp;P Capital IQ summary_row (all 70 fields, raw; blank = missing in source; target-price fields embedded but NOT used)</t>
  </si>
  <si>
    <t>company_name</t>
  </si>
  <si>
    <t>exchange_ticker</t>
  </si>
  <si>
    <t>NasdaqGM:NRIX</t>
  </si>
  <si>
    <t>capiq_company_id</t>
  </si>
  <si>
    <t>206907980</t>
  </si>
  <si>
    <t>sp500_member</t>
  </si>
  <si>
    <t>N</t>
  </si>
  <si>
    <t>market_cap_usd_m</t>
  </si>
  <si>
    <t>missing in source</t>
  </si>
  <si>
    <t>fiscal_quarter</t>
  </si>
  <si>
    <t>FQ3 2026 - Aug 2026</t>
  </si>
  <si>
    <t>quarter_end_date</t>
  </si>
  <si>
    <t>expected_report_date</t>
  </si>
  <si>
    <t>2026-10-09</t>
  </si>
  <si>
    <t>fiscal_year_end</t>
  </si>
  <si>
    <t>Nov-30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</si>
  <si>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</si>
  <si>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</si>
  <si>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</si>
  <si>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</si>
  <si>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</si>
  <si>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</si>
  <si>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</si>
  <si>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</si>
  <si>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</si>
  <si>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</si>
  <si>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</si>
  <si>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</si>
  <si>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</si>
  <si>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</si>
  <si>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</si>
  <si>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</si>
  <si>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</si>
  <si>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</si>
  <si>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</si>
  <si>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</si>
  <si>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</si>
  <si>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</si>
  <si>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</si>
  <si>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</si>
  <si>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</si>
  <si>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</si>
  <si>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</si>
  <si>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</si>
  <si>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</si>
  <si>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</si>
  <si>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</si>
  <si>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</si>
  <si>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</si>
  <si>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</si>
  <si>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</si>
  <si>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</si>
  <si>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</si>
  <si>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</si>
  <si>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</si>
  <si>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</si>
  <si>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</si>
  <si>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</si>
  <si>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</si>
  <si>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</si>
  <si>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</si>
  <si>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</si>
  <si>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</si>
  <si>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</si>
  <si>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not used (malformed ranges per instructions)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</si>
  <si>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</si>
  <si>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</si>
  <si>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</si>
  <si>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</si>
  <si>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</si>
  <si>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</si>
  <si>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</si>
  <si>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</si>
  <si>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</si>
  <si>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</si>
  <si>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</si>
  <si>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</si>
  <si>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</si>
  <si>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</si>
  <si>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TREAT WITH CARE. Only 3 of 13 contributors model this quarter and they expect a very large one-off (likely a partnership milestone): EPSn consensus swings from (0.81) actual last quarter to +5.11, and revenue consensus ranges 25.00 to 713.56. The following quarter reverts to (0.37). This is not a normal operating-quarter consensus and will behave as an extreme outlier in any scoring.</t>
  </si>
  <si>
    <t>D. SEC filing extracts used to derive discrete quarters ($ millions; as filed, thousands / 1,000)</t>
  </si>
  <si>
    <t>9M FY25 collaboration revenue (10-Q Q3 FY25)</t>
  </si>
  <si>
    <t>9M FY25 license revenue</t>
  </si>
  <si>
    <t>9M FY25 collaboration revenue - Gilead</t>
  </si>
  <si>
    <t>9M FY25 collaboration revenue - Sanofi</t>
  </si>
  <si>
    <t>9M FY25 collaboration revenue - Pfizer</t>
  </si>
  <si>
    <t>9M FY25 R&amp;D external - bexobrutideg</t>
  </si>
  <si>
    <t>9M FY25 R&amp;D external - zelebrudomide</t>
  </si>
  <si>
    <t>9M FY25 R&amp;D external - NX-1607</t>
  </si>
  <si>
    <t>9M FY25 R&amp;D internal</t>
  </si>
  <si>
    <t>9M FY25 research and development (reported)</t>
  </si>
  <si>
    <t>9M FY25 general and administrative</t>
  </si>
  <si>
    <t>9M FY25 interest and other income, net</t>
  </si>
  <si>
    <t>9M FY25 provision for income taxes</t>
  </si>
  <si>
    <t>9M FY25 net loss</t>
  </si>
  <si>
    <t>FY25 collaboration revenue (10-K)</t>
  </si>
  <si>
    <t>FY25 research and development (10-K)</t>
  </si>
  <si>
    <t>FY25 net loss (10-K)</t>
  </si>
  <si>
    <t>FY25 collaboration revenue - Sanofi (10-K Note 3)</t>
  </si>
  <si>
    <t>FY25 collaboration revenue - Pfizer (10-K Note 3, disclosed to $0.1M)</t>
  </si>
  <si>
    <t>3Q24 collaboration revenue (10-Q Q3 FY25 comparative)</t>
  </si>
  <si>
    <t>9M FY24 collaboration revenue (10-Q Q3 FY25 comparative)</t>
  </si>
  <si>
    <t>FY24 collaboration revenue (10-K)</t>
  </si>
  <si>
    <t>1Q25 collaboration revenue (10-Q Q1 FY26 comparative)</t>
  </si>
  <si>
    <t>2Q25 collaboration revenue (10-Q Q2 FY26 comparative)</t>
  </si>
  <si>
    <t>2Q25 license revenue - Sanofi license extensions (10-Q Q2 FY26 comparative)</t>
  </si>
  <si>
    <t>Deferred revenue, total, 30-Nov-2024 (10-K)</t>
  </si>
  <si>
    <t>Cash, cash equivalents &amp; restricted cash, 30-Nov-2024 (10-K)</t>
  </si>
  <si>
    <t>Cash, cash equivalents &amp; restricted cash, 31-May-2025 (10-Q Q2 FY26 comparative)</t>
  </si>
  <si>
    <t>Common shares outstanding, 30-Nov-2024 (m)</t>
  </si>
  <si>
    <t>Common shares outstanding, 31-May-2025 (m)</t>
  </si>
  <si>
    <t>Weighted basic shares 1Q25 (m)</t>
  </si>
  <si>
    <t>Weighted basic shares 2Q25 (m)</t>
  </si>
  <si>
    <t>FY25 collaboration revenue - Gilead (derived: FY total - Sanofi - Pfizer)</t>
  </si>
  <si>
    <t>S05 derived</t>
  </si>
  <si>
    <t>Deferred revenue, total, 31-May-2025 (derived: 30-Nov-2024 + 6M FY25 change)</t>
  </si>
  <si>
    <t>S03 derived</t>
  </si>
  <si>
    <t>E. Year-to-date cash flow statements ($ millions) used to derive discrete quarters</t>
  </si>
  <si>
    <t>Line item</t>
  </si>
  <si>
    <t>6M FY25</t>
  </si>
  <si>
    <t>9M FY25</t>
  </si>
  <si>
    <t>6M FY26</t>
  </si>
  <si>
    <t>Change in accounts receivable</t>
  </si>
  <si>
    <t>Change in prepaid expenses and other assets</t>
  </si>
  <si>
    <t>Change in accounts payable</t>
  </si>
  <si>
    <t>Change in deferred revenue</t>
  </si>
  <si>
    <t>Change in operating lease liabilities</t>
  </si>
  <si>
    <t>Change in accrued expenses and other current liabilities</t>
  </si>
  <si>
    <t>Proceeds from ESPP</t>
  </si>
  <si>
    <t>Proceeds from underwritten / registered direct offerings, net</t>
  </si>
  <si>
    <t>Proceeds from at-the-market offerings, net</t>
  </si>
  <si>
    <t>F. Size cohort and prior calibration (forecasting playbook v2)</t>
  </si>
  <si>
    <t>Market capitalization at cutoff ($M; MarketCapLens, 4-Oct-2026)</t>
  </si>
  <si>
    <t>Last close used by source ($, 2-Oct-2026)</t>
  </si>
  <si>
    <t>S02/S15</t>
  </si>
  <si>
    <t>Mid-cap lower bound ($M)</t>
  </si>
  <si>
    <t>Large-cap lower bound ($M)</t>
  </si>
  <si>
    <t>Size bucket (small $0.3-2B / mid $2-10B / large &gt;$10B)</t>
  </si>
  <si>
    <t>S&amp;P 500 member (CapIQ sp500_member)</t>
  </si>
  <si>
    <t>Cohort prior - small cap</t>
  </si>
  <si>
    <t>Cohort prior - mid cap</t>
  </si>
  <si>
    <t>Cohort prior - large cap or S&amp;P 500 member</t>
  </si>
  <si>
    <t>Cohort prior P(beat) applied</t>
  </si>
  <si>
    <t>Strict beats in supplied history (b)</t>
  </si>
  <si>
    <t>Valid normalized pairs (n)</t>
  </si>
  <si>
    <t>Pseudo-observations (k)</t>
  </si>
  <si>
    <t>Starting probability = (k x prior + b) / (k + n)</t>
  </si>
  <si>
    <t>Final P(beat consensus EPS) after quarter-specific evidence</t>
  </si>
  <si>
    <t>Implied evidence adjustment (final - starting)</t>
  </si>
  <si>
    <t>low</t>
  </si>
  <si>
    <t>Average historical surprise, $ per share (6 pairs)</t>
  </si>
  <si>
    <t>Other aggregator consensus EPS, 3Q26 (MarketBeat, 1-Oct-2026; not scoring baseline)</t>
  </si>
  <si>
    <t>Other aggregator consensus revenue, 3Q26 ($M; MarketBeat, 1-Oct-2026)</t>
  </si>
</sst>
</file>

<file path=xl/styles.xml><?xml version="1.0" encoding="utf-8"?>
<styleSheet xmlns="http://schemas.openxmlformats.org/spreadsheetml/2006/main">
  <numFmts count="8">
    <numFmt numFmtId="164" formatCode="dd-mmm-yy"/>
    <numFmt numFmtId="165" formatCode="General"/>
    <numFmt numFmtId="166" formatCode="#,##0.0_);(#,##0.0);–_)"/>
    <numFmt numFmtId="167" formatCode="$0.00_);($0.00);–_)"/>
    <numFmt numFmtId="168" formatCode="0"/>
    <numFmt numFmtId="169" formatCode="#,##0.00_);(#,##0.00);–_)"/>
    <numFmt numFmtId="170" formatCode="#,##0_);(#,##0);–_)"/>
    <numFmt numFmtId="171" formatCode="0.0%_);(0.0%);–_)"/>
  </numFmts>
  <fonts count="24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/>
      <strike val="0"/>
      <sz val="10"/>
      <color rgb="FF0061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1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5" fontId="1" fillId="2" borderId="1" xfId="0" applyNumberFormat="1" applyFont="1" applyFill="1" applyBorder="1" applyAlignment="1" applyProtection="1">
      <alignment horizontal="general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wrapText="1" indent="1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indent="1"/>
      <protection locked="1" hidden="0"/>
    </xf>
    <xf numFmtId="165" fontId="3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lef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5" fontId="3" fillId="2" borderId="3" xfId="0" applyNumberFormat="1" applyFont="1" applyFill="1" applyBorder="1" applyAlignment="1" applyProtection="1">
      <alignment horizontal="right" vertical="bottom" wrapText="1"/>
      <protection locked="1" hidden="0"/>
    </xf>
    <xf numFmtId="165" fontId="1" fillId="0" borderId="0" xfId="0" applyNumberFormat="1" applyFont="1" applyFill="1" applyAlignment="1" applyProtection="1">
      <alignment horizontal="left" vertical="top"/>
      <protection locked="1" hidden="0"/>
    </xf>
    <xf numFmtId="165" fontId="1" fillId="0" borderId="0" xfId="0" applyNumberFormat="1" applyFont="1" applyFill="1" applyAlignment="1" applyProtection="1">
      <alignment horizontal="general" vertical="top" wrapText="1" indent="0"/>
      <protection locked="1" hidden="0"/>
    </xf>
    <xf numFmtId="165" fontId="1" fillId="0" borderId="0" xfId="0" applyNumberFormat="1" applyFont="1" applyFill="1" applyAlignment="1" applyProtection="1">
      <alignment horizontal="left" vertical="top" wrapText="1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left" vertical="top" wrapText="1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 indent="0"/>
      <protection locked="1" hidden="0"/>
    </xf>
    <xf numFmtId="165" fontId="3" fillId="2" borderId="3" xfId="0" applyNumberFormat="1" applyFont="1" applyFill="1" applyBorder="1" applyAlignment="1" applyProtection="1">
      <alignment horizontal="left" vertical="bottom" wrapText="1" indent="0"/>
      <protection locked="1" hidden="0"/>
    </xf>
    <xf numFmtId="165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0" borderId="2" xfId="0" applyNumberFormat="1" applyFont="1" applyFill="1" applyBorder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 wrapText="1" indent="0"/>
      <protection locked="1" hidden="0"/>
    </xf>
    <xf numFmtId="164" fontId="1" fillId="0" borderId="0" xfId="0" applyNumberFormat="1" applyFont="1" applyFill="1" applyAlignment="1" applyProtection="1">
      <alignment horizontal="lef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68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general" vertical="bottom"/>
      <protection locked="1" hidden="0"/>
    </xf>
    <xf numFmtId="166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9" fontId="3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9" fontId="7" fillId="0" borderId="2" xfId="0" applyNumberFormat="1" applyFont="1" applyFill="1" applyBorder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169" fontId="8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 indent="0"/>
      <protection locked="1" hidden="0"/>
    </xf>
    <xf numFmtId="171" fontId="9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lef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indent="2"/>
      <protection locked="1" hidden="0"/>
    </xf>
    <xf numFmtId="170" fontId="5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 wrapText="1" indent="1"/>
      <protection locked="1" hidden="0"/>
    </xf>
    <xf numFmtId="169" fontId="2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wrapText="1" indent="0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general" vertical="bottom" indent="0"/>
      <protection locked="1" hidden="0"/>
    </xf>
    <xf numFmtId="165" fontId="11" fillId="0" borderId="0" xfId="0" applyNumberFormat="1" applyFont="1" applyFill="1" applyAlignment="1" applyProtection="1">
      <alignment horizontal="general" vertical="bottom" indent="1"/>
      <protection locked="1" hidden="0"/>
    </xf>
    <xf numFmtId="171" fontId="12" fillId="3" borderId="0" xfId="0" applyNumberFormat="1" applyFont="1" applyFill="1" applyAlignment="1" applyProtection="1">
      <alignment horizontal="right" vertical="bottom"/>
      <protection locked="1" hidden="0"/>
    </xf>
    <xf numFmtId="171" fontId="13" fillId="0" borderId="0" xfId="0" applyNumberFormat="1" applyFont="1" applyFill="1" applyAlignment="1" applyProtection="1">
      <alignment horizontal="right" vertical="bottom"/>
      <protection locked="1" hidden="0"/>
    </xf>
    <xf numFmtId="169" fontId="3" fillId="3" borderId="2" xfId="0" applyNumberFormat="1" applyFont="1" applyFill="1" applyBorder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 indent="2"/>
      <protection locked="1" hidden="0"/>
    </xf>
    <xf numFmtId="165" fontId="8" fillId="0" borderId="0" xfId="0" applyNumberFormat="1" applyFont="1" applyFill="1" applyAlignment="1" applyProtection="1">
      <alignment horizontal="left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 indent="1"/>
      <protection locked="1" hidden="0"/>
    </xf>
    <xf numFmtId="169" fontId="8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wrapText="1" indent="2"/>
      <protection locked="1" hidden="0"/>
    </xf>
    <xf numFmtId="167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7" fontId="3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 wrapText="1" indent="2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171" fontId="13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indent="0"/>
      <protection locked="1" hidden="0"/>
    </xf>
    <xf numFmtId="171" fontId="12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 wrapText="1" indent="0"/>
      <protection locked="1" hidden="0"/>
    </xf>
    <xf numFmtId="170" fontId="2" fillId="0" borderId="0" xfId="0" applyNumberFormat="1" applyFont="1" applyFill="1" applyAlignment="1" applyProtection="1">
      <alignment horizontal="left" vertical="bottom"/>
      <protection locked="1" hidden="0"/>
    </xf>
    <xf numFmtId="165" fontId="14" fillId="2" borderId="3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18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5" fontId="19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4" fontId="18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18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5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21" fillId="0" borderId="0" xfId="0" applyNumberFormat="1" applyFont="1" applyFill="1" applyAlignment="1" applyProtection="1">
      <alignment horizontal="general" vertical="bottom" textRotation="0" wrapText="1" indent="1" readingOrder="0"/>
      <protection locked="1" hidden="0"/>
    </xf>
    <xf numFmtId="16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theme" Target="theme/theme1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19050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showGridLines="0" tabSelected="1" workbookViewId="0"/>
  </sheetViews>
  <sheetFormatPr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60" customWidth="1"/>
  </cols>
  <sheetData>
    <row r="1" ht="49.5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1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3</v>
      </c>
      <c r="C6" s="27" t="s">
        <v>4</v>
      </c>
      <c r="D6" s="2"/>
      <c r="E6" s="2"/>
      <c r="F6" s="2"/>
      <c r="G6" s="2"/>
      <c r="H6" s="2"/>
      <c r="I6" s="2"/>
      <c r="J6" s="2"/>
    </row>
    <row r="7" ht="12.75">
      <c r="A7" s="2"/>
      <c r="B7" s="6" t="s">
        <v>5</v>
      </c>
      <c r="C7" s="22">
        <v>46265</v>
      </c>
      <c r="D7" s="2"/>
      <c r="E7" s="2"/>
      <c r="F7" s="2"/>
      <c r="G7" s="2"/>
      <c r="H7" s="2"/>
      <c r="I7" s="2"/>
      <c r="J7" s="2"/>
    </row>
    <row r="8" ht="12.75">
      <c r="A8" s="2"/>
      <c r="B8" s="4" t="s">
        <v>6</v>
      </c>
      <c r="C8" s="33">
        <v>92</v>
      </c>
      <c r="D8" s="2"/>
      <c r="E8" s="2"/>
      <c r="F8" s="2"/>
      <c r="G8" s="2"/>
      <c r="H8" s="2"/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59" t="s">
        <v>7</v>
      </c>
      <c r="C10" s="2"/>
      <c r="D10" s="2"/>
      <c r="E10" s="2"/>
      <c r="F10" s="2"/>
      <c r="G10" s="2"/>
      <c r="H10" s="2"/>
      <c r="I10" s="2"/>
      <c r="J10" s="2"/>
    </row>
    <row r="11" ht="12.75">
      <c r="A11" s="2"/>
      <c r="B11" s="25" t="s">
        <v>8</v>
      </c>
      <c r="C11" s="2"/>
      <c r="D11" s="2"/>
      <c r="E11" s="2"/>
      <c r="F11" s="2"/>
      <c r="G11" s="2"/>
      <c r="H11" s="2"/>
      <c r="I11" s="2"/>
      <c r="J11" s="2"/>
    </row>
    <row r="12" ht="12.7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ht="12.75">
      <c r="A13" s="2"/>
      <c r="B13" s="9" t="s">
        <v>9</v>
      </c>
      <c r="C13" s="54" t="s">
        <v>10</v>
      </c>
      <c r="D13" s="2"/>
      <c r="E13" s="2"/>
      <c r="F13" s="2"/>
      <c r="G13" s="2"/>
      <c r="H13" s="2"/>
      <c r="I13" s="2"/>
      <c r="J13" s="2"/>
    </row>
    <row r="14" ht="12.75">
      <c r="A14" s="2"/>
      <c r="B14" s="9" t="s">
        <v>11</v>
      </c>
      <c r="C14" s="54" t="s">
        <v>12</v>
      </c>
      <c r="D14" s="2"/>
      <c r="E14" s="2"/>
      <c r="F14" s="2"/>
      <c r="G14" s="2"/>
      <c r="H14" s="2"/>
      <c r="I14" s="2"/>
      <c r="J14" s="2"/>
    </row>
    <row r="15" ht="12.75">
      <c r="A15" s="2"/>
      <c r="B15" s="9" t="s">
        <v>13</v>
      </c>
      <c r="C15" s="54" t="s">
        <v>14</v>
      </c>
      <c r="D15" s="2"/>
      <c r="E15" s="2"/>
      <c r="F15" s="2"/>
      <c r="G15" s="2"/>
      <c r="H15" s="2"/>
      <c r="I15" s="2"/>
      <c r="J15" s="2"/>
    </row>
    <row r="16" ht="12.75">
      <c r="A16" s="2"/>
      <c r="B16" s="9" t="s">
        <v>15</v>
      </c>
      <c r="C16" s="54" t="s">
        <v>16</v>
      </c>
      <c r="D16" s="2"/>
      <c r="E16" s="2"/>
      <c r="F16" s="2"/>
      <c r="G16" s="2"/>
      <c r="H16" s="2"/>
      <c r="I16" s="2"/>
      <c r="J16" s="2"/>
    </row>
    <row r="17" ht="12.75">
      <c r="A17" s="2"/>
      <c r="B17" s="9" t="s">
        <v>17</v>
      </c>
      <c r="C17" s="54" t="s">
        <v>18</v>
      </c>
      <c r="D17" s="2"/>
      <c r="E17" s="2"/>
      <c r="F17" s="2"/>
      <c r="G17" s="2"/>
      <c r="H17" s="2"/>
      <c r="I17" s="2"/>
      <c r="J17" s="2"/>
    </row>
    <row r="18" ht="81.75">
      <c r="A18" s="2"/>
      <c r="B18" s="9" t="s">
        <v>19</v>
      </c>
      <c r="C18" s="54" t="s">
        <v>20</v>
      </c>
      <c r="D18" s="2"/>
      <c r="E18" s="2"/>
      <c r="F18" s="2"/>
      <c r="G18" s="2"/>
      <c r="H18" s="2"/>
      <c r="I18" s="2"/>
      <c r="J18" s="95" t="s">
        <v>21</v>
      </c>
    </row>
    <row r="19" ht="12.75">
      <c r="A19" s="2"/>
      <c r="B19" s="9" t="s">
        <v>22</v>
      </c>
      <c r="C19" s="54" t="s">
        <v>23</v>
      </c>
      <c r="D19" s="2"/>
      <c r="E19" s="2"/>
      <c r="F19" s="2"/>
      <c r="G19" s="2"/>
      <c r="H19" s="2"/>
      <c r="I19" s="2"/>
      <c r="J19" s="2"/>
    </row>
    <row r="20" ht="12.75">
      <c r="A20" s="2"/>
      <c r="B20" s="9" t="s">
        <v>24</v>
      </c>
      <c r="C20" s="54" t="s">
        <v>25</v>
      </c>
      <c r="D20" s="2"/>
      <c r="E20" s="2"/>
      <c r="F20" s="2"/>
      <c r="G20" s="2"/>
      <c r="H20" s="2"/>
      <c r="I20" s="2"/>
      <c r="J20" s="2"/>
    </row>
    <row r="21" ht="12.75">
      <c r="A21" s="2"/>
      <c r="B21" s="9" t="s">
        <v>3</v>
      </c>
      <c r="C21" s="54" t="s">
        <v>26</v>
      </c>
      <c r="D21" s="2"/>
      <c r="E21" s="2"/>
      <c r="F21" s="2"/>
      <c r="G21" s="2"/>
      <c r="H21" s="2"/>
      <c r="I21" s="2"/>
      <c r="J21" s="2"/>
    </row>
    <row r="22" ht="12.75">
      <c r="A22" s="2"/>
      <c r="B22" s="9" t="s">
        <v>27</v>
      </c>
      <c r="C22" s="19">
        <f>Inputs!C170</f>
        <v>2390</v>
      </c>
      <c r="D22" s="2"/>
      <c r="E22" s="2"/>
      <c r="F22" s="2"/>
      <c r="G22" s="2"/>
      <c r="H22" s="2"/>
      <c r="I22" s="2"/>
      <c r="J22" s="2"/>
    </row>
    <row r="23" ht="12.75">
      <c r="A23" s="2"/>
      <c r="B23" s="9" t="s">
        <v>28</v>
      </c>
      <c r="C23" s="48" t="str">
        <f>Inputs!C174&amp;" cap / S&amp;P 500: "&amp;Inputs!C175</f>
        <v>mid cap / S&amp;P 500: N</v>
      </c>
      <c r="D23" s="2"/>
      <c r="E23" s="2"/>
      <c r="F23" s="2"/>
      <c r="G23" s="2"/>
      <c r="H23" s="2"/>
      <c r="I23" s="2"/>
      <c r="J23" s="2"/>
    </row>
    <row r="24" ht="12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48">
      <c r="A25" s="2"/>
      <c r="B25" s="26" t="s">
        <v>29</v>
      </c>
      <c r="C25" s="15" t="s">
        <v>30</v>
      </c>
      <c r="D25" s="15" t="s">
        <v>31</v>
      </c>
      <c r="E25" s="15" t="s">
        <v>32</v>
      </c>
      <c r="F25" s="15" t="s">
        <v>33</v>
      </c>
      <c r="G25" s="15" t="s">
        <v>34</v>
      </c>
      <c r="H25" s="15" t="s">
        <v>35</v>
      </c>
      <c r="I25" s="2"/>
      <c r="J25" s="2"/>
    </row>
    <row r="26" ht="59.25">
      <c r="A26" s="2"/>
      <c r="B26" s="9" t="s">
        <v>36</v>
      </c>
      <c r="C26" s="32">
        <f>'Income Statement'!H13</f>
        <v>715.2</v>
      </c>
      <c r="D26" s="19">
        <f>Inputs!C33</f>
        <v>479.52</v>
      </c>
      <c r="E26" s="3">
        <f>C26-D26</f>
        <v>235.68000000000006</v>
      </c>
      <c r="F26" s="43">
        <f>(C26-D26)/ABS(D26)</f>
        <v>0.4914914914914916</v>
      </c>
      <c r="G26" s="19" t="str">
        <f>Guidance!G14</f>
        <v>n.a.</v>
      </c>
      <c r="H26" s="3" t="str">
        <f>IF(ISNUMBER(G26),C26-G26,"n.a.")</f>
        <v>n.a.</v>
      </c>
      <c r="I26" s="2"/>
      <c r="J26" s="95" t="s">
        <v>37</v>
      </c>
    </row>
    <row r="27" ht="12.75">
      <c r="A27" s="2"/>
      <c r="B27" s="9" t="s">
        <v>38</v>
      </c>
      <c r="C27" s="32">
        <f>'Income Statement'!H54</f>
        <v>612.6988243935373</v>
      </c>
      <c r="D27" s="19" t="str">
        <f>IF(ISNUMBER(Inputs!C81),Inputs!C81,"n.a.")</f>
        <v>n.a.</v>
      </c>
      <c r="E27" s="3" t="str">
        <f>IF(ISNUMBER(D27),C27-D27,"n.a.")</f>
        <v>n.a.</v>
      </c>
      <c r="F27" s="43" t="str">
        <f>IF(ISNUMBER(D27),(C27-D27)/ABS(D27),"n.a.")</f>
        <v>n.a.</v>
      </c>
      <c r="G27" s="19" t="str">
        <f>Guidance!G15</f>
        <v>n.a.</v>
      </c>
      <c r="H27" s="3" t="str">
        <f>IF(ISNUMBER(G27),C27-G27,"n.a.")</f>
        <v>n.a.</v>
      </c>
      <c r="I27" s="2"/>
      <c r="J27" s="2"/>
    </row>
    <row r="28" ht="70.5">
      <c r="A28" s="2"/>
      <c r="B28" s="7" t="s">
        <v>39</v>
      </c>
      <c r="C28" s="44">
        <f>'Income Statement'!H77</f>
        <v>5.303124917712253</v>
      </c>
      <c r="D28" s="24">
        <f>Inputs!C31</f>
        <v>5.11</v>
      </c>
      <c r="E28" s="14">
        <f>C28-D28</f>
        <v>0.19312491771225293</v>
      </c>
      <c r="F28" s="43">
        <f>(C28-D28)/ABS(D28)</f>
        <v>0.03779352597108668</v>
      </c>
      <c r="G28" s="24" t="str">
        <f>Guidance!G16</f>
        <v>n.a.</v>
      </c>
      <c r="H28" s="14" t="str">
        <f>IF(ISNUMBER(G28),C28-G28,"n.a.")</f>
        <v>n.a.</v>
      </c>
      <c r="I28" s="2"/>
      <c r="J28" s="95" t="s">
        <v>40</v>
      </c>
    </row>
    <row r="29" ht="12.75">
      <c r="A29" s="2"/>
      <c r="B29" s="9" t="s">
        <v>41</v>
      </c>
      <c r="C29" s="44">
        <f>'Income Statement'!H65</f>
        <v>5.303124917712253</v>
      </c>
      <c r="D29" s="24">
        <f>Inputs!C60</f>
        <v>3.09</v>
      </c>
      <c r="E29" s="14">
        <f>C29-D29</f>
        <v>2.2131249177122534</v>
      </c>
      <c r="F29" s="43">
        <f>(C29-D29)/ABS(D29)</f>
        <v>0.7162216562175577</v>
      </c>
      <c r="G29" s="24" t="str">
        <f>Guidance!G16</f>
        <v>n.a.</v>
      </c>
      <c r="H29" s="14" t="str">
        <f>IF(ISNUMBER(G29),C29-G29,"n.a.")</f>
        <v>n.a.</v>
      </c>
      <c r="I29" s="2"/>
      <c r="J29" s="2"/>
    </row>
    <row r="30" ht="59.25">
      <c r="A30" s="2"/>
      <c r="B30" s="7" t="s">
        <v>42</v>
      </c>
      <c r="C30" s="99" t="str">
        <f>IF(AND(C26='Revenue summary'!H84,C27='Cash Flow Statement'!H11,ROUND(C29-'Income Statement'!H54/'Share Count'!H39,9)=0,ABS('Balance Sheet'!H38)&lt;0.000001,ABS('Cash Flow Statement'!H42)&lt;0.000001,ABS('Revenue summary'!H120)&lt;0.000001),"Holds","BREAK")</f>
        <v>Holds</v>
      </c>
      <c r="D30" s="2"/>
      <c r="E30" s="2"/>
      <c r="F30" s="2"/>
      <c r="G30" s="2"/>
      <c r="H30" s="2"/>
      <c r="I30" s="2"/>
      <c r="J30" s="2"/>
    </row>
    <row r="31" ht="81.75">
      <c r="A31" s="2"/>
      <c r="B31" s="98" t="s">
        <v>43</v>
      </c>
      <c r="C31" s="96" t="str">
        <f>IF(AND(MAX('Revenue summary'!C53:G53)&lt;0.000001,MIN('Revenue summary'!C53:G53)&gt;-0.000001,MAX('Revenue summary'!C82:G82)&lt;0.000001,MIN('Revenue summary'!C82:G82)&gt;-0.000001,MAX('Revenue summary'!C97:G97)&lt;0.000001,MIN('Revenue summary'!C97:G97)&gt;-0.000001,MAX('Revenue summary'!C96:G96)&lt;0.000001,MIN('Revenue summary'!C96:G96)&gt;-0.000001,MAX('Revenue summary'!C95:G95)&lt;0.000001,MIN('Revenue summary'!C95:G95)&gt;-0.000001,MAX('Revenue summary'!C120:G120)&lt;0.000001,MIN('Revenue summary'!C120:G120)&gt;-0.000001,MAX('Income Statement'!C34:G34)&lt;0.000001,MIN('Income Statement'!C34:G34)&gt;-0.000001,MAX('Income Statement'!C59:G59)&lt;0.000001,MIN('Income Statement'!C59:G59)&gt;-0.000001,MAX('Income Statement'!C68:G68)&lt;0.000001,MIN('Income Statement'!C68:G68)&gt;-0.000001,MAX('Income Statement'!C79:G79)&lt;0.000001,MIN('Income Statement'!C79:G79)&gt;-0.000001,MAX('Balance Sheet'!C38:G38)&lt;0.000001,MIN('Balance Sheet'!C38:G38)&gt;-0.000001,MAX('Cash Flow Statement'!C42:G42)&lt;0.000001,MIN('Cash Flow Statement'!C42:G42)&gt;-0.000001),"PASS","FAIL")</f>
        <v>PASS</v>
      </c>
      <c r="D31" s="2"/>
      <c r="E31" s="2"/>
      <c r="F31" s="2"/>
      <c r="G31" s="2"/>
      <c r="H31" s="2"/>
      <c r="I31" s="2"/>
      <c r="J31" s="95" t="s">
        <v>44</v>
      </c>
    </row>
    <row r="32" ht="81.75">
      <c r="A32" s="2"/>
      <c r="B32" s="60" t="s">
        <v>45</v>
      </c>
      <c r="C32" s="100">
        <f>Inputs!C184</f>
        <v>0.35</v>
      </c>
      <c r="D32" s="2"/>
      <c r="E32" s="2"/>
      <c r="F32" s="2"/>
      <c r="G32" s="2"/>
      <c r="H32" s="2"/>
      <c r="I32" s="2"/>
      <c r="J32" s="95" t="s">
        <v>46</v>
      </c>
    </row>
    <row r="33" ht="12.75">
      <c r="A33" s="2"/>
      <c r="B33" s="67" t="s">
        <v>47</v>
      </c>
      <c r="C33" s="96" t="str">
        <f>Inputs!C186</f>
        <v>low</v>
      </c>
      <c r="D33" s="2"/>
      <c r="E33" s="2"/>
      <c r="F33" s="2"/>
      <c r="G33" s="2"/>
      <c r="H33" s="2"/>
      <c r="I33" s="2"/>
      <c r="J33" s="2"/>
    </row>
    <row r="34" ht="12.7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2.75">
      <c r="A35" s="2"/>
      <c r="B35" s="46" t="s">
        <v>48</v>
      </c>
      <c r="C35" s="2"/>
      <c r="D35" s="2"/>
      <c r="E35" s="2"/>
      <c r="F35" s="2"/>
      <c r="G35" s="2"/>
      <c r="H35" s="2"/>
      <c r="I35" s="2"/>
      <c r="J35" s="2"/>
    </row>
    <row r="36" ht="12.75">
      <c r="A36" s="2"/>
      <c r="B36" s="9" t="s">
        <v>49</v>
      </c>
      <c r="C36" s="24">
        <f>Inputs!C51</f>
        <v>5.11</v>
      </c>
      <c r="D36" s="24">
        <f>Inputs!C52</f>
        <v>5.31</v>
      </c>
      <c r="E36" s="2"/>
      <c r="F36" s="2"/>
      <c r="G36" s="2"/>
      <c r="H36" s="2"/>
      <c r="I36" s="2"/>
      <c r="J36" s="2"/>
    </row>
    <row r="37" ht="12.75">
      <c r="A37" s="2"/>
      <c r="B37" s="9" t="s">
        <v>50</v>
      </c>
      <c r="C37" s="24">
        <f>Inputs!C53</f>
        <v>5.74</v>
      </c>
      <c r="D37" s="24">
        <f>Inputs!C54</f>
        <v>4.29</v>
      </c>
      <c r="E37" s="2"/>
      <c r="F37" s="2"/>
      <c r="G37" s="2"/>
      <c r="H37" s="2"/>
      <c r="I37" s="2"/>
      <c r="J37" s="2"/>
    </row>
    <row r="38" ht="36.75">
      <c r="A38" s="2"/>
      <c r="B38" s="7" t="s">
        <v>51</v>
      </c>
      <c r="C38" s="50">
        <f>Inputs!C56</f>
        <v>3</v>
      </c>
      <c r="D38" s="50">
        <f>Inputs!C50</f>
        <v>14</v>
      </c>
      <c r="E38" s="2"/>
      <c r="F38" s="2"/>
      <c r="G38" s="2"/>
      <c r="H38" s="2"/>
      <c r="I38" s="2"/>
      <c r="J38" s="2"/>
    </row>
    <row r="39" ht="12.75">
      <c r="A39" s="2"/>
      <c r="B39" s="9" t="s">
        <v>52</v>
      </c>
      <c r="C39" s="19">
        <f>Inputs!C67</f>
        <v>479.52</v>
      </c>
      <c r="D39" s="19">
        <f>Inputs!C68</f>
        <v>700</v>
      </c>
      <c r="E39" s="2"/>
      <c r="F39" s="2"/>
      <c r="G39" s="2"/>
      <c r="H39" s="2"/>
      <c r="I39" s="2"/>
      <c r="J39" s="2"/>
    </row>
    <row r="40" ht="12.75">
      <c r="A40" s="2"/>
      <c r="B40" s="9" t="s">
        <v>53</v>
      </c>
      <c r="C40" s="19">
        <f>Inputs!C69</f>
        <v>713.56</v>
      </c>
      <c r="D40" s="19">
        <f>Inputs!C70</f>
        <v>25</v>
      </c>
      <c r="E40" s="2"/>
      <c r="F40" s="2"/>
      <c r="G40" s="2"/>
      <c r="H40" s="2"/>
      <c r="I40" s="2"/>
      <c r="J40" s="2"/>
    </row>
    <row r="41" ht="12.75">
      <c r="A41" s="2"/>
      <c r="B41" s="9" t="s">
        <v>54</v>
      </c>
      <c r="C41" s="24">
        <f>Inputs!C60</f>
        <v>3.09</v>
      </c>
      <c r="D41" s="24">
        <f>Inputs!C63</f>
        <v>-0.67</v>
      </c>
      <c r="E41" s="2"/>
      <c r="F41" s="2"/>
      <c r="G41" s="2"/>
      <c r="H41" s="2"/>
      <c r="I41" s="2"/>
      <c r="J41" s="2"/>
    </row>
    <row r="42" ht="36.75">
      <c r="A42" s="2"/>
      <c r="B42" s="7" t="s">
        <v>55</v>
      </c>
      <c r="C42" s="19">
        <f>Inputs!C189</f>
        <v>24.348</v>
      </c>
      <c r="D42" s="2"/>
      <c r="E42" s="2"/>
      <c r="F42" s="2"/>
      <c r="G42" s="2"/>
      <c r="H42" s="2"/>
      <c r="I42" s="2"/>
      <c r="J42" s="2"/>
    </row>
    <row r="43" ht="36.75">
      <c r="A43" s="2"/>
      <c r="B43" s="7" t="s">
        <v>56</v>
      </c>
      <c r="C43" s="24">
        <f>Inputs!C188</f>
        <v>-0.6009</v>
      </c>
      <c r="D43" s="2"/>
      <c r="E43" s="2"/>
      <c r="F43" s="2"/>
      <c r="G43" s="2"/>
      <c r="H43" s="2"/>
      <c r="I43" s="2"/>
      <c r="J43" s="2"/>
    </row>
    <row r="44" ht="25.5">
      <c r="A44" s="2"/>
      <c r="B44" s="7" t="s">
        <v>57</v>
      </c>
      <c r="C44" s="24">
        <f>'Income Statement'!H104</f>
        <v>-0.5055989082236872</v>
      </c>
      <c r="D44" s="2"/>
      <c r="E44" s="2"/>
      <c r="F44" s="2"/>
      <c r="G44" s="2"/>
      <c r="H44" s="2"/>
      <c r="I44" s="2"/>
      <c r="J44" s="2"/>
    </row>
    <row r="45" ht="25.5">
      <c r="A45" s="2"/>
      <c r="B45" s="52" t="s">
        <v>58</v>
      </c>
      <c r="C45" s="62">
        <f>Inputs!C183</f>
        <v>0.6142857142857142</v>
      </c>
      <c r="D45" s="2"/>
      <c r="E45" s="2"/>
      <c r="F45" s="2"/>
      <c r="G45" s="2"/>
      <c r="H45" s="2"/>
      <c r="I45" s="2"/>
      <c r="J45" s="2"/>
    </row>
    <row r="46" ht="12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2.7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6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59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60</v>
      </c>
      <c r="C6" s="27" t="s">
        <v>61</v>
      </c>
      <c r="D6" s="27" t="s">
        <v>62</v>
      </c>
      <c r="E6" s="27" t="s">
        <v>63</v>
      </c>
      <c r="F6" s="27" t="s">
        <v>64</v>
      </c>
      <c r="G6" s="27" t="s">
        <v>65</v>
      </c>
      <c r="H6" s="27" t="s">
        <v>4</v>
      </c>
      <c r="I6" s="2"/>
      <c r="J6" s="2"/>
    </row>
    <row r="7" ht="12.75">
      <c r="A7" s="2"/>
      <c r="B7" s="6" t="s">
        <v>5</v>
      </c>
      <c r="C7" s="22">
        <v>45900</v>
      </c>
      <c r="D7" s="22">
        <v>45991</v>
      </c>
      <c r="E7" s="22">
        <v>45991</v>
      </c>
      <c r="F7" s="22">
        <v>46081</v>
      </c>
      <c r="G7" s="22">
        <v>46173</v>
      </c>
      <c r="H7" s="22">
        <v>46265</v>
      </c>
      <c r="I7" s="2"/>
      <c r="J7" s="2"/>
    </row>
    <row r="8" ht="12.75">
      <c r="A8" s="2"/>
      <c r="B8" s="4" t="s">
        <v>6</v>
      </c>
      <c r="C8" s="33">
        <v>92</v>
      </c>
      <c r="D8" s="33">
        <v>91</v>
      </c>
      <c r="E8" s="33">
        <v>365</v>
      </c>
      <c r="F8" s="33">
        <v>90</v>
      </c>
      <c r="G8" s="33">
        <v>92</v>
      </c>
      <c r="H8" s="33">
        <v>92</v>
      </c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66</v>
      </c>
      <c r="C10" s="3"/>
      <c r="D10" s="3"/>
      <c r="E10" s="3"/>
      <c r="F10" s="3"/>
      <c r="G10" s="3"/>
      <c r="H10" s="34"/>
      <c r="I10" s="2"/>
      <c r="J10" s="2"/>
    </row>
    <row r="11" ht="12.75">
      <c r="A11" s="2"/>
      <c r="B11" s="9" t="s">
        <v>67</v>
      </c>
      <c r="C11" s="5">
        <v>2.109</v>
      </c>
      <c r="D11" s="19">
        <f>E11-Inputs!C115</f>
        <v>1.6739999999999942</v>
      </c>
      <c r="E11" s="19">
        <f>Inputs!C145</f>
        <v>12.131999999999994</v>
      </c>
      <c r="F11" s="5">
        <v>1.52</v>
      </c>
      <c r="G11" s="5">
        <v>2.083</v>
      </c>
      <c r="H11" s="34">
        <f>H109</f>
        <v>0.2</v>
      </c>
      <c r="I11" s="2"/>
      <c r="J11" s="2"/>
    </row>
    <row r="12" ht="12.75">
      <c r="A12" s="2"/>
      <c r="B12" s="65" t="s">
        <v>68</v>
      </c>
      <c r="C12" s="43" t="s">
        <v>69</v>
      </c>
      <c r="D12" s="43" t="s">
        <v>69</v>
      </c>
      <c r="E12" s="43" t="s">
        <v>69</v>
      </c>
      <c r="F12" s="43" t="s">
        <v>69</v>
      </c>
      <c r="G12" s="43" t="s">
        <v>69</v>
      </c>
      <c r="H12" s="64">
        <f>IF(C11=0,"n.a.",H11/C11-1)</f>
        <v>-0.9051683262209578</v>
      </c>
      <c r="I12" s="2"/>
      <c r="J12" s="2"/>
    </row>
    <row r="13" ht="12.75">
      <c r="A13" s="2"/>
      <c r="B13" s="65" t="s">
        <v>70</v>
      </c>
      <c r="C13" s="43" t="s">
        <v>69</v>
      </c>
      <c r="D13" s="43">
        <f>IF(C11=0,"n.a.",D11/C11-1)</f>
        <v>-0.2062588904694196</v>
      </c>
      <c r="E13" s="43" t="s">
        <v>69</v>
      </c>
      <c r="F13" s="43">
        <f>IF(D11=0,"n.a.",F11/D11-1)</f>
        <v>-0.09199522102747593</v>
      </c>
      <c r="G13" s="43">
        <f>IF(F11=0,"n.a.",G11/F11-1)</f>
        <v>0.37039473684210544</v>
      </c>
      <c r="H13" s="64">
        <f>IF(G11=0,"n.a.",H11/G11-1)</f>
        <v>-0.9039846375420068</v>
      </c>
      <c r="I13" s="2"/>
      <c r="J13" s="2"/>
    </row>
    <row r="14" ht="12.75">
      <c r="A14" s="2"/>
      <c r="B14" s="49" t="s">
        <v>71</v>
      </c>
      <c r="C14" s="3" t="s">
        <v>69</v>
      </c>
      <c r="D14" s="3">
        <f>D11-C11</f>
        <v>-0.4350000000000058</v>
      </c>
      <c r="E14" s="3" t="s">
        <v>69</v>
      </c>
      <c r="F14" s="3">
        <f>F11-D11</f>
        <v>-0.15399999999999414</v>
      </c>
      <c r="G14" s="3">
        <f>G11-F11</f>
        <v>0.5630000000000002</v>
      </c>
      <c r="H14" s="34">
        <f>H11-G11</f>
        <v>-1.8830000000000002</v>
      </c>
      <c r="I14" s="2"/>
      <c r="J14" s="2"/>
    </row>
    <row r="15" ht="12.75">
      <c r="A15" s="2"/>
      <c r="B15" s="65" t="s">
        <v>72</v>
      </c>
      <c r="C15" s="43">
        <f>IF(C84=0,0,C11/C84)</f>
        <v>0.26716493539397007</v>
      </c>
      <c r="D15" s="43">
        <f>IF(D84=0,0,D11/D84)</f>
        <v>0.12329675185976247</v>
      </c>
      <c r="E15" s="43">
        <f>IF(E84=0,0,E11/E84)</f>
        <v>0.14446296737318404</v>
      </c>
      <c r="F15" s="43">
        <f>IF(F84=0,0,F11/F84)</f>
        <v>0.24312220089571338</v>
      </c>
      <c r="G15" s="43">
        <f>IF(G84=0,0,G11/G84)</f>
        <v>0.23034391241844523</v>
      </c>
      <c r="H15" s="64">
        <f>IF(H84=0,0,H11/H84)</f>
        <v>0.0002796420581655481</v>
      </c>
      <c r="I15" s="2"/>
      <c r="J15" s="2"/>
    </row>
    <row r="16" ht="25.5">
      <c r="A16" s="2"/>
      <c r="B16" s="73" t="s">
        <v>73</v>
      </c>
      <c r="C16" s="43" t="s">
        <v>69</v>
      </c>
      <c r="D16" s="43" t="s">
        <v>69</v>
      </c>
      <c r="E16" s="43" t="s">
        <v>69</v>
      </c>
      <c r="F16" s="43" t="s">
        <v>69</v>
      </c>
      <c r="G16" s="43" t="s">
        <v>69</v>
      </c>
      <c r="H16" s="64" t="s">
        <v>69</v>
      </c>
      <c r="I16" s="2"/>
      <c r="J16" s="2"/>
    </row>
    <row r="17" ht="12.75">
      <c r="A17" s="2"/>
      <c r="B17" s="65" t="s">
        <v>74</v>
      </c>
      <c r="C17" s="43" t="s">
        <v>69</v>
      </c>
      <c r="D17" s="43" t="s">
        <v>69</v>
      </c>
      <c r="E17" s="43" t="s">
        <v>69</v>
      </c>
      <c r="F17" s="43" t="s">
        <v>69</v>
      </c>
      <c r="G17" s="43" t="s">
        <v>69</v>
      </c>
      <c r="H17" s="64" t="s">
        <v>69</v>
      </c>
      <c r="I17" s="2"/>
      <c r="J17" s="2"/>
    </row>
    <row r="18" ht="25.5">
      <c r="A18" s="2"/>
      <c r="B18" s="73" t="s">
        <v>75</v>
      </c>
      <c r="C18" s="43" t="str">
        <f>IF(AND(ISNUMBER(C12),ISNUMBER(C16),ISNUMBER(C17)),(1+C12)/((1+C16)*(1+C17))-1,"n.a.")</f>
        <v>n.a.</v>
      </c>
      <c r="D18" s="43" t="str">
        <f>IF(AND(ISNUMBER(D12),ISNUMBER(D16),ISNUMBER(D17)),(1+D12)/((1+D16)*(1+D17))-1,"n.a.")</f>
        <v>n.a.</v>
      </c>
      <c r="E18" s="43" t="str">
        <f>IF(AND(ISNUMBER(E12),ISNUMBER(E16),ISNUMBER(E17)),(1+E12)/((1+E16)*(1+E17))-1,"n.a.")</f>
        <v>n.a.</v>
      </c>
      <c r="F18" s="43" t="str">
        <f>IF(AND(ISNUMBER(F12),ISNUMBER(F16),ISNUMBER(F17)),(1+F12)/((1+F16)*(1+F17))-1,"n.a.")</f>
        <v>n.a.</v>
      </c>
      <c r="G18" s="43" t="str">
        <f>IF(AND(ISNUMBER(G12),ISNUMBER(G16),ISNUMBER(G17)),(1+G12)/((1+G16)*(1+G17))-1,"n.a.")</f>
        <v>n.a.</v>
      </c>
      <c r="H18" s="64" t="str">
        <f>IF(AND(ISNUMBER(H12),ISNUMBER(H16),ISNUMBER(H17)),(1+H12)/((1+H16)*(1+H17))-1,"n.a.")</f>
        <v>n.a.</v>
      </c>
      <c r="I18" s="2"/>
      <c r="J18" s="2"/>
    </row>
    <row r="19" ht="12.75">
      <c r="A19" s="2"/>
      <c r="B19" s="9" t="s">
        <v>76</v>
      </c>
      <c r="C19" s="5">
        <v>0</v>
      </c>
      <c r="D19" s="19">
        <f>E19-Inputs!C116</f>
        <v>0</v>
      </c>
      <c r="E19" s="19">
        <f>Inputs!C130</f>
        <v>16.148</v>
      </c>
      <c r="F19" s="5">
        <v>0</v>
      </c>
      <c r="G19" s="5">
        <v>2</v>
      </c>
      <c r="H19" s="34">
        <f>H106+H107</f>
        <v>10</v>
      </c>
      <c r="I19" s="2"/>
      <c r="J19" s="2"/>
    </row>
    <row r="20" ht="12.75">
      <c r="A20" s="2"/>
      <c r="B20" s="65" t="s">
        <v>68</v>
      </c>
      <c r="C20" s="43" t="s">
        <v>69</v>
      </c>
      <c r="D20" s="43" t="s">
        <v>69</v>
      </c>
      <c r="E20" s="43" t="s">
        <v>69</v>
      </c>
      <c r="F20" s="43" t="s">
        <v>69</v>
      </c>
      <c r="G20" s="43" t="s">
        <v>69</v>
      </c>
      <c r="H20" s="64" t="str">
        <f>IF(C19=0,"n.a.",H19/C19-1)</f>
        <v>n.a.</v>
      </c>
      <c r="I20" s="2"/>
      <c r="J20" s="2"/>
    </row>
    <row r="21" ht="12.75">
      <c r="A21" s="2"/>
      <c r="B21" s="65" t="s">
        <v>70</v>
      </c>
      <c r="C21" s="43" t="s">
        <v>69</v>
      </c>
      <c r="D21" s="43" t="str">
        <f>IF(C19=0,"n.a.",D19/C19-1)</f>
        <v>n.a.</v>
      </c>
      <c r="E21" s="43" t="s">
        <v>69</v>
      </c>
      <c r="F21" s="43" t="str">
        <f>IF(D19=0,"n.a.",F19/D19-1)</f>
        <v>n.a.</v>
      </c>
      <c r="G21" s="43" t="str">
        <f>IF(F19=0,"n.a.",G19/F19-1)</f>
        <v>n.a.</v>
      </c>
      <c r="H21" s="64">
        <f>IF(G19=0,"n.a.",H19/G19-1)</f>
        <v>4</v>
      </c>
      <c r="I21" s="2"/>
      <c r="J21" s="2"/>
    </row>
    <row r="22" ht="12.75">
      <c r="A22" s="2"/>
      <c r="B22" s="49" t="s">
        <v>71</v>
      </c>
      <c r="C22" s="3" t="s">
        <v>69</v>
      </c>
      <c r="D22" s="3">
        <f>D19-C19</f>
        <v>0</v>
      </c>
      <c r="E22" s="3" t="s">
        <v>69</v>
      </c>
      <c r="F22" s="3">
        <f>F19-D19</f>
        <v>0</v>
      </c>
      <c r="G22" s="3">
        <f>G19-F19</f>
        <v>2</v>
      </c>
      <c r="H22" s="34">
        <f>H19-G19</f>
        <v>8</v>
      </c>
      <c r="I22" s="2"/>
      <c r="J22" s="2"/>
    </row>
    <row r="23" ht="12.75">
      <c r="A23" s="2"/>
      <c r="B23" s="65" t="s">
        <v>72</v>
      </c>
      <c r="C23" s="43">
        <f>IF(C84=0,0,C19/C84)</f>
        <v>0</v>
      </c>
      <c r="D23" s="43">
        <f>IF(D84=0,0,D19/D84)</f>
        <v>0</v>
      </c>
      <c r="E23" s="43">
        <f>IF(E84=0,0,E19/E84)</f>
        <v>0.19228387711359848</v>
      </c>
      <c r="F23" s="43">
        <f>IF(F84=0,0,F19/F84)</f>
        <v>0</v>
      </c>
      <c r="G23" s="43">
        <f>IF(G84=0,0,G19/G84)</f>
        <v>0.2211655424084928</v>
      </c>
      <c r="H23" s="64">
        <f>IF(H84=0,0,H19/H84)</f>
        <v>0.013982102908277404</v>
      </c>
      <c r="I23" s="2"/>
      <c r="J23" s="2"/>
    </row>
    <row r="24" ht="25.5">
      <c r="A24" s="2"/>
      <c r="B24" s="73" t="s">
        <v>73</v>
      </c>
      <c r="C24" s="43" t="s">
        <v>69</v>
      </c>
      <c r="D24" s="43" t="s">
        <v>69</v>
      </c>
      <c r="E24" s="43" t="s">
        <v>69</v>
      </c>
      <c r="F24" s="43" t="s">
        <v>69</v>
      </c>
      <c r="G24" s="43" t="s">
        <v>69</v>
      </c>
      <c r="H24" s="64" t="s">
        <v>69</v>
      </c>
      <c r="I24" s="2"/>
      <c r="J24" s="2"/>
    </row>
    <row r="25" ht="12.75">
      <c r="A25" s="2"/>
      <c r="B25" s="65" t="s">
        <v>74</v>
      </c>
      <c r="C25" s="43" t="s">
        <v>69</v>
      </c>
      <c r="D25" s="43" t="s">
        <v>69</v>
      </c>
      <c r="E25" s="43" t="s">
        <v>69</v>
      </c>
      <c r="F25" s="43" t="s">
        <v>69</v>
      </c>
      <c r="G25" s="43" t="s">
        <v>69</v>
      </c>
      <c r="H25" s="64" t="s">
        <v>69</v>
      </c>
      <c r="I25" s="2"/>
      <c r="J25" s="2"/>
    </row>
    <row r="26" ht="25.5">
      <c r="A26" s="2"/>
      <c r="B26" s="73" t="s">
        <v>75</v>
      </c>
      <c r="C26" s="43" t="str">
        <f>IF(AND(ISNUMBER(C20),ISNUMBER(C24),ISNUMBER(C25)),(1+C20)/((1+C24)*(1+C25))-1,"n.a.")</f>
        <v>n.a.</v>
      </c>
      <c r="D26" s="43" t="str">
        <f>IF(AND(ISNUMBER(D20),ISNUMBER(D24),ISNUMBER(D25)),(1+D20)/((1+D24)*(1+D25))-1,"n.a.")</f>
        <v>n.a.</v>
      </c>
      <c r="E26" s="43" t="str">
        <f>IF(AND(ISNUMBER(E20),ISNUMBER(E24),ISNUMBER(E25)),(1+E20)/((1+E24)*(1+E25))-1,"n.a.")</f>
        <v>n.a.</v>
      </c>
      <c r="F26" s="43" t="str">
        <f>IF(AND(ISNUMBER(F20),ISNUMBER(F24),ISNUMBER(F25)),(1+F20)/((1+F24)*(1+F25))-1,"n.a.")</f>
        <v>n.a.</v>
      </c>
      <c r="G26" s="43" t="str">
        <f>IF(AND(ISNUMBER(G20),ISNUMBER(G24),ISNUMBER(G25)),(1+G20)/((1+G24)*(1+G25))-1,"n.a.")</f>
        <v>n.a.</v>
      </c>
      <c r="H26" s="64" t="str">
        <f>IF(AND(ISNUMBER(H20),ISNUMBER(H24),ISNUMBER(H25)),(1+H20)/((1+H24)*(1+H25))-1,"n.a.")</f>
        <v>n.a.</v>
      </c>
      <c r="I26" s="2"/>
      <c r="J26" s="2"/>
    </row>
    <row r="27" ht="25.5">
      <c r="A27" s="2"/>
      <c r="B27" s="7" t="s">
        <v>77</v>
      </c>
      <c r="C27" s="5">
        <v>5.785</v>
      </c>
      <c r="D27" s="19">
        <f>E27-Inputs!C117</f>
        <v>11.902999999999999</v>
      </c>
      <c r="E27" s="19">
        <f>Inputs!C131</f>
        <v>25.7</v>
      </c>
      <c r="F27" s="5">
        <v>4.732</v>
      </c>
      <c r="G27" s="5">
        <v>4.96</v>
      </c>
      <c r="H27" s="34">
        <f>H108</f>
        <v>5</v>
      </c>
      <c r="I27" s="2"/>
      <c r="J27" s="2"/>
    </row>
    <row r="28" ht="12.75">
      <c r="A28" s="2"/>
      <c r="B28" s="65" t="s">
        <v>68</v>
      </c>
      <c r="C28" s="43" t="s">
        <v>69</v>
      </c>
      <c r="D28" s="43" t="s">
        <v>69</v>
      </c>
      <c r="E28" s="43" t="s">
        <v>69</v>
      </c>
      <c r="F28" s="43" t="s">
        <v>69</v>
      </c>
      <c r="G28" s="43" t="s">
        <v>69</v>
      </c>
      <c r="H28" s="64">
        <f>IF(C27=0,"n.a.",H27/C27-1)</f>
        <v>-0.13569576490924806</v>
      </c>
      <c r="I28" s="2"/>
      <c r="J28" s="2"/>
    </row>
    <row r="29" ht="12.75">
      <c r="A29" s="2"/>
      <c r="B29" s="65" t="s">
        <v>70</v>
      </c>
      <c r="C29" s="43" t="s">
        <v>69</v>
      </c>
      <c r="D29" s="43">
        <f>IF(C27=0,"n.a.",D27/C27-1)</f>
        <v>1.0575626620570437</v>
      </c>
      <c r="E29" s="43" t="s">
        <v>69</v>
      </c>
      <c r="F29" s="43">
        <f>IF(D27=0,"n.a.",F27/D27-1)</f>
        <v>-0.602453163068134</v>
      </c>
      <c r="G29" s="43">
        <f>IF(F27=0,"n.a.",G27/F27-1)</f>
        <v>0.048182586644125</v>
      </c>
      <c r="H29" s="64">
        <f>IF(G27=0,"n.a.",H27/G27-1)</f>
        <v>0.008064516129032251</v>
      </c>
      <c r="I29" s="2"/>
      <c r="J29" s="2"/>
    </row>
    <row r="30" ht="12.75">
      <c r="A30" s="2"/>
      <c r="B30" s="49" t="s">
        <v>71</v>
      </c>
      <c r="C30" s="3" t="s">
        <v>69</v>
      </c>
      <c r="D30" s="3">
        <f>D27-C27</f>
        <v>6.1179999999999986</v>
      </c>
      <c r="E30" s="3" t="s">
        <v>69</v>
      </c>
      <c r="F30" s="3">
        <f>F27-D27</f>
        <v>-7.1709999999999985</v>
      </c>
      <c r="G30" s="3">
        <f>G27-F27</f>
        <v>0.22799999999999976</v>
      </c>
      <c r="H30" s="34">
        <f>H27-G27</f>
        <v>0.040000000000000036</v>
      </c>
      <c r="I30" s="2"/>
      <c r="J30" s="2"/>
    </row>
    <row r="31" ht="12.75">
      <c r="A31" s="2"/>
      <c r="B31" s="65" t="s">
        <v>72</v>
      </c>
      <c r="C31" s="43">
        <f>IF(C84=0,0,C27/C84)</f>
        <v>0.7328350646060299</v>
      </c>
      <c r="D31" s="43">
        <f>IF(D84=0,0,D27/D84)</f>
        <v>0.8767032481402375</v>
      </c>
      <c r="E31" s="43">
        <f>IF(E84=0,0,E27/E84)</f>
        <v>0.3060252441057395</v>
      </c>
      <c r="F31" s="43">
        <f>IF(F84=0,0,F27/F84)</f>
        <v>0.7568777991042867</v>
      </c>
      <c r="G31" s="43">
        <f>IF(G84=0,0,G27/G84)</f>
        <v>0.5484905451730621</v>
      </c>
      <c r="H31" s="64">
        <f>IF(H84=0,0,H27/H84)</f>
        <v>0.006991051454138702</v>
      </c>
      <c r="I31" s="2"/>
      <c r="J31" s="2"/>
    </row>
    <row r="32" ht="25.5">
      <c r="A32" s="2"/>
      <c r="B32" s="73" t="s">
        <v>73</v>
      </c>
      <c r="C32" s="43" t="s">
        <v>69</v>
      </c>
      <c r="D32" s="43" t="s">
        <v>69</v>
      </c>
      <c r="E32" s="43" t="s">
        <v>69</v>
      </c>
      <c r="F32" s="43" t="s">
        <v>69</v>
      </c>
      <c r="G32" s="43" t="s">
        <v>69</v>
      </c>
      <c r="H32" s="64" t="s">
        <v>69</v>
      </c>
      <c r="I32" s="2"/>
      <c r="J32" s="2"/>
    </row>
    <row r="33" ht="12.75">
      <c r="A33" s="2"/>
      <c r="B33" s="65" t="s">
        <v>74</v>
      </c>
      <c r="C33" s="43" t="s">
        <v>69</v>
      </c>
      <c r="D33" s="43" t="s">
        <v>69</v>
      </c>
      <c r="E33" s="43" t="s">
        <v>69</v>
      </c>
      <c r="F33" s="43" t="s">
        <v>69</v>
      </c>
      <c r="G33" s="43" t="s">
        <v>69</v>
      </c>
      <c r="H33" s="64" t="s">
        <v>69</v>
      </c>
      <c r="I33" s="2"/>
      <c r="J33" s="2"/>
    </row>
    <row r="34" ht="25.5">
      <c r="A34" s="2"/>
      <c r="B34" s="73" t="s">
        <v>75</v>
      </c>
      <c r="C34" s="43" t="str">
        <f>IF(AND(ISNUMBER(C28),ISNUMBER(C32),ISNUMBER(C33)),(1+C28)/((1+C32)*(1+C33))-1,"n.a.")</f>
        <v>n.a.</v>
      </c>
      <c r="D34" s="43" t="str">
        <f>IF(AND(ISNUMBER(D28),ISNUMBER(D32),ISNUMBER(D33)),(1+D28)/((1+D32)*(1+D33))-1,"n.a.")</f>
        <v>n.a.</v>
      </c>
      <c r="E34" s="43" t="str">
        <f>IF(AND(ISNUMBER(E28),ISNUMBER(E32),ISNUMBER(E33)),(1+E28)/((1+E32)*(1+E33))-1,"n.a.")</f>
        <v>n.a.</v>
      </c>
      <c r="F34" s="43" t="str">
        <f>IF(AND(ISNUMBER(F28),ISNUMBER(F32),ISNUMBER(F33)),(1+F28)/((1+F32)*(1+F33))-1,"n.a.")</f>
        <v>n.a.</v>
      </c>
      <c r="G34" s="43" t="str">
        <f>IF(AND(ISNUMBER(G28),ISNUMBER(G32),ISNUMBER(G33)),(1+G28)/((1+G32)*(1+G33))-1,"n.a.")</f>
        <v>n.a.</v>
      </c>
      <c r="H34" s="64" t="str">
        <f>IF(AND(ISNUMBER(H28),ISNUMBER(H32),ISNUMBER(H33)),(1+H28)/((1+H32)*(1+H33))-1,"n.a.")</f>
        <v>n.a.</v>
      </c>
      <c r="I34" s="2"/>
      <c r="J34" s="2"/>
    </row>
    <row r="35" ht="25.5">
      <c r="A35" s="2"/>
      <c r="B35" s="7" t="s">
        <v>78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34">
        <f>H103*H104</f>
        <v>0</v>
      </c>
      <c r="I35" s="2"/>
      <c r="J35" s="2"/>
    </row>
    <row r="36" ht="12.75">
      <c r="A36" s="2"/>
      <c r="B36" s="65" t="s">
        <v>68</v>
      </c>
      <c r="C36" s="43" t="s">
        <v>69</v>
      </c>
      <c r="D36" s="43" t="s">
        <v>69</v>
      </c>
      <c r="E36" s="43" t="s">
        <v>69</v>
      </c>
      <c r="F36" s="43" t="s">
        <v>69</v>
      </c>
      <c r="G36" s="43" t="s">
        <v>69</v>
      </c>
      <c r="H36" s="64" t="str">
        <f>IF(C35=0,"n.a.",H35/C35-1)</f>
        <v>n.a.</v>
      </c>
      <c r="I36" s="2"/>
      <c r="J36" s="2"/>
    </row>
    <row r="37" ht="12.75">
      <c r="A37" s="2"/>
      <c r="B37" s="65" t="s">
        <v>70</v>
      </c>
      <c r="C37" s="43" t="s">
        <v>69</v>
      </c>
      <c r="D37" s="43" t="str">
        <f>IF(C35=0,"n.a.",D35/C35-1)</f>
        <v>n.a.</v>
      </c>
      <c r="E37" s="43" t="s">
        <v>69</v>
      </c>
      <c r="F37" s="43" t="str">
        <f>IF(D35=0,"n.a.",F35/D35-1)</f>
        <v>n.a.</v>
      </c>
      <c r="G37" s="43" t="str">
        <f>IF(F35=0,"n.a.",G35/F35-1)</f>
        <v>n.a.</v>
      </c>
      <c r="H37" s="64" t="str">
        <f>IF(G35=0,"n.a.",H35/G35-1)</f>
        <v>n.a.</v>
      </c>
      <c r="I37" s="2"/>
      <c r="J37" s="2"/>
    </row>
    <row r="38" ht="12.75">
      <c r="A38" s="2"/>
      <c r="B38" s="49" t="s">
        <v>71</v>
      </c>
      <c r="C38" s="3" t="s">
        <v>69</v>
      </c>
      <c r="D38" s="3">
        <f>D35-C35</f>
        <v>0</v>
      </c>
      <c r="E38" s="3" t="s">
        <v>69</v>
      </c>
      <c r="F38" s="3">
        <f>F35-D35</f>
        <v>0</v>
      </c>
      <c r="G38" s="3">
        <f>G35-F35</f>
        <v>0</v>
      </c>
      <c r="H38" s="34">
        <f>H35-G35</f>
        <v>0</v>
      </c>
      <c r="I38" s="2"/>
      <c r="J38" s="2"/>
    </row>
    <row r="39" ht="12.75">
      <c r="A39" s="2"/>
      <c r="B39" s="65" t="s">
        <v>72</v>
      </c>
      <c r="C39" s="43">
        <f>IF(C84=0,0,C35/C84)</f>
        <v>0</v>
      </c>
      <c r="D39" s="43">
        <f>IF(D84=0,0,D35/D84)</f>
        <v>0</v>
      </c>
      <c r="E39" s="43">
        <f>IF(E84=0,0,E35/E84)</f>
        <v>0</v>
      </c>
      <c r="F39" s="43">
        <f>IF(F84=0,0,F35/F84)</f>
        <v>0</v>
      </c>
      <c r="G39" s="43">
        <f>IF(G84=0,0,G35/G84)</f>
        <v>0</v>
      </c>
      <c r="H39" s="64">
        <f>IF(H84=0,0,H35/H84)</f>
        <v>0</v>
      </c>
      <c r="I39" s="2"/>
      <c r="J39" s="2"/>
    </row>
    <row r="40" ht="25.5">
      <c r="A40" s="2"/>
      <c r="B40" s="73" t="s">
        <v>73</v>
      </c>
      <c r="C40" s="43" t="s">
        <v>69</v>
      </c>
      <c r="D40" s="43" t="s">
        <v>69</v>
      </c>
      <c r="E40" s="43" t="s">
        <v>69</v>
      </c>
      <c r="F40" s="43" t="s">
        <v>69</v>
      </c>
      <c r="G40" s="43" t="s">
        <v>69</v>
      </c>
      <c r="H40" s="64" t="s">
        <v>69</v>
      </c>
      <c r="I40" s="2"/>
      <c r="J40" s="2"/>
    </row>
    <row r="41" ht="12.75">
      <c r="A41" s="2"/>
      <c r="B41" s="65" t="s">
        <v>74</v>
      </c>
      <c r="C41" s="43" t="s">
        <v>69</v>
      </c>
      <c r="D41" s="43" t="s">
        <v>69</v>
      </c>
      <c r="E41" s="43" t="s">
        <v>69</v>
      </c>
      <c r="F41" s="43" t="s">
        <v>69</v>
      </c>
      <c r="G41" s="43" t="s">
        <v>69</v>
      </c>
      <c r="H41" s="64" t="s">
        <v>69</v>
      </c>
      <c r="I41" s="2"/>
      <c r="J41" s="2"/>
    </row>
    <row r="42" ht="25.5">
      <c r="A42" s="2"/>
      <c r="B42" s="73" t="s">
        <v>75</v>
      </c>
      <c r="C42" s="43" t="str">
        <f>IF(AND(ISNUMBER(C36),ISNUMBER(C40),ISNUMBER(C41)),(1+C36)/((1+C40)*(1+C41))-1,"n.a.")</f>
        <v>n.a.</v>
      </c>
      <c r="D42" s="43" t="str">
        <f>IF(AND(ISNUMBER(D36),ISNUMBER(D40),ISNUMBER(D41)),(1+D36)/((1+D40)*(1+D41))-1,"n.a.")</f>
        <v>n.a.</v>
      </c>
      <c r="E42" s="43" t="str">
        <f>IF(AND(ISNUMBER(E36),ISNUMBER(E40),ISNUMBER(E41)),(1+E36)/((1+E40)*(1+E41))-1,"n.a.")</f>
        <v>n.a.</v>
      </c>
      <c r="F42" s="43" t="str">
        <f>IF(AND(ISNUMBER(F36),ISNUMBER(F40),ISNUMBER(F41)),(1+F36)/((1+F40)*(1+F41))-1,"n.a.")</f>
        <v>n.a.</v>
      </c>
      <c r="G42" s="43" t="str">
        <f>IF(AND(ISNUMBER(G36),ISNUMBER(G40),ISNUMBER(G41)),(1+G36)/((1+G40)*(1+G41))-1,"n.a.")</f>
        <v>n.a.</v>
      </c>
      <c r="H42" s="64" t="str">
        <f>IF(AND(ISNUMBER(H36),ISNUMBER(H40),ISNUMBER(H41)),(1+H36)/((1+H40)*(1+H41))-1,"n.a.")</f>
        <v>n.a.</v>
      </c>
      <c r="I42" s="2"/>
      <c r="J42" s="2"/>
    </row>
    <row r="43" ht="12.75">
      <c r="A43" s="2"/>
      <c r="B43" s="46" t="s">
        <v>79</v>
      </c>
      <c r="C43" s="28">
        <f>SUM(C11,C19,C27,C35)</f>
        <v>7.894</v>
      </c>
      <c r="D43" s="28">
        <f>SUM(D11,D19,D27,D35)</f>
        <v>13.576999999999993</v>
      </c>
      <c r="E43" s="28">
        <f>SUM(E11,E19,E27,E35)</f>
        <v>53.97999999999999</v>
      </c>
      <c r="F43" s="28">
        <f>SUM(F11,F19,F27,F35)</f>
        <v>6.252</v>
      </c>
      <c r="G43" s="28">
        <f>SUM(G11,G19,G27,G35)</f>
        <v>9.043</v>
      </c>
      <c r="H43" s="36">
        <f>SUM(H11,H19,H27,H35)</f>
        <v>15.2</v>
      </c>
      <c r="I43" s="2"/>
      <c r="J43" s="2"/>
    </row>
    <row r="44" ht="25.5">
      <c r="A44" s="2"/>
      <c r="B44" s="69" t="s">
        <v>80</v>
      </c>
      <c r="C44" s="19">
        <f>Inputs!C132</f>
        <v>12.588</v>
      </c>
      <c r="D44" s="19">
        <f>Inputs!C134-Inputs!C133</f>
        <v>13.283999999999999</v>
      </c>
      <c r="E44" s="19">
        <f>Inputs!C134</f>
        <v>54.549</v>
      </c>
      <c r="F44" s="19">
        <f>Inputs!C135</f>
        <v>18.453</v>
      </c>
      <c r="G44" s="19">
        <f>Inputs!C136</f>
        <v>14.056</v>
      </c>
      <c r="H44" s="34">
        <f>C43</f>
        <v>7.894</v>
      </c>
      <c r="I44" s="2"/>
      <c r="J44" s="2"/>
    </row>
    <row r="45" ht="12.75">
      <c r="A45" s="2"/>
      <c r="B45" s="65" t="s">
        <v>68</v>
      </c>
      <c r="C45" s="43">
        <f>IF(C44=0,"n.a.",C43/C44-1)</f>
        <v>-0.37289482046393385</v>
      </c>
      <c r="D45" s="43">
        <f>IF(D44=0,"n.a.",D43/D44-1)</f>
        <v>0.022056609454983</v>
      </c>
      <c r="E45" s="43">
        <f>IF(E44=0,"n.a.",E43/E44-1)</f>
        <v>-0.010430988652404438</v>
      </c>
      <c r="F45" s="43">
        <f>IF(F44=0,"n.a.",F43/F44-1)</f>
        <v>-0.6611933019021297</v>
      </c>
      <c r="G45" s="43">
        <f>IF(G44=0,"n.a.",G43/G44-1)</f>
        <v>-0.3566448491747297</v>
      </c>
      <c r="H45" s="64">
        <f>IF(H44=0,"n.a.",H43/H44-1)</f>
        <v>0.9255130478844691</v>
      </c>
      <c r="I45" s="2"/>
      <c r="J45" s="2"/>
    </row>
    <row r="46" ht="12.75">
      <c r="A46" s="2"/>
      <c r="B46" s="65" t="s">
        <v>70</v>
      </c>
      <c r="C46" s="43" t="s">
        <v>69</v>
      </c>
      <c r="D46" s="43">
        <f>IF(C43=0,"n.a.",D43/C43-1)</f>
        <v>0.7199138586268041</v>
      </c>
      <c r="E46" s="43" t="s">
        <v>69</v>
      </c>
      <c r="F46" s="43">
        <f>IF(D43=0,"n.a.",F43/D43-1)</f>
        <v>-0.539515356853502</v>
      </c>
      <c r="G46" s="43">
        <f>IF(F43=0,"n.a.",G43/F43-1)</f>
        <v>0.4464171465131157</v>
      </c>
      <c r="H46" s="64">
        <f>IF(G43=0,"n.a.",H43/G43-1)</f>
        <v>0.6808581223045451</v>
      </c>
      <c r="I46" s="2"/>
      <c r="J46" s="2"/>
    </row>
    <row r="47" ht="12.75">
      <c r="A47" s="2"/>
      <c r="B47" s="49" t="s">
        <v>71</v>
      </c>
      <c r="C47" s="3" t="s">
        <v>69</v>
      </c>
      <c r="D47" s="3">
        <f>D43-C43</f>
        <v>5.682999999999993</v>
      </c>
      <c r="E47" s="3" t="s">
        <v>69</v>
      </c>
      <c r="F47" s="3">
        <f>F43-D43</f>
        <v>-7.324999999999993</v>
      </c>
      <c r="G47" s="3">
        <f>G43-F43</f>
        <v>2.7909999999999995</v>
      </c>
      <c r="H47" s="34">
        <f>H43-G43</f>
        <v>6.157</v>
      </c>
      <c r="I47" s="2"/>
      <c r="J47" s="2"/>
    </row>
    <row r="48" ht="12.75">
      <c r="A48" s="2"/>
      <c r="B48" s="65" t="s">
        <v>72</v>
      </c>
      <c r="C48" s="43">
        <f>IF(C84=0,0,C43/C84)</f>
        <v>1</v>
      </c>
      <c r="D48" s="43">
        <f>IF(D84=0,0,D43/D84)</f>
        <v>1</v>
      </c>
      <c r="E48" s="43">
        <f>IF(E84=0,0,E43/E84)</f>
        <v>0.642772088592522</v>
      </c>
      <c r="F48" s="43">
        <f>IF(F84=0,0,F43/F84)</f>
        <v>1</v>
      </c>
      <c r="G48" s="43">
        <f>IF(G84=0,0,G43/G84)</f>
        <v>1</v>
      </c>
      <c r="H48" s="64">
        <f>IF(H84=0,0,H43/H84)</f>
        <v>0.021252796420581654</v>
      </c>
      <c r="I48" s="2"/>
      <c r="J48" s="2"/>
    </row>
    <row r="49" ht="25.5">
      <c r="A49" s="2"/>
      <c r="B49" s="73" t="s">
        <v>73</v>
      </c>
      <c r="C49" s="43" t="s">
        <v>69</v>
      </c>
      <c r="D49" s="43" t="s">
        <v>69</v>
      </c>
      <c r="E49" s="43" t="s">
        <v>69</v>
      </c>
      <c r="F49" s="43" t="s">
        <v>69</v>
      </c>
      <c r="G49" s="43" t="s">
        <v>69</v>
      </c>
      <c r="H49" s="64" t="s">
        <v>69</v>
      </c>
      <c r="I49" s="2"/>
      <c r="J49" s="2"/>
    </row>
    <row r="50" ht="12.75">
      <c r="A50" s="2"/>
      <c r="B50" s="65" t="s">
        <v>74</v>
      </c>
      <c r="C50" s="43" t="s">
        <v>69</v>
      </c>
      <c r="D50" s="43" t="s">
        <v>69</v>
      </c>
      <c r="E50" s="43" t="s">
        <v>69</v>
      </c>
      <c r="F50" s="43" t="s">
        <v>69</v>
      </c>
      <c r="G50" s="43" t="s">
        <v>69</v>
      </c>
      <c r="H50" s="64" t="s">
        <v>69</v>
      </c>
      <c r="I50" s="2"/>
      <c r="J50" s="2"/>
    </row>
    <row r="51" ht="25.5">
      <c r="A51" s="2"/>
      <c r="B51" s="73" t="s">
        <v>75</v>
      </c>
      <c r="C51" s="43" t="str">
        <f>IF(AND(ISNUMBER(C45),ISNUMBER(C49),ISNUMBER(C50)),(1+C45)/((1+C49)*(1+C50))-1,"n.a.")</f>
        <v>n.a.</v>
      </c>
      <c r="D51" s="43" t="str">
        <f>IF(AND(ISNUMBER(D45),ISNUMBER(D49),ISNUMBER(D50)),(1+D45)/((1+D49)*(1+D50))-1,"n.a.")</f>
        <v>n.a.</v>
      </c>
      <c r="E51" s="43" t="str">
        <f>IF(AND(ISNUMBER(E45),ISNUMBER(E49),ISNUMBER(E50)),(1+E45)/((1+E49)*(1+E50))-1,"n.a.")</f>
        <v>n.a.</v>
      </c>
      <c r="F51" s="43" t="str">
        <f>IF(AND(ISNUMBER(F45),ISNUMBER(F49),ISNUMBER(F50)),(1+F45)/((1+F49)*(1+F50))-1,"n.a.")</f>
        <v>n.a.</v>
      </c>
      <c r="G51" s="43" t="str">
        <f>IF(AND(ISNUMBER(G45),ISNUMBER(G49),ISNUMBER(G50)),(1+G45)/((1+G49)*(1+G50))-1,"n.a.")</f>
        <v>n.a.</v>
      </c>
      <c r="H51" s="64" t="str">
        <f>IF(AND(ISNUMBER(H45),ISNUMBER(H49),ISNUMBER(H50)),(1+H45)/((1+H49)*(1+H50))-1,"n.a.")</f>
        <v>n.a.</v>
      </c>
      <c r="I51" s="2"/>
      <c r="J51" s="2"/>
    </row>
    <row r="52" ht="25.5">
      <c r="A52" s="2"/>
      <c r="B52" s="69" t="s">
        <v>81</v>
      </c>
      <c r="C52" s="5">
        <v>7.894</v>
      </c>
      <c r="D52" s="19">
        <f>Inputs!C127-Inputs!C113</f>
        <v>13.576999999999998</v>
      </c>
      <c r="E52" s="19">
        <f>Inputs!C127</f>
        <v>53.98</v>
      </c>
      <c r="F52" s="5">
        <v>6.252</v>
      </c>
      <c r="G52" s="5">
        <v>9.043</v>
      </c>
      <c r="H52" s="34"/>
      <c r="I52" s="2"/>
      <c r="J52" s="2"/>
    </row>
    <row r="53" ht="36.75">
      <c r="A53" s="2"/>
      <c r="B53" s="69" t="s">
        <v>82</v>
      </c>
      <c r="C53" s="3">
        <f>IF(ISNUMBER(C52),ROUND(C43-C52,6),0)</f>
        <v>0</v>
      </c>
      <c r="D53" s="3">
        <f>IF(ISNUMBER(D52),ROUND(D43-D52,6),0)</f>
        <v>0</v>
      </c>
      <c r="E53" s="3">
        <f>IF(ISNUMBER(E52),ROUND(E43-E52,6),0)</f>
        <v>0</v>
      </c>
      <c r="F53" s="3">
        <f>IF(ISNUMBER(F52),ROUND(F43-F52,6),0)</f>
        <v>0</v>
      </c>
      <c r="G53" s="3">
        <f>IF(ISNUMBER(G52),ROUND(G43-G52,6),0)</f>
        <v>0</v>
      </c>
      <c r="H53" s="34">
        <f>IF(ISNUMBER(H52),ROUND(H43-H52,6),0)</f>
        <v>0</v>
      </c>
      <c r="I53" s="2"/>
      <c r="J53" s="2"/>
    </row>
    <row r="54" ht="12.75">
      <c r="A54" s="2"/>
      <c r="B54" s="2"/>
      <c r="C54" s="2"/>
      <c r="D54" s="2"/>
      <c r="E54" s="2"/>
      <c r="F54" s="2"/>
      <c r="G54" s="2"/>
      <c r="H54" s="35"/>
      <c r="I54" s="2"/>
      <c r="J54" s="2"/>
    </row>
    <row r="55" ht="12.75">
      <c r="A55" s="2"/>
      <c r="B55" s="46" t="s">
        <v>83</v>
      </c>
      <c r="C55" s="3"/>
      <c r="D55" s="3"/>
      <c r="E55" s="3"/>
      <c r="F55" s="3"/>
      <c r="G55" s="3"/>
      <c r="H55" s="34"/>
      <c r="I55" s="2"/>
      <c r="J55" s="2"/>
    </row>
    <row r="56" ht="12.75">
      <c r="A56" s="2"/>
      <c r="B56" s="9" t="s">
        <v>84</v>
      </c>
      <c r="C56" s="5">
        <v>0</v>
      </c>
      <c r="D56" s="19">
        <f>E56-Inputs!C114</f>
        <v>0</v>
      </c>
      <c r="E56" s="5">
        <v>30</v>
      </c>
      <c r="F56" s="5">
        <v>0</v>
      </c>
      <c r="G56" s="5">
        <v>0</v>
      </c>
      <c r="H56" s="29">
        <v>0</v>
      </c>
      <c r="I56" s="2"/>
      <c r="J56" s="2"/>
    </row>
    <row r="57" ht="12.75">
      <c r="A57" s="2"/>
      <c r="B57" s="65" t="s">
        <v>68</v>
      </c>
      <c r="C57" s="43" t="s">
        <v>69</v>
      </c>
      <c r="D57" s="43" t="s">
        <v>69</v>
      </c>
      <c r="E57" s="43" t="s">
        <v>69</v>
      </c>
      <c r="F57" s="43" t="s">
        <v>69</v>
      </c>
      <c r="G57" s="43" t="s">
        <v>69</v>
      </c>
      <c r="H57" s="64" t="str">
        <f>IF(C56=0,"n.a.",H56/C56-1)</f>
        <v>n.a.</v>
      </c>
      <c r="I57" s="2"/>
      <c r="J57" s="2"/>
    </row>
    <row r="58" ht="12.75">
      <c r="A58" s="2"/>
      <c r="B58" s="65" t="s">
        <v>70</v>
      </c>
      <c r="C58" s="43" t="s">
        <v>69</v>
      </c>
      <c r="D58" s="43" t="str">
        <f>IF(C56=0,"n.a.",D56/C56-1)</f>
        <v>n.a.</v>
      </c>
      <c r="E58" s="43" t="s">
        <v>69</v>
      </c>
      <c r="F58" s="43" t="str">
        <f>IF(D56=0,"n.a.",F56/D56-1)</f>
        <v>n.a.</v>
      </c>
      <c r="G58" s="43" t="str">
        <f>IF(F56=0,"n.a.",G56/F56-1)</f>
        <v>n.a.</v>
      </c>
      <c r="H58" s="64" t="str">
        <f>IF(G56=0,"n.a.",H56/G56-1)</f>
        <v>n.a.</v>
      </c>
      <c r="I58" s="2"/>
      <c r="J58" s="2"/>
    </row>
    <row r="59" ht="12.75">
      <c r="A59" s="2"/>
      <c r="B59" s="49" t="s">
        <v>71</v>
      </c>
      <c r="C59" s="3" t="s">
        <v>69</v>
      </c>
      <c r="D59" s="3">
        <f>D56-C56</f>
        <v>0</v>
      </c>
      <c r="E59" s="3" t="s">
        <v>69</v>
      </c>
      <c r="F59" s="3">
        <f>F56-D56</f>
        <v>0</v>
      </c>
      <c r="G59" s="3">
        <f>G56-F56</f>
        <v>0</v>
      </c>
      <c r="H59" s="34">
        <f>H56-G56</f>
        <v>0</v>
      </c>
      <c r="I59" s="2"/>
      <c r="J59" s="2"/>
    </row>
    <row r="60" ht="12.75">
      <c r="A60" s="2"/>
      <c r="B60" s="65" t="s">
        <v>72</v>
      </c>
      <c r="C60" s="43">
        <f>IF(C84=0,0,C56/C84)</f>
        <v>0</v>
      </c>
      <c r="D60" s="43">
        <f>IF(D84=0,0,D56/D84)</f>
        <v>0</v>
      </c>
      <c r="E60" s="43">
        <f>IF(E84=0,0,E56/E84)</f>
        <v>0.357227911407478</v>
      </c>
      <c r="F60" s="43">
        <f>IF(F84=0,0,F56/F84)</f>
        <v>0</v>
      </c>
      <c r="G60" s="43">
        <f>IF(G84=0,0,G56/G84)</f>
        <v>0</v>
      </c>
      <c r="H60" s="64">
        <f>IF(H84=0,0,H56/H84)</f>
        <v>0</v>
      </c>
      <c r="I60" s="2"/>
      <c r="J60" s="2"/>
    </row>
    <row r="61" ht="25.5">
      <c r="A61" s="2"/>
      <c r="B61" s="73" t="s">
        <v>73</v>
      </c>
      <c r="C61" s="43" t="s">
        <v>69</v>
      </c>
      <c r="D61" s="43" t="s">
        <v>69</v>
      </c>
      <c r="E61" s="43" t="s">
        <v>69</v>
      </c>
      <c r="F61" s="43" t="s">
        <v>69</v>
      </c>
      <c r="G61" s="43" t="s">
        <v>69</v>
      </c>
      <c r="H61" s="64" t="s">
        <v>69</v>
      </c>
      <c r="I61" s="2"/>
      <c r="J61" s="2"/>
    </row>
    <row r="62" ht="12.75">
      <c r="A62" s="2"/>
      <c r="B62" s="65" t="s">
        <v>74</v>
      </c>
      <c r="C62" s="43" t="s">
        <v>69</v>
      </c>
      <c r="D62" s="43" t="s">
        <v>69</v>
      </c>
      <c r="E62" s="43" t="s">
        <v>69</v>
      </c>
      <c r="F62" s="43" t="s">
        <v>69</v>
      </c>
      <c r="G62" s="43" t="s">
        <v>69</v>
      </c>
      <c r="H62" s="64" t="s">
        <v>69</v>
      </c>
      <c r="I62" s="2"/>
      <c r="J62" s="2"/>
    </row>
    <row r="63" ht="25.5">
      <c r="A63" s="2"/>
      <c r="B63" s="73" t="s">
        <v>75</v>
      </c>
      <c r="C63" s="43" t="str">
        <f>IF(AND(ISNUMBER(C57),ISNUMBER(C61),ISNUMBER(C62)),(1+C57)/((1+C61)*(1+C62))-1,"n.a.")</f>
        <v>n.a.</v>
      </c>
      <c r="D63" s="43" t="str">
        <f>IF(AND(ISNUMBER(D57),ISNUMBER(D61),ISNUMBER(D62)),(1+D57)/((1+D61)*(1+D62))-1,"n.a.")</f>
        <v>n.a.</v>
      </c>
      <c r="E63" s="43" t="str">
        <f>IF(AND(ISNUMBER(E57),ISNUMBER(E61),ISNUMBER(E62)),(1+E57)/((1+E61)*(1+E62))-1,"n.a.")</f>
        <v>n.a.</v>
      </c>
      <c r="F63" s="43" t="str">
        <f>IF(AND(ISNUMBER(F57),ISNUMBER(F61),ISNUMBER(F62)),(1+F57)/((1+F61)*(1+F62))-1,"n.a.")</f>
        <v>n.a.</v>
      </c>
      <c r="G63" s="43" t="str">
        <f>IF(AND(ISNUMBER(G57),ISNUMBER(G61),ISNUMBER(G62)),(1+G57)/((1+G61)*(1+G62))-1,"n.a.")</f>
        <v>n.a.</v>
      </c>
      <c r="H63" s="64" t="str">
        <f>IF(AND(ISNUMBER(H57),ISNUMBER(H61),ISNUMBER(H62)),(1+H57)/((1+H61)*(1+H62))-1,"n.a.")</f>
        <v>n.a.</v>
      </c>
      <c r="I63" s="2"/>
      <c r="J63" s="2"/>
    </row>
    <row r="64" ht="25.5">
      <c r="A64" s="2"/>
      <c r="B64" s="7" t="s">
        <v>85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34">
        <f>H100*H101</f>
        <v>700</v>
      </c>
      <c r="I64" s="2"/>
      <c r="J64" s="2"/>
    </row>
    <row r="65" ht="12.75">
      <c r="A65" s="2"/>
      <c r="B65" s="65" t="s">
        <v>68</v>
      </c>
      <c r="C65" s="43" t="s">
        <v>69</v>
      </c>
      <c r="D65" s="43" t="s">
        <v>69</v>
      </c>
      <c r="E65" s="43" t="s">
        <v>69</v>
      </c>
      <c r="F65" s="43" t="s">
        <v>69</v>
      </c>
      <c r="G65" s="43" t="s">
        <v>69</v>
      </c>
      <c r="H65" s="64" t="str">
        <f>IF(C64=0,"n.a.",H64/C64-1)</f>
        <v>n.a.</v>
      </c>
      <c r="I65" s="2"/>
      <c r="J65" s="2"/>
    </row>
    <row r="66" ht="12.75">
      <c r="A66" s="2"/>
      <c r="B66" s="65" t="s">
        <v>70</v>
      </c>
      <c r="C66" s="43" t="s">
        <v>69</v>
      </c>
      <c r="D66" s="43" t="str">
        <f>IF(C64=0,"n.a.",D64/C64-1)</f>
        <v>n.a.</v>
      </c>
      <c r="E66" s="43" t="s">
        <v>69</v>
      </c>
      <c r="F66" s="43" t="str">
        <f>IF(D64=0,"n.a.",F64/D64-1)</f>
        <v>n.a.</v>
      </c>
      <c r="G66" s="43" t="str">
        <f>IF(F64=0,"n.a.",G64/F64-1)</f>
        <v>n.a.</v>
      </c>
      <c r="H66" s="64" t="str">
        <f>IF(G64=0,"n.a.",H64/G64-1)</f>
        <v>n.a.</v>
      </c>
      <c r="I66" s="2"/>
      <c r="J66" s="2"/>
    </row>
    <row r="67" ht="12.75">
      <c r="A67" s="2"/>
      <c r="B67" s="49" t="s">
        <v>71</v>
      </c>
      <c r="C67" s="3" t="s">
        <v>69</v>
      </c>
      <c r="D67" s="3">
        <f>D64-C64</f>
        <v>0</v>
      </c>
      <c r="E67" s="3" t="s">
        <v>69</v>
      </c>
      <c r="F67" s="3">
        <f>F64-D64</f>
        <v>0</v>
      </c>
      <c r="G67" s="3">
        <f>G64-F64</f>
        <v>0</v>
      </c>
      <c r="H67" s="34">
        <f>H64-G64</f>
        <v>700</v>
      </c>
      <c r="I67" s="2"/>
      <c r="J67" s="2"/>
    </row>
    <row r="68" ht="12.75">
      <c r="A68" s="2"/>
      <c r="B68" s="65" t="s">
        <v>72</v>
      </c>
      <c r="C68" s="43">
        <f>IF(C84=0,0,C64/C84)</f>
        <v>0</v>
      </c>
      <c r="D68" s="43">
        <f>IF(D84=0,0,D64/D84)</f>
        <v>0</v>
      </c>
      <c r="E68" s="43">
        <f>IF(E84=0,0,E64/E84)</f>
        <v>0</v>
      </c>
      <c r="F68" s="43">
        <f>IF(F84=0,0,F64/F84)</f>
        <v>0</v>
      </c>
      <c r="G68" s="43">
        <f>IF(G84=0,0,G64/G84)</f>
        <v>0</v>
      </c>
      <c r="H68" s="64">
        <f>IF(H84=0,0,H64/H84)</f>
        <v>0.9787472035794182</v>
      </c>
      <c r="I68" s="2"/>
      <c r="J68" s="2"/>
    </row>
    <row r="69" ht="25.5">
      <c r="A69" s="2"/>
      <c r="B69" s="73" t="s">
        <v>73</v>
      </c>
      <c r="C69" s="43" t="s">
        <v>69</v>
      </c>
      <c r="D69" s="43" t="s">
        <v>69</v>
      </c>
      <c r="E69" s="43" t="s">
        <v>69</v>
      </c>
      <c r="F69" s="43" t="s">
        <v>69</v>
      </c>
      <c r="G69" s="43" t="s">
        <v>69</v>
      </c>
      <c r="H69" s="64" t="s">
        <v>69</v>
      </c>
      <c r="I69" s="2"/>
      <c r="J69" s="2"/>
    </row>
    <row r="70" ht="12.75">
      <c r="A70" s="2"/>
      <c r="B70" s="65" t="s">
        <v>74</v>
      </c>
      <c r="C70" s="43" t="s">
        <v>69</v>
      </c>
      <c r="D70" s="43" t="s">
        <v>69</v>
      </c>
      <c r="E70" s="43" t="s">
        <v>69</v>
      </c>
      <c r="F70" s="43" t="s">
        <v>69</v>
      </c>
      <c r="G70" s="43" t="s">
        <v>69</v>
      </c>
      <c r="H70" s="64" t="s">
        <v>69</v>
      </c>
      <c r="I70" s="2"/>
      <c r="J70" s="2"/>
    </row>
    <row r="71" ht="25.5">
      <c r="A71" s="2"/>
      <c r="B71" s="73" t="s">
        <v>75</v>
      </c>
      <c r="C71" s="43" t="str">
        <f>IF(AND(ISNUMBER(C65),ISNUMBER(C69),ISNUMBER(C70)),(1+C65)/((1+C69)*(1+C70))-1,"n.a.")</f>
        <v>n.a.</v>
      </c>
      <c r="D71" s="43" t="str">
        <f>IF(AND(ISNUMBER(D65),ISNUMBER(D69),ISNUMBER(D70)),(1+D65)/((1+D69)*(1+D70))-1,"n.a.")</f>
        <v>n.a.</v>
      </c>
      <c r="E71" s="43" t="str">
        <f>IF(AND(ISNUMBER(E65),ISNUMBER(E69),ISNUMBER(E70)),(1+E65)/((1+E69)*(1+E70))-1,"n.a.")</f>
        <v>n.a.</v>
      </c>
      <c r="F71" s="43" t="str">
        <f>IF(AND(ISNUMBER(F65),ISNUMBER(F69),ISNUMBER(F70)),(1+F65)/((1+F69)*(1+F70))-1,"n.a.")</f>
        <v>n.a.</v>
      </c>
      <c r="G71" s="43" t="str">
        <f>IF(AND(ISNUMBER(G65),ISNUMBER(G69),ISNUMBER(G70)),(1+G65)/((1+G69)*(1+G70))-1,"n.a.")</f>
        <v>n.a.</v>
      </c>
      <c r="H71" s="64" t="str">
        <f>IF(AND(ISNUMBER(H65),ISNUMBER(H69),ISNUMBER(H70)),(1+H65)/((1+H69)*(1+H70))-1,"n.a.")</f>
        <v>n.a.</v>
      </c>
      <c r="I71" s="2"/>
      <c r="J71" s="2"/>
    </row>
    <row r="72" ht="12.75">
      <c r="A72" s="2"/>
      <c r="B72" s="46" t="s">
        <v>86</v>
      </c>
      <c r="C72" s="28">
        <f>SUM(C56,C64)</f>
        <v>0</v>
      </c>
      <c r="D72" s="28">
        <f>SUM(D56,D64)</f>
        <v>0</v>
      </c>
      <c r="E72" s="28">
        <f>SUM(E56,E64)</f>
        <v>30</v>
      </c>
      <c r="F72" s="28">
        <f>SUM(F56,F64)</f>
        <v>0</v>
      </c>
      <c r="G72" s="28">
        <f>SUM(G56,G64)</f>
        <v>0</v>
      </c>
      <c r="H72" s="36">
        <f>SUM(H56,H64)</f>
        <v>700</v>
      </c>
      <c r="I72" s="2"/>
      <c r="J72" s="2"/>
    </row>
    <row r="73" ht="59.25">
      <c r="A73" s="2"/>
      <c r="B73" s="69" t="s">
        <v>87</v>
      </c>
      <c r="C73" s="5">
        <v>0</v>
      </c>
      <c r="D73" s="5">
        <v>0</v>
      </c>
      <c r="E73" s="5">
        <v>0</v>
      </c>
      <c r="F73" s="5">
        <v>0</v>
      </c>
      <c r="G73" s="19">
        <f>Inputs!C137</f>
        <v>30</v>
      </c>
      <c r="H73" s="34">
        <f>C72</f>
        <v>0</v>
      </c>
      <c r="I73" s="2"/>
      <c r="J73" s="95" t="s">
        <v>88</v>
      </c>
    </row>
    <row r="74" ht="12.75">
      <c r="A74" s="2"/>
      <c r="B74" s="65" t="s">
        <v>68</v>
      </c>
      <c r="C74" s="43" t="str">
        <f>IF(C73=0,"n.a.",C72/C73-1)</f>
        <v>n.a.</v>
      </c>
      <c r="D74" s="43" t="str">
        <f>IF(D73=0,"n.a.",D72/D73-1)</f>
        <v>n.a.</v>
      </c>
      <c r="E74" s="43" t="str">
        <f>IF(E73=0,"n.a.",E72/E73-1)</f>
        <v>n.a.</v>
      </c>
      <c r="F74" s="43" t="str">
        <f>IF(F73=0,"n.a.",F72/F73-1)</f>
        <v>n.a.</v>
      </c>
      <c r="G74" s="43">
        <f>IF(G73=0,"n.a.",G72/G73-1)</f>
        <v>-1</v>
      </c>
      <c r="H74" s="64" t="str">
        <f>IF(H73=0,"n.a.",H72/H73-1)</f>
        <v>n.a.</v>
      </c>
      <c r="I74" s="2"/>
      <c r="J74" s="2"/>
    </row>
    <row r="75" ht="12.75">
      <c r="A75" s="2"/>
      <c r="B75" s="65" t="s">
        <v>70</v>
      </c>
      <c r="C75" s="43" t="s">
        <v>69</v>
      </c>
      <c r="D75" s="43" t="str">
        <f>IF(C72=0,"n.a.",D72/C72-1)</f>
        <v>n.a.</v>
      </c>
      <c r="E75" s="43" t="s">
        <v>69</v>
      </c>
      <c r="F75" s="43" t="str">
        <f>IF(D72=0,"n.a.",F72/D72-1)</f>
        <v>n.a.</v>
      </c>
      <c r="G75" s="43" t="str">
        <f>IF(F72=0,"n.a.",G72/F72-1)</f>
        <v>n.a.</v>
      </c>
      <c r="H75" s="64" t="str">
        <f>IF(G72=0,"n.a.",H72/G72-1)</f>
        <v>n.a.</v>
      </c>
      <c r="I75" s="2"/>
      <c r="J75" s="2"/>
    </row>
    <row r="76" ht="12.75">
      <c r="A76" s="2"/>
      <c r="B76" s="49" t="s">
        <v>71</v>
      </c>
      <c r="C76" s="3" t="s">
        <v>69</v>
      </c>
      <c r="D76" s="3">
        <f>D72-C72</f>
        <v>0</v>
      </c>
      <c r="E76" s="3" t="s">
        <v>69</v>
      </c>
      <c r="F76" s="3">
        <f>F72-D72</f>
        <v>0</v>
      </c>
      <c r="G76" s="3">
        <f>G72-F72</f>
        <v>0</v>
      </c>
      <c r="H76" s="34">
        <f>H72-G72</f>
        <v>700</v>
      </c>
      <c r="I76" s="2"/>
      <c r="J76" s="2"/>
    </row>
    <row r="77" ht="12.75">
      <c r="A77" s="2"/>
      <c r="B77" s="65" t="s">
        <v>72</v>
      </c>
      <c r="C77" s="43">
        <f>IF(C84=0,0,C72/C84)</f>
        <v>0</v>
      </c>
      <c r="D77" s="43">
        <f>IF(D84=0,0,D72/D84)</f>
        <v>0</v>
      </c>
      <c r="E77" s="43">
        <f>IF(E84=0,0,E72/E84)</f>
        <v>0.357227911407478</v>
      </c>
      <c r="F77" s="43">
        <f>IF(F84=0,0,F72/F84)</f>
        <v>0</v>
      </c>
      <c r="G77" s="43">
        <f>IF(G84=0,0,G72/G84)</f>
        <v>0</v>
      </c>
      <c r="H77" s="64">
        <f>IF(H84=0,0,H72/H84)</f>
        <v>0.9787472035794182</v>
      </c>
      <c r="I77" s="2"/>
      <c r="J77" s="2"/>
    </row>
    <row r="78" ht="25.5">
      <c r="A78" s="2"/>
      <c r="B78" s="73" t="s">
        <v>73</v>
      </c>
      <c r="C78" s="43" t="s">
        <v>69</v>
      </c>
      <c r="D78" s="43" t="s">
        <v>69</v>
      </c>
      <c r="E78" s="43" t="s">
        <v>69</v>
      </c>
      <c r="F78" s="43" t="s">
        <v>69</v>
      </c>
      <c r="G78" s="43" t="s">
        <v>69</v>
      </c>
      <c r="H78" s="64" t="s">
        <v>69</v>
      </c>
      <c r="I78" s="2"/>
      <c r="J78" s="2"/>
    </row>
    <row r="79" ht="12.75">
      <c r="A79" s="2"/>
      <c r="B79" s="65" t="s">
        <v>74</v>
      </c>
      <c r="C79" s="43" t="s">
        <v>69</v>
      </c>
      <c r="D79" s="43" t="s">
        <v>69</v>
      </c>
      <c r="E79" s="43" t="s">
        <v>69</v>
      </c>
      <c r="F79" s="43" t="s">
        <v>69</v>
      </c>
      <c r="G79" s="43" t="s">
        <v>69</v>
      </c>
      <c r="H79" s="64" t="s">
        <v>69</v>
      </c>
      <c r="I79" s="2"/>
      <c r="J79" s="2"/>
    </row>
    <row r="80" ht="25.5">
      <c r="A80" s="2"/>
      <c r="B80" s="73" t="s">
        <v>75</v>
      </c>
      <c r="C80" s="43" t="str">
        <f>IF(AND(ISNUMBER(C74),ISNUMBER(C78),ISNUMBER(C79)),(1+C74)/((1+C78)*(1+C79))-1,"n.a.")</f>
        <v>n.a.</v>
      </c>
      <c r="D80" s="43" t="str">
        <f>IF(AND(ISNUMBER(D74),ISNUMBER(D78),ISNUMBER(D79)),(1+D74)/((1+D78)*(1+D79))-1,"n.a.")</f>
        <v>n.a.</v>
      </c>
      <c r="E80" s="43" t="str">
        <f>IF(AND(ISNUMBER(E74),ISNUMBER(E78),ISNUMBER(E79)),(1+E74)/((1+E78)*(1+E79))-1,"n.a.")</f>
        <v>n.a.</v>
      </c>
      <c r="F80" s="43" t="str">
        <f>IF(AND(ISNUMBER(F74),ISNUMBER(F78),ISNUMBER(F79)),(1+F74)/((1+F78)*(1+F79))-1,"n.a.")</f>
        <v>n.a.</v>
      </c>
      <c r="G80" s="43" t="str">
        <f>IF(AND(ISNUMBER(G74),ISNUMBER(G78),ISNUMBER(G79)),(1+G74)/((1+G78)*(1+G79))-1,"n.a.")</f>
        <v>n.a.</v>
      </c>
      <c r="H80" s="64" t="str">
        <f>IF(AND(ISNUMBER(H74),ISNUMBER(H78),ISNUMBER(H79)),(1+H74)/((1+H78)*(1+H79))-1,"n.a.")</f>
        <v>n.a.</v>
      </c>
      <c r="I80" s="2"/>
      <c r="J80" s="2"/>
    </row>
    <row r="81" ht="25.5">
      <c r="A81" s="2"/>
      <c r="B81" s="69" t="s">
        <v>89</v>
      </c>
      <c r="C81" s="5">
        <v>0</v>
      </c>
      <c r="D81" s="19">
        <f>E81-Inputs!C114</f>
        <v>0</v>
      </c>
      <c r="E81" s="5">
        <v>30</v>
      </c>
      <c r="F81" s="5">
        <v>0</v>
      </c>
      <c r="G81" s="5">
        <v>0</v>
      </c>
      <c r="H81" s="34"/>
      <c r="I81" s="2"/>
      <c r="J81" s="2"/>
    </row>
    <row r="82" ht="36.75">
      <c r="A82" s="2"/>
      <c r="B82" s="69" t="s">
        <v>90</v>
      </c>
      <c r="C82" s="3">
        <f>IF(ISNUMBER(C81),ROUND(C72-C81,6),0)</f>
        <v>0</v>
      </c>
      <c r="D82" s="3">
        <f>IF(ISNUMBER(D81),ROUND(D72-D81,6),0)</f>
        <v>0</v>
      </c>
      <c r="E82" s="3">
        <f>IF(ISNUMBER(E81),ROUND(E72-E81,6),0)</f>
        <v>0</v>
      </c>
      <c r="F82" s="3">
        <f>IF(ISNUMBER(F81),ROUND(F72-F81,6),0)</f>
        <v>0</v>
      </c>
      <c r="G82" s="3">
        <f>IF(ISNUMBER(G81),ROUND(G72-G81,6),0)</f>
        <v>0</v>
      </c>
      <c r="H82" s="34">
        <f>IF(ISNUMBER(H81),ROUND(H72-H81,6),0)</f>
        <v>0</v>
      </c>
      <c r="I82" s="2"/>
      <c r="J82" s="2"/>
    </row>
    <row r="83" ht="12.75">
      <c r="A83" s="2"/>
      <c r="B83" s="2"/>
      <c r="C83" s="2"/>
      <c r="D83" s="2"/>
      <c r="E83" s="2"/>
      <c r="F83" s="2"/>
      <c r="G83" s="2"/>
      <c r="H83" s="35"/>
      <c r="I83" s="2"/>
      <c r="J83" s="2"/>
    </row>
    <row r="84" ht="12.75">
      <c r="A84" s="2"/>
      <c r="B84" s="46" t="s">
        <v>91</v>
      </c>
      <c r="C84" s="28">
        <f>C43+C72</f>
        <v>7.894</v>
      </c>
      <c r="D84" s="28">
        <f>D43+D72</f>
        <v>13.576999999999993</v>
      </c>
      <c r="E84" s="28">
        <f>E43+E72</f>
        <v>83.97999999999999</v>
      </c>
      <c r="F84" s="28">
        <f>F43+F72</f>
        <v>6.252</v>
      </c>
      <c r="G84" s="28">
        <f>G43+G72</f>
        <v>9.043</v>
      </c>
      <c r="H84" s="36">
        <f>H43+H72</f>
        <v>715.2</v>
      </c>
      <c r="I84" s="2"/>
      <c r="J84" s="2"/>
    </row>
    <row r="85" ht="25.5">
      <c r="A85" s="2"/>
      <c r="B85" s="69" t="s">
        <v>92</v>
      </c>
      <c r="C85" s="3">
        <f>C44+C73</f>
        <v>12.588</v>
      </c>
      <c r="D85" s="3">
        <f>D44+D73</f>
        <v>13.283999999999999</v>
      </c>
      <c r="E85" s="3">
        <f>E44+E73</f>
        <v>54.549</v>
      </c>
      <c r="F85" s="3">
        <f>F44+F73</f>
        <v>18.453</v>
      </c>
      <c r="G85" s="3">
        <f>G44+G73</f>
        <v>44.056</v>
      </c>
      <c r="H85" s="34">
        <f>C84</f>
        <v>7.894</v>
      </c>
      <c r="I85" s="2"/>
      <c r="J85" s="2"/>
    </row>
    <row r="86" ht="12.75">
      <c r="A86" s="2"/>
      <c r="B86" s="65" t="s">
        <v>68</v>
      </c>
      <c r="C86" s="43">
        <f>IF(C85=0,"n.a.",C84/C85-1)</f>
        <v>-0.37289482046393385</v>
      </c>
      <c r="D86" s="43">
        <f>IF(D85=0,"n.a.",D84/D85-1)</f>
        <v>0.022056609454983</v>
      </c>
      <c r="E86" s="43">
        <f>IF(E85=0,"n.a.",E84/E85-1)</f>
        <v>0.5395332636711945</v>
      </c>
      <c r="F86" s="43">
        <f>IF(F85=0,"n.a.",F84/F85-1)</f>
        <v>-0.6611933019021297</v>
      </c>
      <c r="G86" s="43">
        <f>IF(G85=0,"n.a.",G84/G85-1)</f>
        <v>-0.7947385146177592</v>
      </c>
      <c r="H86" s="64">
        <f>IF(H85=0,"n.a.",H84/H85-1)</f>
        <v>89.60045604256398</v>
      </c>
      <c r="I86" s="2"/>
      <c r="J86" s="2"/>
    </row>
    <row r="87" ht="12.75">
      <c r="A87" s="2"/>
      <c r="B87" s="65" t="s">
        <v>70</v>
      </c>
      <c r="C87" s="43" t="s">
        <v>69</v>
      </c>
      <c r="D87" s="43">
        <f>IF(C84=0,"n.a.",D84/C84-1)</f>
        <v>0.7199138586268041</v>
      </c>
      <c r="E87" s="43" t="s">
        <v>69</v>
      </c>
      <c r="F87" s="43">
        <f>IF(D84=0,"n.a.",F84/D84-1)</f>
        <v>-0.539515356853502</v>
      </c>
      <c r="G87" s="43">
        <f>IF(F84=0,"n.a.",G84/F84-1)</f>
        <v>0.4464171465131157</v>
      </c>
      <c r="H87" s="64">
        <f>IF(G84=0,"n.a.",H84/G84-1)</f>
        <v>78.08879796527702</v>
      </c>
      <c r="I87" s="2"/>
      <c r="J87" s="2"/>
    </row>
    <row r="88" ht="12.75">
      <c r="A88" s="2"/>
      <c r="B88" s="49" t="s">
        <v>71</v>
      </c>
      <c r="C88" s="3" t="s">
        <v>69</v>
      </c>
      <c r="D88" s="3">
        <f>D84-C84</f>
        <v>5.682999999999993</v>
      </c>
      <c r="E88" s="3" t="s">
        <v>69</v>
      </c>
      <c r="F88" s="3">
        <f>F84-D84</f>
        <v>-7.324999999999993</v>
      </c>
      <c r="G88" s="3">
        <f>G84-F84</f>
        <v>2.7909999999999995</v>
      </c>
      <c r="H88" s="34">
        <f>H84-G84</f>
        <v>706.157</v>
      </c>
      <c r="I88" s="2"/>
      <c r="J88" s="2"/>
    </row>
    <row r="89" ht="12.75">
      <c r="A89" s="2"/>
      <c r="B89" s="65" t="s">
        <v>72</v>
      </c>
      <c r="C89" s="43">
        <f>IF(C84=0,0,C84/C84)</f>
        <v>1</v>
      </c>
      <c r="D89" s="43">
        <f>IF(D84=0,0,D84/D84)</f>
        <v>1</v>
      </c>
      <c r="E89" s="43">
        <f>IF(E84=0,0,E84/E84)</f>
        <v>1</v>
      </c>
      <c r="F89" s="43">
        <f>IF(F84=0,0,F84/F84)</f>
        <v>1</v>
      </c>
      <c r="G89" s="43">
        <f>IF(G84=0,0,G84/G84)</f>
        <v>1</v>
      </c>
      <c r="H89" s="64">
        <f>IF(H84=0,0,H84/H84)</f>
        <v>1</v>
      </c>
      <c r="I89" s="2"/>
      <c r="J89" s="2"/>
    </row>
    <row r="90" ht="25.5">
      <c r="A90" s="2"/>
      <c r="B90" s="73" t="s">
        <v>73</v>
      </c>
      <c r="C90" s="43" t="s">
        <v>69</v>
      </c>
      <c r="D90" s="43" t="s">
        <v>69</v>
      </c>
      <c r="E90" s="43" t="s">
        <v>69</v>
      </c>
      <c r="F90" s="43" t="s">
        <v>69</v>
      </c>
      <c r="G90" s="43" t="s">
        <v>69</v>
      </c>
      <c r="H90" s="64" t="s">
        <v>69</v>
      </c>
      <c r="I90" s="2"/>
      <c r="J90" s="2"/>
    </row>
    <row r="91" ht="12.75">
      <c r="A91" s="2"/>
      <c r="B91" s="65" t="s">
        <v>74</v>
      </c>
      <c r="C91" s="43" t="s">
        <v>69</v>
      </c>
      <c r="D91" s="43" t="s">
        <v>69</v>
      </c>
      <c r="E91" s="43" t="s">
        <v>69</v>
      </c>
      <c r="F91" s="43" t="s">
        <v>69</v>
      </c>
      <c r="G91" s="43" t="s">
        <v>69</v>
      </c>
      <c r="H91" s="64" t="s">
        <v>69</v>
      </c>
      <c r="I91" s="2"/>
      <c r="J91" s="2"/>
    </row>
    <row r="92" ht="25.5">
      <c r="A92" s="2"/>
      <c r="B92" s="73" t="s">
        <v>75</v>
      </c>
      <c r="C92" s="43" t="str">
        <f>IF(AND(ISNUMBER(C86),ISNUMBER(C90),ISNUMBER(C91)),(1+C86)/((1+C90)*(1+C91))-1,"n.a.")</f>
        <v>n.a.</v>
      </c>
      <c r="D92" s="43" t="str">
        <f>IF(AND(ISNUMBER(D86),ISNUMBER(D90),ISNUMBER(D91)),(1+D86)/((1+D90)*(1+D91))-1,"n.a.")</f>
        <v>n.a.</v>
      </c>
      <c r="E92" s="43" t="str">
        <f>IF(AND(ISNUMBER(E86),ISNUMBER(E90),ISNUMBER(E91)),(1+E86)/((1+E90)*(1+E91))-1,"n.a.")</f>
        <v>n.a.</v>
      </c>
      <c r="F92" s="43" t="str">
        <f>IF(AND(ISNUMBER(F86),ISNUMBER(F90),ISNUMBER(F91)),(1+F86)/((1+F90)*(1+F91))-1,"n.a.")</f>
        <v>n.a.</v>
      </c>
      <c r="G92" s="43" t="str">
        <f>IF(AND(ISNUMBER(G86),ISNUMBER(G90),ISNUMBER(G91)),(1+G86)/((1+G90)*(1+G91))-1,"n.a.")</f>
        <v>n.a.</v>
      </c>
      <c r="H92" s="64" t="str">
        <f>IF(AND(ISNUMBER(H86),ISNUMBER(H90),ISNUMBER(H91)),(1+H86)/((1+H90)*(1+H91))-1,"n.a.")</f>
        <v>n.a.</v>
      </c>
      <c r="I92" s="2"/>
      <c r="J92" s="2"/>
    </row>
    <row r="93" ht="25.5">
      <c r="A93" s="2"/>
      <c r="B93" s="69" t="s">
        <v>93</v>
      </c>
      <c r="C93" s="19">
        <f>Inputs!E19</f>
        <v>7.89</v>
      </c>
      <c r="D93" s="19">
        <f>Inputs!F19</f>
        <v>13.58</v>
      </c>
      <c r="E93" s="90">
        <f>SUM(Inputs!C19:F19)</f>
        <v>83.98</v>
      </c>
      <c r="F93" s="19">
        <f>Inputs!G19</f>
        <v>6.25</v>
      </c>
      <c r="G93" s="19">
        <f>Inputs!H19</f>
        <v>9.04</v>
      </c>
      <c r="H93" s="34"/>
      <c r="I93" s="2"/>
      <c r="J93" s="2"/>
    </row>
    <row r="94" ht="36.75">
      <c r="A94" s="2"/>
      <c r="B94" s="69" t="s">
        <v>94</v>
      </c>
      <c r="C94" s="3"/>
      <c r="D94" s="3"/>
      <c r="E94" s="3"/>
      <c r="F94" s="19">
        <f>Inputs!C19</f>
        <v>18.45</v>
      </c>
      <c r="G94" s="19">
        <f>Inputs!D19</f>
        <v>44.06</v>
      </c>
      <c r="H94" s="34"/>
      <c r="I94" s="2"/>
      <c r="J94" s="2"/>
    </row>
    <row r="95" ht="25.5">
      <c r="A95" s="2"/>
      <c r="B95" s="69" t="s">
        <v>95</v>
      </c>
      <c r="C95" s="40">
        <f>IF(ISNUMBER(C94),ROUND(C85,2)-C94,0)</f>
        <v>0</v>
      </c>
      <c r="D95" s="40">
        <f>IF(ISNUMBER(D94),ROUND(D85,2)-D94,0)</f>
        <v>0</v>
      </c>
      <c r="E95" s="40">
        <f>IF(ISNUMBER(E94),ROUND(E85,2)-E94,0)</f>
        <v>0</v>
      </c>
      <c r="F95" s="40">
        <f>IF(ISNUMBER(F94),ROUND(F85,2)-F94,0)</f>
        <v>0</v>
      </c>
      <c r="G95" s="40">
        <f>IF(ISNUMBER(G94),ROUND(G85,2)-G94,0)</f>
        <v>0</v>
      </c>
      <c r="H95" s="41">
        <f>IF(ISNUMBER(H94),ROUND(H85,2)-H94,0)</f>
        <v>0</v>
      </c>
      <c r="I95" s="2"/>
      <c r="J95" s="2"/>
    </row>
    <row r="96" ht="36.75">
      <c r="A96" s="2"/>
      <c r="B96" s="69" t="s">
        <v>96</v>
      </c>
      <c r="C96" s="40">
        <f>IF(ISNUMBER(C93),ROUND(C84,2)-C93,0)</f>
        <v>0</v>
      </c>
      <c r="D96" s="40">
        <f>IF(ISNUMBER(D93),ROUND(D84,2)-D93,0)</f>
        <v>0</v>
      </c>
      <c r="E96" s="40">
        <f>IF(ISNUMBER(E93),ROUND(E84,2)-E93,0)</f>
        <v>0</v>
      </c>
      <c r="F96" s="40">
        <f>IF(ISNUMBER(F93),ROUND(F84,2)-F93,0)</f>
        <v>0</v>
      </c>
      <c r="G96" s="40">
        <f>IF(ISNUMBER(G93),ROUND(G84,2)-G93,0)</f>
        <v>0</v>
      </c>
      <c r="H96" s="41">
        <f>IF(ISNUMBER(H93),ROUND(H84,2)-H93,0)</f>
        <v>0</v>
      </c>
      <c r="I96" s="2"/>
      <c r="J96" s="2"/>
    </row>
    <row r="97" ht="36.75">
      <c r="A97" s="2"/>
      <c r="B97" s="69" t="s">
        <v>97</v>
      </c>
      <c r="C97" s="3">
        <f>IF(ISNUMBER(C52),ROUND(C84-C52-C81,6),0)</f>
        <v>0</v>
      </c>
      <c r="D97" s="3">
        <f>IF(ISNUMBER(D52),ROUND(D84-D52-D81,6),0)</f>
        <v>0</v>
      </c>
      <c r="E97" s="3">
        <f>IF(ISNUMBER(E52),ROUND(E84-E52-E81,6),0)</f>
        <v>0</v>
      </c>
      <c r="F97" s="3">
        <f>IF(ISNUMBER(F52),ROUND(F84-F52-F81,6),0)</f>
        <v>0</v>
      </c>
      <c r="G97" s="3">
        <f>IF(ISNUMBER(G52),ROUND(G84-G52-G81,6),0)</f>
        <v>0</v>
      </c>
      <c r="H97" s="34">
        <f>IF(ISNUMBER(H52),ROUND(H84-H52-H81,6),0)</f>
        <v>0</v>
      </c>
      <c r="I97" s="2"/>
      <c r="J97" s="2"/>
    </row>
    <row r="98" ht="12.75">
      <c r="A98" s="2"/>
      <c r="B98" s="2"/>
      <c r="C98" s="2"/>
      <c r="D98" s="2"/>
      <c r="E98" s="2"/>
      <c r="F98" s="2"/>
      <c r="G98" s="2"/>
      <c r="H98" s="35"/>
      <c r="I98" s="2"/>
      <c r="J98" s="2"/>
    </row>
    <row r="99" ht="12.75">
      <c r="A99" s="2"/>
      <c r="B99" s="46" t="s">
        <v>98</v>
      </c>
      <c r="C99" s="3"/>
      <c r="D99" s="3"/>
      <c r="E99" s="3"/>
      <c r="F99" s="3"/>
      <c r="G99" s="3"/>
      <c r="H99" s="34"/>
      <c r="I99" s="2"/>
      <c r="J99" s="2"/>
    </row>
    <row r="100" ht="25.5">
      <c r="A100" s="2"/>
      <c r="B100" s="7" t="s">
        <v>99</v>
      </c>
      <c r="C100" s="3"/>
      <c r="D100" s="3"/>
      <c r="E100" s="3"/>
      <c r="F100" s="3"/>
      <c r="G100" s="3"/>
      <c r="H100" s="32">
        <f>Guidance!E11</f>
        <v>700</v>
      </c>
      <c r="I100" s="2"/>
      <c r="J100" s="2"/>
    </row>
    <row r="101" ht="126.75">
      <c r="A101" s="2"/>
      <c r="B101" s="52" t="s">
        <v>100</v>
      </c>
      <c r="C101" s="43"/>
      <c r="D101" s="43"/>
      <c r="E101" s="43"/>
      <c r="F101" s="43"/>
      <c r="G101" s="43"/>
      <c r="H101" s="61">
        <v>1</v>
      </c>
      <c r="I101" s="2"/>
      <c r="J101" s="95" t="s">
        <v>101</v>
      </c>
    </row>
    <row r="102" ht="25.5">
      <c r="A102" s="2"/>
      <c r="B102" s="69" t="s">
        <v>102</v>
      </c>
      <c r="C102" s="38"/>
      <c r="D102" s="38"/>
      <c r="E102" s="38"/>
      <c r="F102" s="38"/>
      <c r="G102" s="38"/>
      <c r="H102" s="56" t="s">
        <v>69</v>
      </c>
      <c r="I102" s="2"/>
      <c r="J102" s="2"/>
    </row>
    <row r="103" ht="25.5">
      <c r="A103" s="2"/>
      <c r="B103" s="7" t="s">
        <v>103</v>
      </c>
      <c r="C103" s="3"/>
      <c r="D103" s="3"/>
      <c r="E103" s="3"/>
      <c r="F103" s="3"/>
      <c r="G103" s="3"/>
      <c r="H103" s="34">
        <f>H100*(1-H101)</f>
        <v>0</v>
      </c>
      <c r="I103" s="2"/>
      <c r="J103" s="2"/>
    </row>
    <row r="104" ht="36.75">
      <c r="A104" s="2"/>
      <c r="B104" s="52" t="s">
        <v>104</v>
      </c>
      <c r="C104" s="43"/>
      <c r="D104" s="43"/>
      <c r="E104" s="43"/>
      <c r="F104" s="43"/>
      <c r="G104" s="43"/>
      <c r="H104" s="61">
        <v>0</v>
      </c>
      <c r="I104" s="2"/>
      <c r="J104" s="2"/>
    </row>
    <row r="105" ht="25.5">
      <c r="A105" s="2"/>
      <c r="B105" s="69" t="s">
        <v>102</v>
      </c>
      <c r="C105" s="38"/>
      <c r="D105" s="38"/>
      <c r="E105" s="38"/>
      <c r="F105" s="38"/>
      <c r="G105" s="38"/>
      <c r="H105" s="56" t="s">
        <v>69</v>
      </c>
      <c r="I105" s="2"/>
      <c r="J105" s="2"/>
    </row>
    <row r="106" ht="70.5">
      <c r="A106" s="2"/>
      <c r="B106" s="7" t="s">
        <v>105</v>
      </c>
      <c r="C106" s="3"/>
      <c r="D106" s="3"/>
      <c r="E106" s="3"/>
      <c r="F106" s="3"/>
      <c r="G106" s="3"/>
      <c r="H106" s="32">
        <f>Guidance!E17</f>
        <v>10</v>
      </c>
      <c r="I106" s="2"/>
      <c r="J106" s="95" t="s">
        <v>106</v>
      </c>
    </row>
    <row r="107" ht="25.5">
      <c r="A107" s="2"/>
      <c r="B107" s="7" t="s">
        <v>107</v>
      </c>
      <c r="C107" s="3"/>
      <c r="D107" s="3"/>
      <c r="E107" s="3"/>
      <c r="F107" s="3"/>
      <c r="G107" s="3"/>
      <c r="H107" s="29">
        <v>0</v>
      </c>
      <c r="I107" s="2"/>
      <c r="J107" s="2"/>
    </row>
    <row r="108" ht="25.5">
      <c r="A108" s="2"/>
      <c r="B108" s="7" t="s">
        <v>108</v>
      </c>
      <c r="C108" s="3"/>
      <c r="D108" s="3"/>
      <c r="E108" s="3"/>
      <c r="F108" s="3"/>
      <c r="G108" s="3"/>
      <c r="H108" s="29">
        <v>5</v>
      </c>
      <c r="I108" s="2"/>
      <c r="J108" s="2"/>
    </row>
    <row r="109" ht="48">
      <c r="A109" s="2"/>
      <c r="B109" s="7" t="s">
        <v>109</v>
      </c>
      <c r="C109" s="3"/>
      <c r="D109" s="3"/>
      <c r="E109" s="3"/>
      <c r="F109" s="3"/>
      <c r="G109" s="3"/>
      <c r="H109" s="29">
        <v>0.2</v>
      </c>
      <c r="I109" s="2"/>
      <c r="J109" s="95" t="s">
        <v>110</v>
      </c>
    </row>
    <row r="110" ht="12.75">
      <c r="A110" s="2"/>
      <c r="B110" s="2"/>
      <c r="C110" s="2"/>
      <c r="D110" s="2"/>
      <c r="E110" s="2"/>
      <c r="F110" s="2"/>
      <c r="G110" s="2"/>
      <c r="H110" s="35"/>
      <c r="I110" s="2"/>
      <c r="J110" s="2"/>
    </row>
    <row r="111" ht="12.75">
      <c r="A111" s="2"/>
      <c r="B111" s="46" t="s">
        <v>111</v>
      </c>
      <c r="C111" s="3"/>
      <c r="D111" s="3"/>
      <c r="E111" s="3"/>
      <c r="F111" s="3"/>
      <c r="G111" s="3"/>
      <c r="H111" s="34"/>
      <c r="I111" s="2"/>
      <c r="J111" s="2"/>
    </row>
    <row r="112" ht="12.75">
      <c r="A112" s="2"/>
      <c r="B112" s="9" t="s">
        <v>112</v>
      </c>
      <c r="C112" s="19">
        <f>Inputs!C146</f>
        <v>49.062</v>
      </c>
      <c r="D112" s="3">
        <f>C116</f>
        <v>41.168</v>
      </c>
      <c r="E112" s="19">
        <f>Inputs!C138</f>
        <v>64.571</v>
      </c>
      <c r="F112" s="3">
        <f>D116</f>
        <v>27.591</v>
      </c>
      <c r="G112" s="3">
        <f>F116</f>
        <v>26.339000000000002</v>
      </c>
      <c r="H112" s="34">
        <f>G116</f>
        <v>19.295</v>
      </c>
      <c r="I112" s="2"/>
      <c r="J112" s="2"/>
    </row>
    <row r="113" ht="12.75">
      <c r="A113" s="2"/>
      <c r="B113" s="9" t="s">
        <v>113</v>
      </c>
      <c r="C113" s="19">
        <f>'Cash Flow Statement'!C20</f>
        <v>-7.893999999999998</v>
      </c>
      <c r="D113" s="19">
        <f>'Cash Flow Statement'!D20</f>
        <v>-13.576999999999998</v>
      </c>
      <c r="E113" s="19">
        <f>'Cash Flow Statement'!E20</f>
        <v>-36.98</v>
      </c>
      <c r="F113" s="19">
        <f>'Cash Flow Statement'!F20</f>
        <v>-1.252</v>
      </c>
      <c r="G113" s="19">
        <f>'Cash Flow Statement'!G20</f>
        <v>-7.044</v>
      </c>
      <c r="H113" s="34">
        <f>H103-H35-H108-H109</f>
        <v>-5.2</v>
      </c>
      <c r="I113" s="2"/>
      <c r="J113" s="2"/>
    </row>
    <row r="114" ht="12.75">
      <c r="A114" s="2"/>
      <c r="B114" s="49" t="s">
        <v>114</v>
      </c>
      <c r="C114" s="3" t="s">
        <v>69</v>
      </c>
      <c r="D114" s="3" t="s">
        <v>69</v>
      </c>
      <c r="E114" s="3" t="s">
        <v>69</v>
      </c>
      <c r="F114" s="3" t="s">
        <v>69</v>
      </c>
      <c r="G114" s="3" t="s">
        <v>69</v>
      </c>
      <c r="H114" s="34">
        <f>H113-C113</f>
        <v>2.693999999999998</v>
      </c>
      <c r="I114" s="2"/>
      <c r="J114" s="2"/>
    </row>
    <row r="115" ht="12.75">
      <c r="A115" s="2"/>
      <c r="B115" s="49" t="s">
        <v>71</v>
      </c>
      <c r="C115" s="3" t="s">
        <v>69</v>
      </c>
      <c r="D115" s="3">
        <f>D113-C113</f>
        <v>-5.683</v>
      </c>
      <c r="E115" s="3" t="s">
        <v>69</v>
      </c>
      <c r="F115" s="3">
        <f>F113-D113</f>
        <v>12.324999999999998</v>
      </c>
      <c r="G115" s="3">
        <f>G113-F113</f>
        <v>-5.792</v>
      </c>
      <c r="H115" s="34">
        <f>H113-G113</f>
        <v>1.8439999999999994</v>
      </c>
      <c r="I115" s="2"/>
      <c r="J115" s="2"/>
    </row>
    <row r="116" ht="12.75">
      <c r="A116" s="2"/>
      <c r="B116" s="46" t="s">
        <v>115</v>
      </c>
      <c r="C116" s="28">
        <f>C112+C113</f>
        <v>41.168</v>
      </c>
      <c r="D116" s="28">
        <f>D112+D113</f>
        <v>27.591</v>
      </c>
      <c r="E116" s="28">
        <f>E112+E113</f>
        <v>27.591</v>
      </c>
      <c r="F116" s="28">
        <f>F112+F113</f>
        <v>26.339000000000002</v>
      </c>
      <c r="G116" s="28">
        <f>G112+G113</f>
        <v>19.295</v>
      </c>
      <c r="H116" s="36">
        <f>H112+H113</f>
        <v>14.095000000000002</v>
      </c>
      <c r="I116" s="2"/>
      <c r="J116" s="2"/>
    </row>
    <row r="117" ht="12.75">
      <c r="A117" s="2"/>
      <c r="B117" s="49" t="s">
        <v>114</v>
      </c>
      <c r="C117" s="3" t="s">
        <v>69</v>
      </c>
      <c r="D117" s="3" t="s">
        <v>69</v>
      </c>
      <c r="E117" s="3" t="s">
        <v>69</v>
      </c>
      <c r="F117" s="3" t="s">
        <v>69</v>
      </c>
      <c r="G117" s="3" t="s">
        <v>69</v>
      </c>
      <c r="H117" s="34">
        <f>H116-C116</f>
        <v>-27.072999999999997</v>
      </c>
      <c r="I117" s="2"/>
      <c r="J117" s="2"/>
    </row>
    <row r="118" ht="12.75">
      <c r="A118" s="2"/>
      <c r="B118" s="49" t="s">
        <v>71</v>
      </c>
      <c r="C118" s="3" t="s">
        <v>69</v>
      </c>
      <c r="D118" s="3">
        <f>D116-C116</f>
        <v>-13.576999999999998</v>
      </c>
      <c r="E118" s="3" t="s">
        <v>69</v>
      </c>
      <c r="F118" s="3">
        <f>F116-D116</f>
        <v>-1.251999999999999</v>
      </c>
      <c r="G118" s="3">
        <f>G116-F116</f>
        <v>-7.0440000000000005</v>
      </c>
      <c r="H118" s="34">
        <f>H116-G116</f>
        <v>-5.199999999999999</v>
      </c>
      <c r="I118" s="2"/>
      <c r="J118" s="2"/>
    </row>
    <row r="119" ht="36.75">
      <c r="A119" s="2"/>
      <c r="B119" s="69" t="s">
        <v>116</v>
      </c>
      <c r="C119" s="19">
        <f>'Balance Sheet'!C25+'Balance Sheet'!C28</f>
        <v>41.168</v>
      </c>
      <c r="D119" s="19">
        <f>'Balance Sheet'!D25+'Balance Sheet'!D28</f>
        <v>27.590999999999998</v>
      </c>
      <c r="E119" s="19">
        <f>'Balance Sheet'!E25+'Balance Sheet'!E28</f>
        <v>27.590999999999998</v>
      </c>
      <c r="F119" s="19">
        <f>'Balance Sheet'!F25+'Balance Sheet'!F28</f>
        <v>26.339000000000002</v>
      </c>
      <c r="G119" s="19">
        <f>'Balance Sheet'!G25+'Balance Sheet'!G28</f>
        <v>19.295</v>
      </c>
      <c r="H119" s="32">
        <f>'Balance Sheet'!H25+'Balance Sheet'!H28</f>
        <v>14.094999999999999</v>
      </c>
      <c r="I119" s="2"/>
      <c r="J119" s="2"/>
    </row>
    <row r="120" ht="25.5">
      <c r="A120" s="2"/>
      <c r="B120" s="69" t="s">
        <v>117</v>
      </c>
      <c r="C120" s="3">
        <f>ROUND(C116-C119,6)</f>
        <v>0</v>
      </c>
      <c r="D120" s="3">
        <f>ROUND(D116-D119,6)</f>
        <v>0</v>
      </c>
      <c r="E120" s="3">
        <f>ROUND(E116-E119,6)</f>
        <v>0</v>
      </c>
      <c r="F120" s="3">
        <f>ROUND(F116-F119,6)</f>
        <v>0</v>
      </c>
      <c r="G120" s="3">
        <f>ROUND(G116-G119,6)</f>
        <v>0</v>
      </c>
      <c r="H120" s="34">
        <f>ROUND(H116-H119,6)</f>
        <v>0</v>
      </c>
      <c r="I120" s="2"/>
      <c r="J120" s="2"/>
    </row>
    <row r="121" ht="12.75">
      <c r="A121" s="2"/>
      <c r="B121" s="9" t="s">
        <v>118</v>
      </c>
      <c r="C121" s="3">
        <f>AVERAGE(C112,C116)</f>
        <v>45.114999999999995</v>
      </c>
      <c r="D121" s="3">
        <f>AVERAGE(D112,D116)</f>
        <v>34.3795</v>
      </c>
      <c r="E121" s="3">
        <f>AVERAGE(E112,E116)</f>
        <v>46.081</v>
      </c>
      <c r="F121" s="3">
        <f>AVERAGE(F112,F116)</f>
        <v>26.965000000000003</v>
      </c>
      <c r="G121" s="3">
        <f>AVERAGE(G112,G116)</f>
        <v>22.817</v>
      </c>
      <c r="H121" s="34">
        <f>AVERAGE(H112,H116)</f>
        <v>16.695</v>
      </c>
      <c r="I121" s="2"/>
      <c r="J121" s="2"/>
    </row>
    <row r="122" ht="12.75">
      <c r="A122" s="2"/>
      <c r="B122" s="49" t="s">
        <v>114</v>
      </c>
      <c r="C122" s="3" t="s">
        <v>69</v>
      </c>
      <c r="D122" s="3" t="s">
        <v>69</v>
      </c>
      <c r="E122" s="3" t="s">
        <v>69</v>
      </c>
      <c r="F122" s="3" t="s">
        <v>69</v>
      </c>
      <c r="G122" s="3" t="s">
        <v>69</v>
      </c>
      <c r="H122" s="34">
        <f>H121-C121</f>
        <v>-28.419999999999995</v>
      </c>
      <c r="I122" s="2"/>
      <c r="J122" s="2"/>
    </row>
    <row r="123" ht="12.75">
      <c r="A123" s="2"/>
      <c r="B123" s="49" t="s">
        <v>71</v>
      </c>
      <c r="C123" s="3" t="s">
        <v>69</v>
      </c>
      <c r="D123" s="3">
        <f>D121-C121</f>
        <v>-10.735499999999995</v>
      </c>
      <c r="E123" s="3" t="s">
        <v>69</v>
      </c>
      <c r="F123" s="3">
        <f>F121-D121</f>
        <v>-7.414499999999997</v>
      </c>
      <c r="G123" s="3">
        <f>G121-F121</f>
        <v>-4.148000000000003</v>
      </c>
      <c r="H123" s="34">
        <f>H121-G121</f>
        <v>-6.122</v>
      </c>
      <c r="I123" s="2"/>
      <c r="J123" s="2"/>
    </row>
    <row r="124" ht="25.5">
      <c r="A124" s="2"/>
      <c r="B124" s="7" t="s">
        <v>119</v>
      </c>
      <c r="C124" s="3">
        <f>C84+C113</f>
        <v>0.0000000000000017763568394002505</v>
      </c>
      <c r="D124" s="3">
        <f>D84+D113</f>
        <v>-0.000000000000005329070518200751</v>
      </c>
      <c r="E124" s="3">
        <f>E84+E113</f>
        <v>46.99999999999999</v>
      </c>
      <c r="F124" s="3">
        <f>F84+F113</f>
        <v>5</v>
      </c>
      <c r="G124" s="3">
        <f>G84+G113</f>
        <v>1.9989999999999997</v>
      </c>
      <c r="H124" s="34">
        <f>H84+H113</f>
        <v>710</v>
      </c>
      <c r="I124" s="2"/>
      <c r="J124" s="2"/>
    </row>
    <row r="125" ht="12.75">
      <c r="A125" s="2"/>
      <c r="B125" s="49" t="s">
        <v>114</v>
      </c>
      <c r="C125" s="3" t="s">
        <v>69</v>
      </c>
      <c r="D125" s="3" t="s">
        <v>69</v>
      </c>
      <c r="E125" s="3" t="s">
        <v>69</v>
      </c>
      <c r="F125" s="3" t="s">
        <v>69</v>
      </c>
      <c r="G125" s="3" t="s">
        <v>69</v>
      </c>
      <c r="H125" s="34">
        <f>H124-C124</f>
        <v>710</v>
      </c>
      <c r="I125" s="2"/>
      <c r="J125" s="2"/>
    </row>
    <row r="126" ht="12.75">
      <c r="A126" s="2"/>
      <c r="B126" s="49" t="s">
        <v>71</v>
      </c>
      <c r="C126" s="3" t="s">
        <v>69</v>
      </c>
      <c r="D126" s="3">
        <f>D124-C124</f>
        <v>-0.000000000000007105427357601002</v>
      </c>
      <c r="E126" s="3" t="s">
        <v>69</v>
      </c>
      <c r="F126" s="3">
        <f>F124-D124</f>
        <v>5.000000000000005</v>
      </c>
      <c r="G126" s="3">
        <f>G124-F124</f>
        <v>-3.0010000000000003</v>
      </c>
      <c r="H126" s="34">
        <f>H124-G124</f>
        <v>708.001</v>
      </c>
      <c r="I126" s="2"/>
      <c r="J126" s="2"/>
    </row>
    <row r="127" ht="25.5">
      <c r="A127" s="2"/>
      <c r="B127" s="52" t="s">
        <v>120</v>
      </c>
      <c r="C127" s="43">
        <f>IF(C112=0,"n.a.",-C113/C112)</f>
        <v>0.16089845501610206</v>
      </c>
      <c r="D127" s="43">
        <f>IF(D112=0,"n.a.",-D113/D112)</f>
        <v>0.3297949863972017</v>
      </c>
      <c r="E127" s="43">
        <f>IF(E112=0,"n.a.",-E113/E112)</f>
        <v>0.5727029161697975</v>
      </c>
      <c r="F127" s="43">
        <f>IF(F112=0,"n.a.",-F113/F112)</f>
        <v>0.04537711572614258</v>
      </c>
      <c r="G127" s="43">
        <f>IF(G112=0,"n.a.",-G113/G112)</f>
        <v>0.2674361213409772</v>
      </c>
      <c r="H127" s="64">
        <f>IF(H112=0,"n.a.",-H113/H112)</f>
        <v>0.2694998704327546</v>
      </c>
      <c r="I127" s="2"/>
      <c r="J127" s="2"/>
    </row>
    <row r="128" ht="25.5">
      <c r="A128" s="2"/>
      <c r="B128" s="69" t="s">
        <v>121</v>
      </c>
      <c r="C128" s="38" t="s">
        <v>69</v>
      </c>
      <c r="D128" s="38">
        <f>IFERROR((D127-C127)*10000,"n.a.")</f>
        <v>1688.9653138109961</v>
      </c>
      <c r="E128" s="38" t="s">
        <v>69</v>
      </c>
      <c r="F128" s="38">
        <f>IFERROR((F127-D127)*10000,"n.a.")</f>
        <v>-2844.178706710591</v>
      </c>
      <c r="G128" s="38">
        <f>IFERROR((G127-F127)*10000,"n.a.")</f>
        <v>2220.5900561483463</v>
      </c>
      <c r="H128" s="56">
        <f>IFERROR((H127-G127)*10000,"n.a.")</f>
        <v>20.637490917773672</v>
      </c>
      <c r="I128" s="2"/>
      <c r="J128" s="2"/>
    </row>
    <row r="129" ht="12.75">
      <c r="A129" s="2"/>
      <c r="B129" s="2"/>
      <c r="C129" s="2"/>
      <c r="D129" s="2"/>
      <c r="E129" s="2"/>
      <c r="F129" s="2"/>
      <c r="G129" s="2"/>
      <c r="H129" s="35"/>
      <c r="I129" s="2"/>
      <c r="J129" s="2"/>
    </row>
    <row r="130" ht="12.75">
      <c r="A130" s="2"/>
      <c r="B130" s="25" t="s">
        <v>122</v>
      </c>
      <c r="C130" s="3"/>
      <c r="D130" s="3"/>
      <c r="E130" s="3"/>
      <c r="F130" s="3"/>
      <c r="G130" s="3"/>
      <c r="H130" s="34"/>
      <c r="I130" s="2"/>
      <c r="J130" s="2"/>
    </row>
    <row r="131" ht="12.75">
      <c r="A131" s="2"/>
      <c r="B131" s="2"/>
      <c r="C131" s="2"/>
      <c r="D131" s="2"/>
      <c r="E131" s="2"/>
      <c r="F131" s="2"/>
      <c r="G131" s="2"/>
      <c r="H131" s="35"/>
      <c r="I131" s="2"/>
      <c r="J131" s="2"/>
    </row>
    <row r="132" ht="12.75">
      <c r="A132" s="2"/>
      <c r="B132" s="2"/>
      <c r="C132" s="2"/>
      <c r="D132" s="2"/>
      <c r="E132" s="2"/>
      <c r="F132" s="2"/>
      <c r="G132" s="2"/>
      <c r="H132" s="2"/>
      <c r="I132" s="2"/>
      <c r="J132" s="2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6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123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60</v>
      </c>
      <c r="C6" s="27" t="s">
        <v>61</v>
      </c>
      <c r="D6" s="27" t="s">
        <v>62</v>
      </c>
      <c r="E6" s="27" t="s">
        <v>63</v>
      </c>
      <c r="F6" s="27" t="s">
        <v>64</v>
      </c>
      <c r="G6" s="27" t="s">
        <v>65</v>
      </c>
      <c r="H6" s="27" t="s">
        <v>4</v>
      </c>
      <c r="I6" s="2"/>
      <c r="J6" s="2"/>
    </row>
    <row r="7" ht="12.75">
      <c r="A7" s="2"/>
      <c r="B7" s="6" t="s">
        <v>5</v>
      </c>
      <c r="C7" s="22">
        <v>45900</v>
      </c>
      <c r="D7" s="22">
        <v>45991</v>
      </c>
      <c r="E7" s="22">
        <v>45991</v>
      </c>
      <c r="F7" s="22">
        <v>46081</v>
      </c>
      <c r="G7" s="22">
        <v>46173</v>
      </c>
      <c r="H7" s="22">
        <v>46265</v>
      </c>
      <c r="I7" s="2"/>
      <c r="J7" s="2"/>
    </row>
    <row r="8" ht="12.75">
      <c r="A8" s="2"/>
      <c r="B8" s="4" t="s">
        <v>6</v>
      </c>
      <c r="C8" s="33">
        <v>92</v>
      </c>
      <c r="D8" s="33">
        <v>91</v>
      </c>
      <c r="E8" s="33">
        <v>365</v>
      </c>
      <c r="F8" s="33">
        <v>90</v>
      </c>
      <c r="G8" s="33">
        <v>92</v>
      </c>
      <c r="H8" s="33">
        <v>92</v>
      </c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124</v>
      </c>
      <c r="C10" s="3"/>
      <c r="D10" s="3"/>
      <c r="E10" s="3"/>
      <c r="F10" s="3"/>
      <c r="G10" s="3"/>
      <c r="H10" s="34"/>
      <c r="I10" s="2"/>
      <c r="J10" s="2"/>
    </row>
    <row r="11" ht="12.75">
      <c r="A11" s="2"/>
      <c r="B11" s="9" t="s">
        <v>79</v>
      </c>
      <c r="C11" s="19">
        <f>'Revenue summary'!C43</f>
        <v>7.894</v>
      </c>
      <c r="D11" s="19">
        <f>'Revenue summary'!D43</f>
        <v>13.576999999999993</v>
      </c>
      <c r="E11" s="19">
        <f>'Revenue summary'!E43</f>
        <v>53.97999999999999</v>
      </c>
      <c r="F11" s="19">
        <f>'Revenue summary'!F43</f>
        <v>6.252</v>
      </c>
      <c r="G11" s="19">
        <f>'Revenue summary'!G43</f>
        <v>9.043</v>
      </c>
      <c r="H11" s="32">
        <f>'Revenue summary'!H43</f>
        <v>15.2</v>
      </c>
      <c r="I11" s="2"/>
      <c r="J11" s="2"/>
    </row>
    <row r="12" ht="12.75">
      <c r="A12" s="2"/>
      <c r="B12" s="9" t="s">
        <v>86</v>
      </c>
      <c r="C12" s="19">
        <f>'Revenue summary'!C72</f>
        <v>0</v>
      </c>
      <c r="D12" s="19">
        <f>'Revenue summary'!D72</f>
        <v>0</v>
      </c>
      <c r="E12" s="19">
        <f>'Revenue summary'!E72</f>
        <v>30</v>
      </c>
      <c r="F12" s="19">
        <f>'Revenue summary'!F72</f>
        <v>0</v>
      </c>
      <c r="G12" s="19">
        <f>'Revenue summary'!G72</f>
        <v>0</v>
      </c>
      <c r="H12" s="32">
        <f>'Revenue summary'!H72</f>
        <v>700</v>
      </c>
      <c r="I12" s="2"/>
      <c r="J12" s="2"/>
    </row>
    <row r="13" ht="12.75">
      <c r="A13" s="2"/>
      <c r="B13" s="46" t="s">
        <v>91</v>
      </c>
      <c r="C13" s="28">
        <f>C11+C12</f>
        <v>7.894</v>
      </c>
      <c r="D13" s="28">
        <f>D11+D12</f>
        <v>13.576999999999993</v>
      </c>
      <c r="E13" s="28">
        <f>E11+E12</f>
        <v>83.97999999999999</v>
      </c>
      <c r="F13" s="28">
        <f>F11+F12</f>
        <v>6.252</v>
      </c>
      <c r="G13" s="28">
        <f>G11+G12</f>
        <v>9.043</v>
      </c>
      <c r="H13" s="36">
        <f>H11+H12</f>
        <v>715.2</v>
      </c>
      <c r="I13" s="2"/>
      <c r="J13" s="2"/>
    </row>
    <row r="14" ht="12.75">
      <c r="A14" s="2"/>
      <c r="B14" s="65" t="s">
        <v>68</v>
      </c>
      <c r="C14" s="62">
        <f>'Revenue summary'!C86</f>
        <v>-0.37289482046393385</v>
      </c>
      <c r="D14" s="62">
        <f>'Revenue summary'!D86</f>
        <v>0.022056609454983</v>
      </c>
      <c r="E14" s="62">
        <f>'Revenue summary'!E86</f>
        <v>0.5395332636711945</v>
      </c>
      <c r="F14" s="62">
        <f>'Revenue summary'!F86</f>
        <v>-0.6611933019021297</v>
      </c>
      <c r="G14" s="62">
        <f>'Revenue summary'!G86</f>
        <v>-0.7947385146177592</v>
      </c>
      <c r="H14" s="77">
        <f>'Revenue summary'!H86</f>
        <v>89.60045604256398</v>
      </c>
      <c r="I14" s="2"/>
      <c r="J14" s="2"/>
    </row>
    <row r="15" ht="12.75">
      <c r="A15" s="2"/>
      <c r="B15" s="65" t="s">
        <v>70</v>
      </c>
      <c r="C15" s="43" t="s">
        <v>69</v>
      </c>
      <c r="D15" s="43">
        <f>IF(C13=0,"n.a.",D13/C13-1)</f>
        <v>0.7199138586268041</v>
      </c>
      <c r="E15" s="43" t="s">
        <v>69</v>
      </c>
      <c r="F15" s="43">
        <f>IF(D13=0,"n.a.",F13/D13-1)</f>
        <v>-0.539515356853502</v>
      </c>
      <c r="G15" s="43">
        <f>IF(F13=0,"n.a.",G13/F13-1)</f>
        <v>0.4464171465131157</v>
      </c>
      <c r="H15" s="64">
        <f>IF(G13=0,"n.a.",H13/G13-1)</f>
        <v>78.08879796527702</v>
      </c>
      <c r="I15" s="2"/>
      <c r="J15" s="2"/>
    </row>
    <row r="16" ht="12.75">
      <c r="A16" s="2"/>
      <c r="B16" s="2"/>
      <c r="C16" s="2"/>
      <c r="D16" s="2"/>
      <c r="E16" s="2"/>
      <c r="F16" s="2"/>
      <c r="G16" s="2"/>
      <c r="H16" s="35"/>
      <c r="I16" s="2"/>
      <c r="J16" s="2"/>
    </row>
    <row r="17" ht="12.75">
      <c r="A17" s="2"/>
      <c r="B17" s="46" t="s">
        <v>125</v>
      </c>
      <c r="C17" s="3"/>
      <c r="D17" s="3"/>
      <c r="E17" s="3"/>
      <c r="F17" s="3"/>
      <c r="G17" s="3"/>
      <c r="H17" s="34"/>
      <c r="I17" s="2"/>
      <c r="J17" s="2"/>
    </row>
    <row r="18" ht="25.5">
      <c r="A18" s="2"/>
      <c r="B18" s="7" t="s">
        <v>126</v>
      </c>
      <c r="C18" s="5">
        <v>25.143</v>
      </c>
      <c r="D18" s="19">
        <f>E18-Inputs!C118</f>
        <v>22.812000000000005</v>
      </c>
      <c r="E18" s="5">
        <v>82.233</v>
      </c>
      <c r="F18" s="5">
        <v>23.974</v>
      </c>
      <c r="G18" s="5">
        <v>28.192</v>
      </c>
      <c r="H18" s="29">
        <v>30</v>
      </c>
      <c r="I18" s="2"/>
      <c r="J18" s="2"/>
    </row>
    <row r="19" ht="12.75">
      <c r="A19" s="2"/>
      <c r="B19" s="49" t="s">
        <v>114</v>
      </c>
      <c r="C19" s="3" t="s">
        <v>69</v>
      </c>
      <c r="D19" s="3" t="s">
        <v>69</v>
      </c>
      <c r="E19" s="3" t="s">
        <v>69</v>
      </c>
      <c r="F19" s="3" t="s">
        <v>69</v>
      </c>
      <c r="G19" s="3" t="s">
        <v>69</v>
      </c>
      <c r="H19" s="34">
        <f>H18-C18</f>
        <v>4.856999999999999</v>
      </c>
      <c r="I19" s="2"/>
      <c r="J19" s="2"/>
    </row>
    <row r="20" ht="12.75">
      <c r="A20" s="2"/>
      <c r="B20" s="49" t="s">
        <v>71</v>
      </c>
      <c r="C20" s="3" t="s">
        <v>69</v>
      </c>
      <c r="D20" s="3">
        <f>D18-C18</f>
        <v>-2.330999999999996</v>
      </c>
      <c r="E20" s="3" t="s">
        <v>69</v>
      </c>
      <c r="F20" s="3">
        <f>F18-D18</f>
        <v>1.1619999999999955</v>
      </c>
      <c r="G20" s="3">
        <f>G18-F18</f>
        <v>4.218</v>
      </c>
      <c r="H20" s="34">
        <f>H18-G18</f>
        <v>1.8079999999999998</v>
      </c>
      <c r="I20" s="2"/>
      <c r="J20" s="2"/>
    </row>
    <row r="21" ht="25.5">
      <c r="A21" s="2"/>
      <c r="B21" s="7" t="s">
        <v>127</v>
      </c>
      <c r="C21" s="5">
        <v>1.389</v>
      </c>
      <c r="D21" s="19">
        <f>E21-Inputs!C119</f>
        <v>1.5939999999999994</v>
      </c>
      <c r="E21" s="5">
        <v>5.648</v>
      </c>
      <c r="F21" s="5">
        <v>1.906</v>
      </c>
      <c r="G21" s="5">
        <v>1.167</v>
      </c>
      <c r="H21" s="29">
        <v>1.2</v>
      </c>
      <c r="I21" s="2"/>
      <c r="J21" s="2"/>
    </row>
    <row r="22" ht="12.75">
      <c r="A22" s="2"/>
      <c r="B22" s="49" t="s">
        <v>114</v>
      </c>
      <c r="C22" s="3" t="s">
        <v>69</v>
      </c>
      <c r="D22" s="3" t="s">
        <v>69</v>
      </c>
      <c r="E22" s="3" t="s">
        <v>69</v>
      </c>
      <c r="F22" s="3" t="s">
        <v>69</v>
      </c>
      <c r="G22" s="3" t="s">
        <v>69</v>
      </c>
      <c r="H22" s="34">
        <f>H21-C21</f>
        <v>-0.18900000000000006</v>
      </c>
      <c r="I22" s="2"/>
      <c r="J22" s="2"/>
    </row>
    <row r="23" ht="12.75">
      <c r="A23" s="2"/>
      <c r="B23" s="49" t="s">
        <v>71</v>
      </c>
      <c r="C23" s="3" t="s">
        <v>69</v>
      </c>
      <c r="D23" s="3">
        <f>D21-C21</f>
        <v>0.2049999999999994</v>
      </c>
      <c r="E23" s="3" t="s">
        <v>69</v>
      </c>
      <c r="F23" s="3">
        <f>F21-D21</f>
        <v>0.3120000000000005</v>
      </c>
      <c r="G23" s="3">
        <f>G21-F21</f>
        <v>-0.7389999999999999</v>
      </c>
      <c r="H23" s="34">
        <f>H21-G21</f>
        <v>0.03299999999999992</v>
      </c>
      <c r="I23" s="2"/>
      <c r="J23" s="2"/>
    </row>
    <row r="24" ht="12.75">
      <c r="A24" s="2"/>
      <c r="B24" s="9" t="s">
        <v>128</v>
      </c>
      <c r="C24" s="5">
        <v>1.492</v>
      </c>
      <c r="D24" s="19">
        <f>E24-Inputs!C120</f>
        <v>1.6589999999999998</v>
      </c>
      <c r="E24" s="5">
        <v>7.443</v>
      </c>
      <c r="F24" s="5">
        <v>1.188</v>
      </c>
      <c r="G24" s="5">
        <v>1.738</v>
      </c>
      <c r="H24" s="29">
        <v>1.5</v>
      </c>
      <c r="I24" s="2"/>
      <c r="J24" s="2"/>
    </row>
    <row r="25" ht="12.75">
      <c r="A25" s="2"/>
      <c r="B25" s="49" t="s">
        <v>114</v>
      </c>
      <c r="C25" s="3" t="s">
        <v>69</v>
      </c>
      <c r="D25" s="3" t="s">
        <v>69</v>
      </c>
      <c r="E25" s="3" t="s">
        <v>69</v>
      </c>
      <c r="F25" s="3" t="s">
        <v>69</v>
      </c>
      <c r="G25" s="3" t="s">
        <v>69</v>
      </c>
      <c r="H25" s="34">
        <f>H24-C24</f>
        <v>0.008000000000000007</v>
      </c>
      <c r="I25" s="2"/>
      <c r="J25" s="2"/>
    </row>
    <row r="26" ht="12.75">
      <c r="A26" s="2"/>
      <c r="B26" s="49" t="s">
        <v>71</v>
      </c>
      <c r="C26" s="3" t="s">
        <v>69</v>
      </c>
      <c r="D26" s="3">
        <f>D24-C24</f>
        <v>0.16699999999999982</v>
      </c>
      <c r="E26" s="3" t="s">
        <v>69</v>
      </c>
      <c r="F26" s="3">
        <f>F24-D24</f>
        <v>-0.47099999999999986</v>
      </c>
      <c r="G26" s="3">
        <f>G24-F24</f>
        <v>0.55</v>
      </c>
      <c r="H26" s="34">
        <f>H24-G24</f>
        <v>-0.238</v>
      </c>
      <c r="I26" s="2"/>
      <c r="J26" s="2"/>
    </row>
    <row r="27" ht="25.5">
      <c r="A27" s="2"/>
      <c r="B27" s="7" t="s">
        <v>129</v>
      </c>
      <c r="C27" s="5">
        <v>58.096</v>
      </c>
      <c r="D27" s="19">
        <f>E27-Inputs!C121</f>
        <v>56.959</v>
      </c>
      <c r="E27" s="5">
        <v>221.579</v>
      </c>
      <c r="F27" s="5">
        <v>57.069</v>
      </c>
      <c r="G27" s="5">
        <v>56.556</v>
      </c>
      <c r="H27" s="29">
        <v>58</v>
      </c>
      <c r="I27" s="2"/>
      <c r="J27" s="2"/>
    </row>
    <row r="28" ht="12.75">
      <c r="A28" s="2"/>
      <c r="B28" s="49" t="s">
        <v>114</v>
      </c>
      <c r="C28" s="3" t="s">
        <v>69</v>
      </c>
      <c r="D28" s="3" t="s">
        <v>69</v>
      </c>
      <c r="E28" s="3" t="s">
        <v>69</v>
      </c>
      <c r="F28" s="3" t="s">
        <v>69</v>
      </c>
      <c r="G28" s="3" t="s">
        <v>69</v>
      </c>
      <c r="H28" s="34">
        <f>H27-C27</f>
        <v>-0.09599999999999653</v>
      </c>
      <c r="I28" s="2"/>
      <c r="J28" s="2"/>
    </row>
    <row r="29" ht="12.75">
      <c r="A29" s="2"/>
      <c r="B29" s="49" t="s">
        <v>71</v>
      </c>
      <c r="C29" s="3" t="s">
        <v>69</v>
      </c>
      <c r="D29" s="3">
        <f>D27-C27</f>
        <v>-1.1369999999999933</v>
      </c>
      <c r="E29" s="3" t="s">
        <v>69</v>
      </c>
      <c r="F29" s="3">
        <f>F27-D27</f>
        <v>0.10999999999999943</v>
      </c>
      <c r="G29" s="3">
        <f>G27-F27</f>
        <v>-0.5130000000000052</v>
      </c>
      <c r="H29" s="34">
        <f>H27-G27</f>
        <v>1.4440000000000026</v>
      </c>
      <c r="I29" s="2"/>
      <c r="J29" s="2"/>
    </row>
    <row r="30" ht="12.75">
      <c r="A30" s="2"/>
      <c r="B30" s="67" t="s">
        <v>130</v>
      </c>
      <c r="C30" s="28">
        <f>SUM(C18,C21,C24,C27)</f>
        <v>86.12</v>
      </c>
      <c r="D30" s="28">
        <f>SUM(D18,D21,D24,D27)</f>
        <v>83.024</v>
      </c>
      <c r="E30" s="28">
        <f>SUM(E18,E21,E24,E27)</f>
        <v>316.903</v>
      </c>
      <c r="F30" s="28">
        <f>SUM(F18,F21,F24,F27)</f>
        <v>84.137</v>
      </c>
      <c r="G30" s="28">
        <f>SUM(G18,G21,G24,G27)</f>
        <v>87.65299999999999</v>
      </c>
      <c r="H30" s="36">
        <f>SUM(H18,H21,H24,H27)</f>
        <v>90.7</v>
      </c>
      <c r="I30" s="2"/>
      <c r="J30" s="2"/>
    </row>
    <row r="31" ht="25.5">
      <c r="A31" s="2"/>
      <c r="B31" s="7" t="s">
        <v>131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34">
        <f>-H88*H83/H$8*H86+H89</f>
        <v>-12.449782608695651</v>
      </c>
      <c r="I31" s="2"/>
      <c r="J31" s="2"/>
    </row>
    <row r="32" ht="12.75">
      <c r="A32" s="2"/>
      <c r="B32" s="67" t="s">
        <v>132</v>
      </c>
      <c r="C32" s="28">
        <f>C30+C31</f>
        <v>86.12</v>
      </c>
      <c r="D32" s="28">
        <f>D30+D31</f>
        <v>83.024</v>
      </c>
      <c r="E32" s="28">
        <f>E30+E31</f>
        <v>316.903</v>
      </c>
      <c r="F32" s="28">
        <f>F30+F31</f>
        <v>84.137</v>
      </c>
      <c r="G32" s="28">
        <f>G30+G31</f>
        <v>87.65299999999999</v>
      </c>
      <c r="H32" s="36">
        <f>H30+H31</f>
        <v>78.25021739130435</v>
      </c>
      <c r="I32" s="2"/>
      <c r="J32" s="2"/>
    </row>
    <row r="33" ht="12.75">
      <c r="A33" s="2"/>
      <c r="B33" s="49" t="s">
        <v>133</v>
      </c>
      <c r="C33" s="5">
        <v>86.12</v>
      </c>
      <c r="D33" s="19">
        <f>Inputs!C128-Inputs!C122</f>
        <v>83.02400000000003</v>
      </c>
      <c r="E33" s="19">
        <f>Inputs!C128</f>
        <v>316.903</v>
      </c>
      <c r="F33" s="5">
        <v>84.137</v>
      </c>
      <c r="G33" s="5">
        <v>87.653</v>
      </c>
      <c r="H33" s="34"/>
      <c r="I33" s="2"/>
      <c r="J33" s="2"/>
    </row>
    <row r="34" ht="25.5">
      <c r="A34" s="2"/>
      <c r="B34" s="69" t="s">
        <v>134</v>
      </c>
      <c r="C34" s="3">
        <f>IF(ISNUMBER(C33),ROUND(C32-C33,6),0)</f>
        <v>0</v>
      </c>
      <c r="D34" s="3">
        <f>IF(ISNUMBER(D33),ROUND(D32-D33,6),0)</f>
        <v>0</v>
      </c>
      <c r="E34" s="3">
        <f>IF(ISNUMBER(E33),ROUND(E32-E33,6),0)</f>
        <v>0</v>
      </c>
      <c r="F34" s="3">
        <f>IF(ISNUMBER(F33),ROUND(F32-F33,6),0)</f>
        <v>0</v>
      </c>
      <c r="G34" s="3">
        <f>IF(ISNUMBER(G33),ROUND(G32-G33,6),0)</f>
        <v>0</v>
      </c>
      <c r="H34" s="34">
        <f>IF(ISNUMBER(H33),ROUND(H32-H33,6),0)</f>
        <v>0</v>
      </c>
      <c r="I34" s="2"/>
      <c r="J34" s="2"/>
    </row>
    <row r="35" ht="12.75">
      <c r="A35" s="2"/>
      <c r="B35" s="65" t="s">
        <v>70</v>
      </c>
      <c r="C35" s="43" t="s">
        <v>69</v>
      </c>
      <c r="D35" s="43">
        <f>D32/C32-1</f>
        <v>-0.03594983743613567</v>
      </c>
      <c r="E35" s="43" t="s">
        <v>69</v>
      </c>
      <c r="F35" s="43">
        <f>F32/D32-1</f>
        <v>0.013405762189246495</v>
      </c>
      <c r="G35" s="43">
        <f>G32/F32-1</f>
        <v>0.04178898700928246</v>
      </c>
      <c r="H35" s="64">
        <f>H32/G32-1</f>
        <v>-0.10727279852025196</v>
      </c>
      <c r="I35" s="2"/>
      <c r="J35" s="2"/>
    </row>
    <row r="36" ht="12.75">
      <c r="A36" s="2"/>
      <c r="B36" s="9" t="s">
        <v>135</v>
      </c>
      <c r="C36" s="5">
        <v>13.159</v>
      </c>
      <c r="D36" s="19">
        <f>E36-Inputs!C123</f>
        <v>13.648000000000003</v>
      </c>
      <c r="E36" s="5">
        <v>52.743</v>
      </c>
      <c r="F36" s="5">
        <v>14.61</v>
      </c>
      <c r="G36" s="5">
        <v>15.594</v>
      </c>
      <c r="H36" s="29">
        <v>16</v>
      </c>
      <c r="I36" s="2"/>
      <c r="J36" s="2"/>
    </row>
    <row r="37" ht="12.75">
      <c r="A37" s="2"/>
      <c r="B37" s="49" t="s">
        <v>114</v>
      </c>
      <c r="C37" s="3" t="s">
        <v>69</v>
      </c>
      <c r="D37" s="3" t="s">
        <v>69</v>
      </c>
      <c r="E37" s="3" t="s">
        <v>69</v>
      </c>
      <c r="F37" s="3" t="s">
        <v>69</v>
      </c>
      <c r="G37" s="3" t="s">
        <v>69</v>
      </c>
      <c r="H37" s="34">
        <f>H36-C36</f>
        <v>2.8409999999999993</v>
      </c>
      <c r="I37" s="2"/>
      <c r="J37" s="2"/>
    </row>
    <row r="38" ht="12.75">
      <c r="A38" s="2"/>
      <c r="B38" s="49" t="s">
        <v>71</v>
      </c>
      <c r="C38" s="3" t="s">
        <v>69</v>
      </c>
      <c r="D38" s="3">
        <f>D36-C36</f>
        <v>0.48900000000000254</v>
      </c>
      <c r="E38" s="3" t="s">
        <v>69</v>
      </c>
      <c r="F38" s="3">
        <f>F36-D36</f>
        <v>0.9619999999999962</v>
      </c>
      <c r="G38" s="3">
        <f>G36-F36</f>
        <v>0.984</v>
      </c>
      <c r="H38" s="34">
        <f>H36-G36</f>
        <v>0.4060000000000006</v>
      </c>
      <c r="I38" s="2"/>
      <c r="J38" s="2"/>
    </row>
    <row r="39" ht="25.5">
      <c r="A39" s="2"/>
      <c r="B39" s="7" t="s">
        <v>136</v>
      </c>
      <c r="C39" s="3" t="s">
        <v>69</v>
      </c>
      <c r="D39" s="3" t="s">
        <v>69</v>
      </c>
      <c r="E39" s="3" t="s">
        <v>69</v>
      </c>
      <c r="F39" s="3" t="s">
        <v>69</v>
      </c>
      <c r="G39" s="3" t="s">
        <v>69</v>
      </c>
      <c r="H39" s="29">
        <v>3</v>
      </c>
      <c r="I39" s="2"/>
      <c r="J39" s="2"/>
    </row>
    <row r="40" ht="12.75">
      <c r="A40" s="2"/>
      <c r="B40" s="67" t="s">
        <v>137</v>
      </c>
      <c r="C40" s="28">
        <f>SUM(C36,C39)</f>
        <v>13.159</v>
      </c>
      <c r="D40" s="28">
        <f>SUM(D36,D39)</f>
        <v>13.648000000000003</v>
      </c>
      <c r="E40" s="28">
        <f>SUM(E36,E39)</f>
        <v>52.743</v>
      </c>
      <c r="F40" s="28">
        <f>SUM(F36,F39)</f>
        <v>14.61</v>
      </c>
      <c r="G40" s="28">
        <f>SUM(G36,G39)</f>
        <v>15.594</v>
      </c>
      <c r="H40" s="36">
        <f>SUM(H36,H39)</f>
        <v>19</v>
      </c>
      <c r="I40" s="2"/>
      <c r="J40" s="2"/>
    </row>
    <row r="41" ht="12.75">
      <c r="A41" s="2"/>
      <c r="B41" s="46" t="s">
        <v>138</v>
      </c>
      <c r="C41" s="28">
        <f>C32+C40</f>
        <v>99.27900000000001</v>
      </c>
      <c r="D41" s="28">
        <f>D32+D40</f>
        <v>96.672</v>
      </c>
      <c r="E41" s="28">
        <f>E32+E40</f>
        <v>369.646</v>
      </c>
      <c r="F41" s="28">
        <f>F32+F40</f>
        <v>98.747</v>
      </c>
      <c r="G41" s="28">
        <f>G32+G40</f>
        <v>103.24699999999999</v>
      </c>
      <c r="H41" s="36">
        <f>H32+H40</f>
        <v>97.25021739130435</v>
      </c>
      <c r="I41" s="2"/>
      <c r="J41" s="2"/>
    </row>
    <row r="42" ht="12.75">
      <c r="A42" s="2"/>
      <c r="B42" s="65" t="s">
        <v>70</v>
      </c>
      <c r="C42" s="43" t="s">
        <v>69</v>
      </c>
      <c r="D42" s="43">
        <f>D41/C41-1</f>
        <v>-0.026259329767624684</v>
      </c>
      <c r="E42" s="43" t="s">
        <v>69</v>
      </c>
      <c r="F42" s="43">
        <f>F41/D41-1</f>
        <v>0.021464333002317204</v>
      </c>
      <c r="G42" s="43">
        <f>G41/F41-1</f>
        <v>0.04557100468874986</v>
      </c>
      <c r="H42" s="64">
        <f>H41/G41-1</f>
        <v>-0.05808190658029422</v>
      </c>
      <c r="I42" s="2"/>
      <c r="J42" s="2"/>
    </row>
    <row r="43" ht="12.75">
      <c r="A43" s="2"/>
      <c r="B43" s="2"/>
      <c r="C43" s="2"/>
      <c r="D43" s="2"/>
      <c r="E43" s="2"/>
      <c r="F43" s="2"/>
      <c r="G43" s="2"/>
      <c r="H43" s="35"/>
      <c r="I43" s="2"/>
      <c r="J43" s="2"/>
    </row>
    <row r="44" ht="12.75">
      <c r="A44" s="2"/>
      <c r="B44" s="46" t="s">
        <v>139</v>
      </c>
      <c r="C44" s="28">
        <f>C13-C41</f>
        <v>-91.385</v>
      </c>
      <c r="D44" s="28">
        <f>D13-D41</f>
        <v>-83.095</v>
      </c>
      <c r="E44" s="28">
        <f>E13-E41</f>
        <v>-285.66600000000005</v>
      </c>
      <c r="F44" s="28">
        <f>F13-F41</f>
        <v>-92.495</v>
      </c>
      <c r="G44" s="28">
        <f>G13-G41</f>
        <v>-94.20399999999998</v>
      </c>
      <c r="H44" s="36">
        <f>H13-H41</f>
        <v>617.9497826086957</v>
      </c>
      <c r="I44" s="2"/>
      <c r="J44" s="2"/>
    </row>
    <row r="45" ht="25.5">
      <c r="A45" s="2"/>
      <c r="B45" s="73" t="s">
        <v>140</v>
      </c>
      <c r="C45" s="43" t="str">
        <f>IF(C13=0,"n.a.",IF(ABS(C44/C13)&gt;1,"n.m.",C44/C13))</f>
        <v>n.m.</v>
      </c>
      <c r="D45" s="43" t="str">
        <f>IF(D13=0,"n.a.",IF(ABS(D44/D13)&gt;1,"n.m.",D44/D13))</f>
        <v>n.m.</v>
      </c>
      <c r="E45" s="43" t="str">
        <f>IF(E13=0,"n.a.",IF(ABS(E44/E13)&gt;1,"n.m.",E44/E13))</f>
        <v>n.m.</v>
      </c>
      <c r="F45" s="43" t="str">
        <f>IF(F13=0,"n.a.",IF(ABS(F44/F13)&gt;1,"n.m.",F44/F13))</f>
        <v>n.m.</v>
      </c>
      <c r="G45" s="43" t="str">
        <f>IF(G13=0,"n.a.",IF(ABS(G44/G13)&gt;1,"n.m.",G44/G13))</f>
        <v>n.m.</v>
      </c>
      <c r="H45" s="64">
        <f>IF(H13=0,"n.a.",IF(ABS(H44/H13)&gt;1,"n.m.",H44/H13))</f>
        <v>0.8640237452582434</v>
      </c>
      <c r="I45" s="2"/>
      <c r="J45" s="2"/>
    </row>
    <row r="46" ht="25.5">
      <c r="A46" s="2"/>
      <c r="B46" s="69" t="s">
        <v>141</v>
      </c>
      <c r="C46" s="38" t="s">
        <v>69</v>
      </c>
      <c r="D46" s="38" t="str">
        <f>IFERROR((D45-C45)*10000,"n.a.")</f>
        <v>n.a.</v>
      </c>
      <c r="E46" s="38" t="s">
        <v>69</v>
      </c>
      <c r="F46" s="38" t="str">
        <f>IFERROR((F45-D45)*10000,"n.a.")</f>
        <v>n.a.</v>
      </c>
      <c r="G46" s="38" t="str">
        <f>IFERROR((G45-F45)*10000,"n.a.")</f>
        <v>n.a.</v>
      </c>
      <c r="H46" s="56" t="str">
        <f>IFERROR((H45-G45)*10000,"n.a.")</f>
        <v>n.a.</v>
      </c>
      <c r="I46" s="2"/>
      <c r="J46" s="2"/>
    </row>
    <row r="47" ht="12.75">
      <c r="A47" s="2"/>
      <c r="B47" s="9" t="s">
        <v>142</v>
      </c>
      <c r="C47" s="5">
        <v>4.964</v>
      </c>
      <c r="D47" s="19">
        <f>E47-Inputs!C124</f>
        <v>4.874000000000002</v>
      </c>
      <c r="E47" s="5">
        <v>21.969</v>
      </c>
      <c r="F47" s="5">
        <v>5.321</v>
      </c>
      <c r="G47" s="5">
        <v>4.398</v>
      </c>
      <c r="H47" s="34">
        <f>H94</f>
        <v>4.711624295305553</v>
      </c>
      <c r="I47" s="2"/>
      <c r="J47" s="2"/>
    </row>
    <row r="48" ht="12.75">
      <c r="A48" s="2"/>
      <c r="B48" s="49" t="s">
        <v>114</v>
      </c>
      <c r="C48" s="3" t="s">
        <v>69</v>
      </c>
      <c r="D48" s="3" t="s">
        <v>69</v>
      </c>
      <c r="E48" s="3" t="s">
        <v>69</v>
      </c>
      <c r="F48" s="3" t="s">
        <v>69</v>
      </c>
      <c r="G48" s="3" t="s">
        <v>69</v>
      </c>
      <c r="H48" s="34">
        <f>H47-C47</f>
        <v>-0.2523757046944475</v>
      </c>
      <c r="I48" s="2"/>
      <c r="J48" s="2"/>
    </row>
    <row r="49" ht="12.75">
      <c r="A49" s="2"/>
      <c r="B49" s="49" t="s">
        <v>71</v>
      </c>
      <c r="C49" s="3" t="s">
        <v>69</v>
      </c>
      <c r="D49" s="3">
        <f>D47-C47</f>
        <v>-0.08999999999999808</v>
      </c>
      <c r="E49" s="3" t="s">
        <v>69</v>
      </c>
      <c r="F49" s="3">
        <f>F47-D47</f>
        <v>0.4469999999999974</v>
      </c>
      <c r="G49" s="3">
        <f>G47-F47</f>
        <v>-0.923</v>
      </c>
      <c r="H49" s="34">
        <f>H47-G47</f>
        <v>0.31362429530555325</v>
      </c>
      <c r="I49" s="2"/>
      <c r="J49" s="2"/>
    </row>
    <row r="50" ht="25.5">
      <c r="A50" s="2"/>
      <c r="B50" s="30" t="s">
        <v>143</v>
      </c>
      <c r="C50" s="28">
        <f>C44+C47</f>
        <v>-86.421</v>
      </c>
      <c r="D50" s="28">
        <f>D44+D47</f>
        <v>-78.221</v>
      </c>
      <c r="E50" s="28">
        <f>E44+E47</f>
        <v>-263.69700000000006</v>
      </c>
      <c r="F50" s="28">
        <f>F44+F47</f>
        <v>-87.174</v>
      </c>
      <c r="G50" s="28">
        <f>G44+G47</f>
        <v>-89.80599999999998</v>
      </c>
      <c r="H50" s="36">
        <f>H44+H47</f>
        <v>622.6614069040013</v>
      </c>
      <c r="I50" s="2"/>
      <c r="J50" s="2"/>
    </row>
    <row r="51" ht="25.5">
      <c r="A51" s="2"/>
      <c r="B51" s="7" t="s">
        <v>144</v>
      </c>
      <c r="C51" s="5">
        <v>0</v>
      </c>
      <c r="D51" s="19">
        <f>E51-Inputs!C125</f>
        <v>0</v>
      </c>
      <c r="E51" s="5">
        <v>0.76</v>
      </c>
      <c r="F51" s="5">
        <v>0</v>
      </c>
      <c r="G51" s="5">
        <v>-0.271</v>
      </c>
      <c r="H51" s="34">
        <f>H50*H95</f>
        <v>9.96258251046402</v>
      </c>
      <c r="I51" s="2"/>
      <c r="J51" s="2"/>
    </row>
    <row r="52" ht="12.75">
      <c r="A52" s="2"/>
      <c r="B52" s="65" t="s">
        <v>145</v>
      </c>
      <c r="C52" s="43">
        <f>IF(C50=0,"n.a.",C51/C50)</f>
        <v>0</v>
      </c>
      <c r="D52" s="43">
        <f>IF(D50=0,"n.a.",D51/D50)</f>
        <v>0</v>
      </c>
      <c r="E52" s="43">
        <f>IF(E50=0,"n.a.",E51/E50)</f>
        <v>-0.0028820957386697607</v>
      </c>
      <c r="F52" s="43">
        <f>IF(F50=0,"n.a.",F51/F50)</f>
        <v>0</v>
      </c>
      <c r="G52" s="43">
        <f>IF(G50=0,"n.a.",G51/G50)</f>
        <v>0.0030176157495044884</v>
      </c>
      <c r="H52" s="64">
        <f>IF(H50=0,"n.a.",H51/H50)</f>
        <v>0.016</v>
      </c>
      <c r="I52" s="2"/>
      <c r="J52" s="2"/>
    </row>
    <row r="53" ht="25.5">
      <c r="A53" s="2"/>
      <c r="B53" s="69" t="s">
        <v>146</v>
      </c>
      <c r="C53" s="38" t="s">
        <v>69</v>
      </c>
      <c r="D53" s="38">
        <f>IFERROR((D52-C52)*10000,"n.a.")</f>
        <v>0</v>
      </c>
      <c r="E53" s="38" t="s">
        <v>69</v>
      </c>
      <c r="F53" s="38">
        <f>IFERROR((F52-D52)*10000,"n.a.")</f>
        <v>0</v>
      </c>
      <c r="G53" s="38">
        <f>IFERROR((G52-F52)*10000,"n.a.")</f>
        <v>30.176157495044883</v>
      </c>
      <c r="H53" s="56">
        <f>IFERROR((H52-G52)*10000,"n.a.")</f>
        <v>129.82384250495514</v>
      </c>
      <c r="I53" s="2"/>
      <c r="J53" s="2"/>
    </row>
    <row r="54" ht="12.75">
      <c r="A54" s="2"/>
      <c r="B54" s="46" t="s">
        <v>147</v>
      </c>
      <c r="C54" s="28">
        <f>C50-C51</f>
        <v>-86.421</v>
      </c>
      <c r="D54" s="28">
        <f>D50-D51</f>
        <v>-78.221</v>
      </c>
      <c r="E54" s="28">
        <f>E50-E51</f>
        <v>-264.45700000000005</v>
      </c>
      <c r="F54" s="28">
        <f>F50-F51</f>
        <v>-87.174</v>
      </c>
      <c r="G54" s="28">
        <f>G50-G51</f>
        <v>-89.53499999999998</v>
      </c>
      <c r="H54" s="36">
        <f>H50-H51</f>
        <v>612.6988243935373</v>
      </c>
      <c r="I54" s="2"/>
      <c r="J54" s="2"/>
    </row>
    <row r="55" ht="25.5">
      <c r="A55" s="2"/>
      <c r="B55" s="73" t="s">
        <v>148</v>
      </c>
      <c r="C55" s="43" t="str">
        <f>IF(C13=0,"n.a.",IF(ABS(C54/C13)&gt;1,"n.m.",C54/C13))</f>
        <v>n.m.</v>
      </c>
      <c r="D55" s="43" t="str">
        <f>IF(D13=0,"n.a.",IF(ABS(D54/D13)&gt;1,"n.m.",D54/D13))</f>
        <v>n.m.</v>
      </c>
      <c r="E55" s="43" t="str">
        <f>IF(E13=0,"n.a.",IF(ABS(E54/E13)&gt;1,"n.m.",E54/E13))</f>
        <v>n.m.</v>
      </c>
      <c r="F55" s="43" t="str">
        <f>IF(F13=0,"n.a.",IF(ABS(F54/F13)&gt;1,"n.m.",F54/F13))</f>
        <v>n.m.</v>
      </c>
      <c r="G55" s="43" t="str">
        <f>IF(G13=0,"n.a.",IF(ABS(G54/G13)&gt;1,"n.m.",G54/G13))</f>
        <v>n.m.</v>
      </c>
      <c r="H55" s="64">
        <f>IF(H13=0,"n.a.",IF(ABS(H54/H13)&gt;1,"n.m.",H54/H13))</f>
        <v>0.8566818014451024</v>
      </c>
      <c r="I55" s="2"/>
      <c r="J55" s="2"/>
    </row>
    <row r="56" ht="12.75">
      <c r="A56" s="2"/>
      <c r="B56" s="49" t="s">
        <v>149</v>
      </c>
      <c r="C56" s="38" t="s">
        <v>69</v>
      </c>
      <c r="D56" s="38" t="str">
        <f>IFERROR((D55-C55)*10000,"n.a.")</f>
        <v>n.a.</v>
      </c>
      <c r="E56" s="38" t="s">
        <v>69</v>
      </c>
      <c r="F56" s="38" t="str">
        <f>IFERROR((F55-D55)*10000,"n.a.")</f>
        <v>n.a.</v>
      </c>
      <c r="G56" s="38" t="str">
        <f>IFERROR((G55-F55)*10000,"n.a.")</f>
        <v>n.a.</v>
      </c>
      <c r="H56" s="56" t="str">
        <f>IFERROR((H55-G55)*10000,"n.a.")</f>
        <v>n.a.</v>
      </c>
      <c r="I56" s="2"/>
      <c r="J56" s="2"/>
    </row>
    <row r="57" ht="12.75">
      <c r="A57" s="2"/>
      <c r="B57" s="49" t="s">
        <v>71</v>
      </c>
      <c r="C57" s="3" t="s">
        <v>69</v>
      </c>
      <c r="D57" s="3">
        <f>D54-C54</f>
        <v>8.200000000000003</v>
      </c>
      <c r="E57" s="3" t="s">
        <v>69</v>
      </c>
      <c r="F57" s="3">
        <f>F54-D54</f>
        <v>-8.953000000000003</v>
      </c>
      <c r="G57" s="3">
        <f>G54-F54</f>
        <v>-2.360999999999976</v>
      </c>
      <c r="H57" s="34">
        <f>H54-G54</f>
        <v>702.2338243935372</v>
      </c>
      <c r="I57" s="2"/>
      <c r="J57" s="2"/>
    </row>
    <row r="58" ht="25.5">
      <c r="A58" s="2"/>
      <c r="B58" s="69" t="s">
        <v>150</v>
      </c>
      <c r="C58" s="5">
        <v>-86.421</v>
      </c>
      <c r="D58" s="19">
        <f>Inputs!C129-Inputs!C126</f>
        <v>-78.221</v>
      </c>
      <c r="E58" s="19">
        <f>Inputs!C129</f>
        <v>-264.457</v>
      </c>
      <c r="F58" s="5">
        <v>-87.174</v>
      </c>
      <c r="G58" s="5">
        <v>-89.535</v>
      </c>
      <c r="H58" s="34"/>
      <c r="I58" s="2"/>
      <c r="J58" s="2"/>
    </row>
    <row r="59" ht="25.5">
      <c r="A59" s="2"/>
      <c r="B59" s="69" t="s">
        <v>151</v>
      </c>
      <c r="C59" s="3">
        <f>IF(ISNUMBER(C58),ROUND(C54-C58,6),0)</f>
        <v>0</v>
      </c>
      <c r="D59" s="3">
        <f>IF(ISNUMBER(D58),ROUND(D54-D58,6),0)</f>
        <v>0</v>
      </c>
      <c r="E59" s="3">
        <f>IF(ISNUMBER(E58),ROUND(E54-E58,6),0)</f>
        <v>0</v>
      </c>
      <c r="F59" s="3">
        <f>IF(ISNUMBER(F58),ROUND(F54-F58,6),0)</f>
        <v>0</v>
      </c>
      <c r="G59" s="3">
        <f>IF(ISNUMBER(G58),ROUND(G54-G58,6),0)</f>
        <v>0</v>
      </c>
      <c r="H59" s="34">
        <f>IF(ISNUMBER(H58),ROUND(H54-H58,6),0)</f>
        <v>0</v>
      </c>
      <c r="I59" s="2"/>
      <c r="J59" s="2"/>
    </row>
    <row r="60" ht="12.75">
      <c r="A60" s="2"/>
      <c r="B60" s="2"/>
      <c r="C60" s="2"/>
      <c r="D60" s="2"/>
      <c r="E60" s="2"/>
      <c r="F60" s="2"/>
      <c r="G60" s="2"/>
      <c r="H60" s="35"/>
      <c r="I60" s="2"/>
      <c r="J60" s="2"/>
    </row>
    <row r="61" ht="12.75">
      <c r="A61" s="2"/>
      <c r="B61" s="46" t="s">
        <v>152</v>
      </c>
      <c r="C61" s="3"/>
      <c r="D61" s="3"/>
      <c r="E61" s="3"/>
      <c r="F61" s="3"/>
      <c r="G61" s="3"/>
      <c r="H61" s="34"/>
      <c r="I61" s="2"/>
      <c r="J61" s="2"/>
    </row>
    <row r="62" ht="25.5">
      <c r="A62" s="2"/>
      <c r="B62" s="7" t="s">
        <v>153</v>
      </c>
      <c r="C62" s="58">
        <f>'Share Count'!C22</f>
        <v>84.159336</v>
      </c>
      <c r="D62" s="58">
        <f>'Share Count'!D22</f>
        <v>95.08904075824175</v>
      </c>
      <c r="E62" s="58">
        <f>'Share Count'!E22</f>
        <v>86.666907</v>
      </c>
      <c r="F62" s="58">
        <f>'Share Count'!F22</f>
        <v>110.071668</v>
      </c>
      <c r="G62" s="58">
        <f>'Share Count'!G22</f>
        <v>111.084423</v>
      </c>
      <c r="H62" s="72">
        <f>'Share Count'!H22</f>
        <v>111.42942000000001</v>
      </c>
      <c r="I62" s="2"/>
      <c r="J62" s="2"/>
    </row>
    <row r="63" ht="25.5">
      <c r="A63" s="2"/>
      <c r="B63" s="7" t="s">
        <v>154</v>
      </c>
      <c r="C63" s="58">
        <f>'Share Count'!C36</f>
        <v>84.159336</v>
      </c>
      <c r="D63" s="58">
        <f>'Share Count'!D36</f>
        <v>95.08904075824175</v>
      </c>
      <c r="E63" s="58">
        <f>'Share Count'!E36</f>
        <v>86.666907</v>
      </c>
      <c r="F63" s="58">
        <f>'Share Count'!F36</f>
        <v>110.071668</v>
      </c>
      <c r="G63" s="58">
        <f>'Share Count'!G36</f>
        <v>111.084423</v>
      </c>
      <c r="H63" s="72">
        <f>'Share Count'!H36</f>
        <v>115.53543126000001</v>
      </c>
      <c r="I63" s="2"/>
      <c r="J63" s="2"/>
    </row>
    <row r="64" ht="12.75">
      <c r="A64" s="2"/>
      <c r="B64" s="9" t="s">
        <v>155</v>
      </c>
      <c r="C64" s="14">
        <f>C54/C62</f>
        <v>-1.0268735960559385</v>
      </c>
      <c r="D64" s="14">
        <f>D54/D62</f>
        <v>-0.822607940686585</v>
      </c>
      <c r="E64" s="14">
        <f>E54/E62</f>
        <v>-3.0514184612588062</v>
      </c>
      <c r="F64" s="14">
        <f>F54/F62</f>
        <v>-0.7919749158339274</v>
      </c>
      <c r="G64" s="14">
        <f>G54/G62</f>
        <v>-0.8060085976230887</v>
      </c>
      <c r="H64" s="75">
        <f>H54/H62</f>
        <v>5.498537319798822</v>
      </c>
      <c r="I64" s="2"/>
      <c r="J64" s="2"/>
    </row>
    <row r="65" ht="12.75">
      <c r="A65" s="2"/>
      <c r="B65" s="46" t="s">
        <v>156</v>
      </c>
      <c r="C65" s="71">
        <f>C54/C63</f>
        <v>-1.0268735960559385</v>
      </c>
      <c r="D65" s="71">
        <f>D54/D63</f>
        <v>-0.822607940686585</v>
      </c>
      <c r="E65" s="71">
        <f>E54/E63</f>
        <v>-3.0514184612588062</v>
      </c>
      <c r="F65" s="71">
        <f>F54/F63</f>
        <v>-0.7919749158339274</v>
      </c>
      <c r="G65" s="71">
        <f>G54/G63</f>
        <v>-0.8060085976230887</v>
      </c>
      <c r="H65" s="70">
        <f>H54/H63</f>
        <v>5.303124917712253</v>
      </c>
      <c r="I65" s="2"/>
      <c r="J65" s="2"/>
    </row>
    <row r="66" ht="12.75">
      <c r="A66" s="2"/>
      <c r="B66" s="49" t="s">
        <v>157</v>
      </c>
      <c r="C66" s="14" t="s">
        <v>69</v>
      </c>
      <c r="D66" s="14">
        <f>D65-C65</f>
        <v>0.20426565536935348</v>
      </c>
      <c r="E66" s="14" t="s">
        <v>69</v>
      </c>
      <c r="F66" s="14">
        <f>F65-D65</f>
        <v>0.03063302485265762</v>
      </c>
      <c r="G66" s="14">
        <f>G65-F65</f>
        <v>-0.014033681789161312</v>
      </c>
      <c r="H66" s="75">
        <f>H65-G65</f>
        <v>6.109133515335342</v>
      </c>
      <c r="I66" s="2"/>
      <c r="J66" s="2"/>
    </row>
    <row r="67" ht="12.75">
      <c r="A67" s="2"/>
      <c r="B67" s="49" t="s">
        <v>158</v>
      </c>
      <c r="C67" s="74">
        <v>-1.03</v>
      </c>
      <c r="D67" s="14" t="s">
        <v>69</v>
      </c>
      <c r="E67" s="74">
        <v>-3.05</v>
      </c>
      <c r="F67" s="74">
        <v>-0.79</v>
      </c>
      <c r="G67" s="74">
        <v>-0.81</v>
      </c>
      <c r="H67" s="75"/>
      <c r="I67" s="2"/>
      <c r="J67" s="2"/>
    </row>
    <row r="68" ht="36.75">
      <c r="A68" s="2"/>
      <c r="B68" s="69" t="s">
        <v>159</v>
      </c>
      <c r="C68" s="14">
        <f>IF(ISNUMBER(C67),ROUND(C65,2)-C67,0)</f>
        <v>0</v>
      </c>
      <c r="D68" s="14">
        <f>IF(ISNUMBER(D67),ROUND(D65,2)-D67,0)</f>
        <v>0</v>
      </c>
      <c r="E68" s="14">
        <f>IF(ISNUMBER(E67),ROUND(E65,2)-E67,0)</f>
        <v>0</v>
      </c>
      <c r="F68" s="14">
        <f>IF(ISNUMBER(F67),ROUND(F65,2)-F67,0)</f>
        <v>0</v>
      </c>
      <c r="G68" s="14">
        <f>IF(ISNUMBER(G67),ROUND(G65,2)-G67,0)</f>
        <v>0</v>
      </c>
      <c r="H68" s="75">
        <f>IF(ISNUMBER(H67),ROUND(H65,2)-H67,0)</f>
        <v>0</v>
      </c>
      <c r="I68" s="2"/>
      <c r="J68" s="2"/>
    </row>
    <row r="69" ht="12.75">
      <c r="A69" s="2"/>
      <c r="B69" s="2"/>
      <c r="C69" s="2"/>
      <c r="D69" s="2"/>
      <c r="E69" s="2"/>
      <c r="F69" s="2"/>
      <c r="G69" s="2"/>
      <c r="H69" s="35"/>
      <c r="I69" s="2"/>
      <c r="J69" s="2"/>
    </row>
    <row r="70" ht="12.75">
      <c r="A70" s="2"/>
      <c r="B70" s="46" t="s">
        <v>160</v>
      </c>
      <c r="C70" s="3"/>
      <c r="D70" s="3"/>
      <c r="E70" s="3"/>
      <c r="F70" s="3"/>
      <c r="G70" s="3"/>
      <c r="H70" s="34"/>
      <c r="I70" s="2"/>
      <c r="J70" s="2"/>
    </row>
    <row r="71" ht="12.75">
      <c r="A71" s="2"/>
      <c r="B71" s="9" t="s">
        <v>161</v>
      </c>
      <c r="C71" s="3">
        <f>C54</f>
        <v>-86.421</v>
      </c>
      <c r="D71" s="3">
        <f>D54</f>
        <v>-78.221</v>
      </c>
      <c r="E71" s="3">
        <f>E54</f>
        <v>-264.45700000000005</v>
      </c>
      <c r="F71" s="3">
        <f>F54</f>
        <v>-87.174</v>
      </c>
      <c r="G71" s="3">
        <f>G54</f>
        <v>-89.53499999999998</v>
      </c>
      <c r="H71" s="34">
        <f>H54</f>
        <v>612.6988243935373</v>
      </c>
      <c r="I71" s="2"/>
      <c r="J71" s="2"/>
    </row>
    <row r="72" ht="36.75">
      <c r="A72" s="2"/>
      <c r="B72" s="7" t="s">
        <v>162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29">
        <v>0</v>
      </c>
      <c r="I72" s="2"/>
      <c r="J72" s="2"/>
    </row>
    <row r="73" ht="36.75">
      <c r="A73" s="2"/>
      <c r="B73" s="7" t="s">
        <v>163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29">
        <v>0</v>
      </c>
      <c r="I73" s="2"/>
      <c r="J73" s="2"/>
    </row>
    <row r="74" ht="36.75">
      <c r="A74" s="2"/>
      <c r="B74" s="7" t="s">
        <v>164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29">
        <v>0</v>
      </c>
      <c r="I74" s="2"/>
      <c r="J74" s="2"/>
    </row>
    <row r="75" ht="25.5">
      <c r="A75" s="2"/>
      <c r="B75" s="7" t="s">
        <v>165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29">
        <v>0</v>
      </c>
      <c r="I75" s="2"/>
      <c r="J75" s="2"/>
    </row>
    <row r="76" ht="12.75">
      <c r="A76" s="2"/>
      <c r="B76" s="46" t="s">
        <v>166</v>
      </c>
      <c r="C76" s="28">
        <f>SUM(C71,C72,C73,C74,C75)</f>
        <v>-86.421</v>
      </c>
      <c r="D76" s="28">
        <f>SUM(D71,D72,D73,D74,D75)</f>
        <v>-78.221</v>
      </c>
      <c r="E76" s="28">
        <f>SUM(E71,E72,E73,E74,E75)</f>
        <v>-264.45700000000005</v>
      </c>
      <c r="F76" s="28">
        <f>SUM(F71,F72,F73,F74,F75)</f>
        <v>-87.174</v>
      </c>
      <c r="G76" s="28">
        <f>SUM(G71,G72,G73,G74,G75)</f>
        <v>-89.53499999999998</v>
      </c>
      <c r="H76" s="36">
        <f>SUM(H71,H72,H73,H74,H75)</f>
        <v>612.6988243935373</v>
      </c>
      <c r="I76" s="2"/>
      <c r="J76" s="2"/>
    </row>
    <row r="77" ht="25.5">
      <c r="A77" s="2"/>
      <c r="B77" s="30" t="s">
        <v>167</v>
      </c>
      <c r="C77" s="71">
        <f>C76/C63</f>
        <v>-1.0268735960559385</v>
      </c>
      <c r="D77" s="71">
        <f>D76/D63</f>
        <v>-0.822607940686585</v>
      </c>
      <c r="E77" s="71">
        <f>E76/E63</f>
        <v>-3.0514184612588062</v>
      </c>
      <c r="F77" s="71">
        <f>F76/F63</f>
        <v>-0.7919749158339274</v>
      </c>
      <c r="G77" s="71">
        <f>G76/G63</f>
        <v>-0.8060085976230887</v>
      </c>
      <c r="H77" s="70">
        <f>H76/H63</f>
        <v>5.303124917712253</v>
      </c>
      <c r="I77" s="2"/>
      <c r="J77" s="2"/>
    </row>
    <row r="78" ht="25.5">
      <c r="A78" s="2"/>
      <c r="B78" s="69" t="s">
        <v>168</v>
      </c>
      <c r="C78" s="24">
        <f>Inputs!E15</f>
        <v>-1.03</v>
      </c>
      <c r="D78" s="24">
        <f>Inputs!F15</f>
        <v>-0.82</v>
      </c>
      <c r="E78" s="14"/>
      <c r="F78" s="24">
        <f>Inputs!G15</f>
        <v>-0.79</v>
      </c>
      <c r="G78" s="24">
        <f>Inputs!H15</f>
        <v>-0.81</v>
      </c>
      <c r="H78" s="75"/>
      <c r="I78" s="2"/>
      <c r="J78" s="2"/>
    </row>
    <row r="79" ht="25.5">
      <c r="A79" s="2"/>
      <c r="B79" s="69" t="s">
        <v>169</v>
      </c>
      <c r="C79" s="14">
        <f>IF(ISNUMBER(C78),ROUND(C77,2)-C78,0)</f>
        <v>0</v>
      </c>
      <c r="D79" s="14">
        <f>IF(ISNUMBER(D78),ROUND(D77,2)-D78,0)</f>
        <v>0</v>
      </c>
      <c r="E79" s="14">
        <f>IF(ISNUMBER(E78),ROUND(E77,2)-E78,0)</f>
        <v>0</v>
      </c>
      <c r="F79" s="14">
        <f>IF(ISNUMBER(F78),ROUND(F77,2)-F78,0)</f>
        <v>0</v>
      </c>
      <c r="G79" s="14">
        <f>IF(ISNUMBER(G78),ROUND(G77,2)-G78,0)</f>
        <v>0</v>
      </c>
      <c r="H79" s="75">
        <f>IF(ISNUMBER(H78),ROUND(H77,2)-H78,0)</f>
        <v>0</v>
      </c>
      <c r="I79" s="2"/>
      <c r="J79" s="2"/>
    </row>
    <row r="80" ht="12.75">
      <c r="A80" s="2"/>
      <c r="B80" s="2"/>
      <c r="C80" s="2"/>
      <c r="D80" s="2"/>
      <c r="E80" s="2"/>
      <c r="F80" s="2"/>
      <c r="G80" s="2"/>
      <c r="H80" s="35"/>
      <c r="I80" s="2"/>
      <c r="J80" s="2"/>
    </row>
    <row r="81" ht="12.75">
      <c r="A81" s="2"/>
      <c r="B81" s="46" t="s">
        <v>170</v>
      </c>
      <c r="C81" s="3"/>
      <c r="D81" s="3"/>
      <c r="E81" s="3"/>
      <c r="F81" s="3"/>
      <c r="G81" s="3"/>
      <c r="H81" s="34"/>
      <c r="I81" s="2"/>
      <c r="J81" s="2"/>
    </row>
    <row r="82" ht="12.75">
      <c r="A82" s="2"/>
      <c r="B82" s="9" t="s">
        <v>171</v>
      </c>
      <c r="C82" s="1"/>
      <c r="D82" s="1"/>
      <c r="E82" s="1"/>
      <c r="F82" s="1"/>
      <c r="G82" s="1"/>
      <c r="H82" s="76">
        <f>Guidance!H13</f>
        <v>46224</v>
      </c>
      <c r="I82" s="2"/>
      <c r="J82" s="2"/>
    </row>
    <row r="83" ht="12.75">
      <c r="A83" s="2"/>
      <c r="B83" s="9" t="s">
        <v>172</v>
      </c>
      <c r="C83" s="38"/>
      <c r="D83" s="38"/>
      <c r="E83" s="38"/>
      <c r="F83" s="38"/>
      <c r="G83" s="38"/>
      <c r="H83" s="56">
        <f>H$7-H82</f>
        <v>41</v>
      </c>
      <c r="I83" s="2"/>
      <c r="J83" s="2"/>
    </row>
    <row r="84" ht="36.75">
      <c r="A84" s="2"/>
      <c r="B84" s="52" t="s">
        <v>173</v>
      </c>
      <c r="C84" s="43"/>
      <c r="D84" s="43"/>
      <c r="E84" s="43"/>
      <c r="F84" s="43"/>
      <c r="G84" s="43"/>
      <c r="H84" s="61">
        <v>0.35</v>
      </c>
      <c r="I84" s="2"/>
      <c r="J84" s="2"/>
    </row>
    <row r="85" ht="36.75">
      <c r="A85" s="2"/>
      <c r="B85" s="69" t="s">
        <v>174</v>
      </c>
      <c r="C85" s="38"/>
      <c r="D85" s="38"/>
      <c r="E85" s="38"/>
      <c r="F85" s="38"/>
      <c r="G85" s="38"/>
      <c r="H85" s="56" t="s">
        <v>69</v>
      </c>
      <c r="I85" s="2"/>
      <c r="J85" s="2"/>
    </row>
    <row r="86" ht="25.5">
      <c r="A86" s="2"/>
      <c r="B86" s="52" t="s">
        <v>175</v>
      </c>
      <c r="C86" s="43"/>
      <c r="D86" s="43"/>
      <c r="E86" s="43"/>
      <c r="F86" s="43"/>
      <c r="G86" s="43"/>
      <c r="H86" s="61">
        <v>0.6</v>
      </c>
      <c r="I86" s="2"/>
      <c r="J86" s="2"/>
    </row>
    <row r="87" ht="25.5">
      <c r="A87" s="2"/>
      <c r="B87" s="69" t="s">
        <v>176</v>
      </c>
      <c r="C87" s="38"/>
      <c r="D87" s="38"/>
      <c r="E87" s="38"/>
      <c r="F87" s="38"/>
      <c r="G87" s="38"/>
      <c r="H87" s="56" t="s">
        <v>69</v>
      </c>
      <c r="I87" s="2"/>
      <c r="J87" s="2"/>
    </row>
    <row r="88" ht="25.5">
      <c r="A88" s="2"/>
      <c r="B88" s="7" t="s">
        <v>177</v>
      </c>
      <c r="C88" s="3"/>
      <c r="D88" s="3"/>
      <c r="E88" s="3"/>
      <c r="F88" s="3"/>
      <c r="G88" s="3"/>
      <c r="H88" s="34">
        <f>H18+H27*H84</f>
        <v>50.3</v>
      </c>
      <c r="I88" s="2"/>
      <c r="J88" s="2"/>
    </row>
    <row r="89" ht="36.75">
      <c r="A89" s="2"/>
      <c r="B89" s="7" t="s">
        <v>178</v>
      </c>
      <c r="C89" s="3"/>
      <c r="D89" s="3"/>
      <c r="E89" s="3"/>
      <c r="F89" s="3"/>
      <c r="G89" s="3"/>
      <c r="H89" s="29">
        <v>1</v>
      </c>
      <c r="I89" s="2"/>
      <c r="J89" s="2"/>
    </row>
    <row r="90" ht="25.5">
      <c r="A90" s="2"/>
      <c r="B90" s="7" t="s">
        <v>179</v>
      </c>
      <c r="C90" s="3"/>
      <c r="D90" s="3"/>
      <c r="E90" s="3"/>
      <c r="F90" s="3"/>
      <c r="G90" s="3"/>
      <c r="H90" s="32">
        <f>'Balance Sheet'!G41</f>
        <v>443.529</v>
      </c>
      <c r="I90" s="2"/>
      <c r="J90" s="2"/>
    </row>
    <row r="91" ht="36.75">
      <c r="A91" s="2"/>
      <c r="B91" s="52" t="s">
        <v>180</v>
      </c>
      <c r="C91" s="43" t="s">
        <v>69</v>
      </c>
      <c r="D91" s="62">
        <f>D47/AVERAGE('Balance Sheet'!C41,'Balance Sheet'!D41)*365/D$8</f>
        <v>0.03826606856642973</v>
      </c>
      <c r="E91" s="43" t="s">
        <v>69</v>
      </c>
      <c r="F91" s="62">
        <f>F47/AVERAGE('Balance Sheet'!D41,'Balance Sheet'!F41)*365/F$8</f>
        <v>0.03807025678676498</v>
      </c>
      <c r="G91" s="62">
        <f>G47/AVERAGE('Balance Sheet'!F41,'Balance Sheet'!G41)*365/G$8</f>
        <v>0.03545520335870615</v>
      </c>
      <c r="H91" s="64">
        <f>G91</f>
        <v>0.03545520335870615</v>
      </c>
      <c r="I91" s="2"/>
      <c r="J91" s="2"/>
    </row>
    <row r="92" ht="12.75">
      <c r="A92" s="2"/>
      <c r="B92" s="49" t="s">
        <v>181</v>
      </c>
      <c r="C92" s="38" t="s">
        <v>69</v>
      </c>
      <c r="D92" s="38" t="str">
        <f>IFERROR((D91-C91)*10000,"n.a.")</f>
        <v>n.a.</v>
      </c>
      <c r="E92" s="38" t="s">
        <v>69</v>
      </c>
      <c r="F92" s="38">
        <f>IFERROR((F91-D91)*10000,"n.a.")</f>
        <v>-1.9581177966474654</v>
      </c>
      <c r="G92" s="38">
        <f>IFERROR((G91-F91)*10000,"n.a.")</f>
        <v>-26.150534280588307</v>
      </c>
      <c r="H92" s="56">
        <f>IFERROR((H91-G91)*10000,"n.a.")</f>
        <v>0</v>
      </c>
      <c r="I92" s="2"/>
      <c r="J92" s="2"/>
    </row>
    <row r="93" ht="36.75">
      <c r="A93" s="2"/>
      <c r="B93" s="7" t="s">
        <v>182</v>
      </c>
      <c r="C93" s="38"/>
      <c r="D93" s="38"/>
      <c r="E93" s="38"/>
      <c r="F93" s="38"/>
      <c r="G93" s="38"/>
      <c r="H93" s="78">
        <v>11</v>
      </c>
      <c r="I93" s="2"/>
      <c r="J93" s="2"/>
    </row>
    <row r="94" ht="25.5">
      <c r="A94" s="2"/>
      <c r="B94" s="7" t="s">
        <v>183</v>
      </c>
      <c r="C94" s="3"/>
      <c r="D94" s="3"/>
      <c r="E94" s="3"/>
      <c r="F94" s="3"/>
      <c r="G94" s="3"/>
      <c r="H94" s="32">
        <f>H90*H91*H$8/365+'Revenue summary'!H100*H91*H93/365</f>
        <v>4.711624295305553</v>
      </c>
      <c r="I94" s="2"/>
      <c r="J94" s="2"/>
    </row>
    <row r="95" ht="93">
      <c r="A95" s="2"/>
      <c r="B95" s="52" t="s">
        <v>184</v>
      </c>
      <c r="C95" s="43"/>
      <c r="D95" s="43"/>
      <c r="E95" s="43"/>
      <c r="F95" s="43"/>
      <c r="G95" s="43"/>
      <c r="H95" s="61">
        <v>0.016</v>
      </c>
      <c r="I95" s="2"/>
      <c r="J95" s="95" t="s">
        <v>185</v>
      </c>
    </row>
    <row r="96" ht="25.5">
      <c r="A96" s="2"/>
      <c r="B96" s="69" t="s">
        <v>186</v>
      </c>
      <c r="C96" s="38"/>
      <c r="D96" s="38"/>
      <c r="E96" s="38"/>
      <c r="F96" s="38"/>
      <c r="G96" s="38"/>
      <c r="H96" s="56">
        <f>(H95-G52)*10000</f>
        <v>129.82384250495514</v>
      </c>
      <c r="I96" s="2"/>
      <c r="J96" s="95" t="str">
        <f>"Mechanical tax sensitivity (not a revised forecast): +1pp ETR changes EPS by "&amp;TEXT(-H50*0.01/H63,"$0.000;-$0.000")</f>
        <v>Mechanical tax sensitivity (not a revised forecast): +1pp ETR changes EPS by -$0.054</v>
      </c>
    </row>
    <row r="97" ht="12.75">
      <c r="A97" s="2"/>
      <c r="B97" s="2"/>
      <c r="C97" s="2"/>
      <c r="D97" s="2"/>
      <c r="E97" s="2"/>
      <c r="F97" s="2"/>
      <c r="G97" s="2"/>
      <c r="H97" s="35"/>
      <c r="I97" s="2"/>
      <c r="J97" s="2"/>
    </row>
    <row r="98" ht="12.75">
      <c r="A98" s="2"/>
      <c r="B98" s="46" t="s">
        <v>187</v>
      </c>
      <c r="C98" s="3"/>
      <c r="D98" s="3"/>
      <c r="E98" s="3"/>
      <c r="F98" s="3"/>
      <c r="G98" s="3"/>
      <c r="H98" s="34"/>
      <c r="I98" s="2"/>
      <c r="J98" s="2"/>
    </row>
    <row r="99" ht="36.75">
      <c r="A99" s="2"/>
      <c r="B99" s="52" t="s">
        <v>188</v>
      </c>
      <c r="C99" s="43"/>
      <c r="D99" s="43"/>
      <c r="E99" s="43"/>
      <c r="F99" s="43"/>
      <c r="G99" s="43"/>
      <c r="H99" s="61">
        <v>0.03</v>
      </c>
      <c r="I99" s="2"/>
      <c r="J99" s="2"/>
    </row>
    <row r="100" ht="25.5">
      <c r="A100" s="2"/>
      <c r="B100" s="69" t="s">
        <v>189</v>
      </c>
      <c r="C100" s="38"/>
      <c r="D100" s="38"/>
      <c r="E100" s="38"/>
      <c r="F100" s="38"/>
      <c r="G100" s="38"/>
      <c r="H100" s="56" t="s">
        <v>69</v>
      </c>
      <c r="I100" s="2"/>
      <c r="J100" s="2"/>
    </row>
    <row r="101" ht="12.75">
      <c r="A101" s="2"/>
      <c r="B101" s="9" t="s">
        <v>190</v>
      </c>
      <c r="C101" s="3"/>
      <c r="D101" s="3"/>
      <c r="E101" s="3"/>
      <c r="F101" s="3"/>
      <c r="G101" s="3"/>
      <c r="H101" s="32">
        <f>H50-'Revenue summary'!H64+'Revenue summary'!H100*H99</f>
        <v>-56.338593095998704</v>
      </c>
      <c r="I101" s="2"/>
      <c r="J101" s="2"/>
    </row>
    <row r="102" ht="12.75">
      <c r="A102" s="2"/>
      <c r="B102" s="9" t="s">
        <v>191</v>
      </c>
      <c r="C102" s="3"/>
      <c r="D102" s="3"/>
      <c r="E102" s="3"/>
      <c r="F102" s="3"/>
      <c r="G102" s="3"/>
      <c r="H102" s="34">
        <f>MAX(0,H101*H95)</f>
        <v>0</v>
      </c>
      <c r="I102" s="2"/>
      <c r="J102" s="2"/>
    </row>
    <row r="103" ht="12.75">
      <c r="A103" s="2"/>
      <c r="B103" s="9" t="s">
        <v>192</v>
      </c>
      <c r="C103" s="3"/>
      <c r="D103" s="3"/>
      <c r="E103" s="3"/>
      <c r="F103" s="3"/>
      <c r="G103" s="3"/>
      <c r="H103" s="34">
        <f>H101-H102</f>
        <v>-56.338593095998704</v>
      </c>
      <c r="I103" s="2"/>
      <c r="J103" s="2"/>
    </row>
    <row r="104" ht="12.75">
      <c r="A104" s="2"/>
      <c r="B104" s="46" t="s">
        <v>193</v>
      </c>
      <c r="C104" s="71"/>
      <c r="D104" s="71"/>
      <c r="E104" s="71"/>
      <c r="F104" s="71"/>
      <c r="G104" s="71"/>
      <c r="H104" s="70">
        <f>H103/IF(H103&gt;0,H63,H62)</f>
        <v>-0.5055989082236872</v>
      </c>
      <c r="I104" s="2"/>
      <c r="J104" s="2"/>
    </row>
    <row r="105" ht="12.75">
      <c r="A105" s="2"/>
      <c r="B105" s="2"/>
      <c r="C105" s="2"/>
      <c r="D105" s="2"/>
      <c r="E105" s="2"/>
      <c r="F105" s="2"/>
      <c r="G105" s="2"/>
      <c r="H105" s="35"/>
      <c r="I105" s="2"/>
      <c r="J105" s="2"/>
    </row>
    <row r="106" ht="12.75">
      <c r="A106" s="2"/>
      <c r="B106" s="2"/>
      <c r="C106" s="2"/>
      <c r="D106" s="2"/>
      <c r="E106" s="2"/>
      <c r="F106" s="2"/>
      <c r="G106" s="2"/>
      <c r="H106" s="2"/>
      <c r="I106" s="2"/>
      <c r="J106" s="2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194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60</v>
      </c>
      <c r="C6" s="27" t="s">
        <v>61</v>
      </c>
      <c r="D6" s="27" t="s">
        <v>62</v>
      </c>
      <c r="E6" s="27" t="s">
        <v>63</v>
      </c>
      <c r="F6" s="27" t="s">
        <v>64</v>
      </c>
      <c r="G6" s="27" t="s">
        <v>65</v>
      </c>
      <c r="H6" s="27" t="s">
        <v>4</v>
      </c>
      <c r="I6" s="2"/>
      <c r="J6" s="2"/>
    </row>
    <row r="7" ht="12.75">
      <c r="A7" s="2"/>
      <c r="B7" s="6" t="s">
        <v>5</v>
      </c>
      <c r="C7" s="22">
        <v>45900</v>
      </c>
      <c r="D7" s="22">
        <v>45991</v>
      </c>
      <c r="E7" s="22">
        <v>45991</v>
      </c>
      <c r="F7" s="22">
        <v>46081</v>
      </c>
      <c r="G7" s="22">
        <v>46173</v>
      </c>
      <c r="H7" s="22">
        <v>46265</v>
      </c>
      <c r="I7" s="2"/>
      <c r="J7" s="2"/>
    </row>
    <row r="8" ht="12.75">
      <c r="A8" s="2"/>
      <c r="B8" s="4" t="s">
        <v>6</v>
      </c>
      <c r="C8" s="33">
        <v>92</v>
      </c>
      <c r="D8" s="33">
        <v>91</v>
      </c>
      <c r="E8" s="33">
        <v>365</v>
      </c>
      <c r="F8" s="33">
        <v>90</v>
      </c>
      <c r="G8" s="33">
        <v>92</v>
      </c>
      <c r="H8" s="33">
        <v>92</v>
      </c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195</v>
      </c>
      <c r="C10" s="3"/>
      <c r="D10" s="3"/>
      <c r="E10" s="3"/>
      <c r="F10" s="3"/>
      <c r="G10" s="3"/>
      <c r="H10" s="34"/>
      <c r="I10" s="2"/>
      <c r="J10" s="2"/>
    </row>
    <row r="11" ht="12.75">
      <c r="A11" s="2"/>
      <c r="B11" s="9" t="s">
        <v>196</v>
      </c>
      <c r="C11" s="5">
        <v>78.438</v>
      </c>
      <c r="D11" s="5">
        <v>246.96</v>
      </c>
      <c r="E11" s="3">
        <f>D11</f>
        <v>246.96</v>
      </c>
      <c r="F11" s="5">
        <v>71.195</v>
      </c>
      <c r="G11" s="5">
        <v>67.685</v>
      </c>
      <c r="H11" s="32">
        <f>G11+'Cash Flow Statement'!H38</f>
        <v>396.5966242953057</v>
      </c>
      <c r="I11" s="2"/>
      <c r="J11" s="2"/>
    </row>
    <row r="12" ht="12.75">
      <c r="A12" s="2"/>
      <c r="B12" s="9" t="s">
        <v>197</v>
      </c>
      <c r="C12" s="5">
        <v>350.391</v>
      </c>
      <c r="D12" s="5">
        <v>345.981</v>
      </c>
      <c r="E12" s="3">
        <f>D12</f>
        <v>345.981</v>
      </c>
      <c r="F12" s="5">
        <v>469.537</v>
      </c>
      <c r="G12" s="5">
        <v>375.844</v>
      </c>
      <c r="H12" s="32">
        <f>G12-'Cash Flow Statement'!H26-'Cash Flow Statement'!H27-'Cash Flow Statement'!H14</f>
        <v>657.4440000000001</v>
      </c>
      <c r="I12" s="2"/>
      <c r="J12" s="2"/>
    </row>
    <row r="13" ht="25.5">
      <c r="A13" s="2"/>
      <c r="B13" s="7" t="s">
        <v>198</v>
      </c>
      <c r="C13" s="5">
        <v>11.774</v>
      </c>
      <c r="D13" s="5">
        <v>13.878</v>
      </c>
      <c r="E13" s="3">
        <f>D13</f>
        <v>13.878</v>
      </c>
      <c r="F13" s="5">
        <v>13.662</v>
      </c>
      <c r="G13" s="5">
        <v>12.952</v>
      </c>
      <c r="H13" s="32">
        <f>G13-'Cash Flow Statement'!H17-'Cash Flow Statement'!H18</f>
        <v>35.40178260869565</v>
      </c>
      <c r="I13" s="2"/>
      <c r="J13" s="2"/>
    </row>
    <row r="14" ht="12.75">
      <c r="A14" s="2"/>
      <c r="B14" s="46" t="s">
        <v>199</v>
      </c>
      <c r="C14" s="28">
        <f>SUM(C11,C12,C13)</f>
        <v>440.603</v>
      </c>
      <c r="D14" s="28">
        <f>SUM(D11,D12,D13)</f>
        <v>606.8190000000001</v>
      </c>
      <c r="E14" s="28">
        <f>SUM(E11,E12,E13)</f>
        <v>606.8190000000001</v>
      </c>
      <c r="F14" s="28">
        <f>SUM(F11,F12,F13)</f>
        <v>554.394</v>
      </c>
      <c r="G14" s="28">
        <f>SUM(G11,G12,G13)</f>
        <v>456.481</v>
      </c>
      <c r="H14" s="36">
        <f>SUM(H11,H12,H13)</f>
        <v>1089.4424069040015</v>
      </c>
      <c r="I14" s="2"/>
      <c r="J14" s="2"/>
    </row>
    <row r="15" ht="25.5">
      <c r="A15" s="2"/>
      <c r="B15" s="7" t="s">
        <v>200</v>
      </c>
      <c r="C15" s="5">
        <v>53.028</v>
      </c>
      <c r="D15" s="5">
        <v>50.517</v>
      </c>
      <c r="E15" s="3">
        <f>D15</f>
        <v>50.517</v>
      </c>
      <c r="F15" s="5">
        <v>51.657</v>
      </c>
      <c r="G15" s="5">
        <v>50.107</v>
      </c>
      <c r="H15" s="32">
        <f>G15-'Cash Flow Statement'!H16</f>
        <v>48.507</v>
      </c>
      <c r="I15" s="2"/>
      <c r="J15" s="2"/>
    </row>
    <row r="16" ht="12.75">
      <c r="A16" s="2"/>
      <c r="B16" s="9" t="s">
        <v>201</v>
      </c>
      <c r="C16" s="5">
        <v>20.498</v>
      </c>
      <c r="D16" s="5">
        <v>22.49</v>
      </c>
      <c r="E16" s="3">
        <f>D16</f>
        <v>22.49</v>
      </c>
      <c r="F16" s="5">
        <v>21.697</v>
      </c>
      <c r="G16" s="5">
        <v>20.007</v>
      </c>
      <c r="H16" s="32">
        <f>G16-'Cash Flow Statement'!H28-'Cash Flow Statement'!H12-'Cash Flow Statement'!H15</f>
        <v>19.307000000000002</v>
      </c>
      <c r="I16" s="2"/>
      <c r="J16" s="2"/>
    </row>
    <row r="17" ht="12.75">
      <c r="A17" s="2"/>
      <c r="B17" s="9" t="s">
        <v>202</v>
      </c>
      <c r="C17" s="5">
        <v>0.968</v>
      </c>
      <c r="D17" s="5">
        <v>0.968</v>
      </c>
      <c r="E17" s="3">
        <f>D17</f>
        <v>0.968</v>
      </c>
      <c r="F17" s="5">
        <v>0.968</v>
      </c>
      <c r="G17" s="5">
        <v>0.968</v>
      </c>
      <c r="H17" s="34">
        <f>G17</f>
        <v>0.968</v>
      </c>
      <c r="I17" s="2"/>
      <c r="J17" s="2"/>
    </row>
    <row r="18" ht="12.75">
      <c r="A18" s="2"/>
      <c r="B18" s="9" t="s">
        <v>203</v>
      </c>
      <c r="C18" s="5">
        <v>7.375</v>
      </c>
      <c r="D18" s="5">
        <v>7.341</v>
      </c>
      <c r="E18" s="3">
        <f>D18</f>
        <v>7.341</v>
      </c>
      <c r="F18" s="5">
        <v>7.414</v>
      </c>
      <c r="G18" s="5">
        <v>7.977</v>
      </c>
      <c r="H18" s="34">
        <f>G18</f>
        <v>7.977</v>
      </c>
      <c r="I18" s="2"/>
      <c r="J18" s="2"/>
    </row>
    <row r="19" ht="12.75">
      <c r="A19" s="2"/>
      <c r="B19" s="46" t="s">
        <v>204</v>
      </c>
      <c r="C19" s="28">
        <f>SUM(C14,C15,C16,C17,C18)</f>
        <v>522.472</v>
      </c>
      <c r="D19" s="28">
        <f>SUM(D14,D15,D16,D17,D18)</f>
        <v>688.1350000000001</v>
      </c>
      <c r="E19" s="28">
        <f>SUM(E14,E15,E16,E17,E18)</f>
        <v>688.1350000000001</v>
      </c>
      <c r="F19" s="28">
        <f>SUM(F14,F15,F16,F17,F18)</f>
        <v>636.13</v>
      </c>
      <c r="G19" s="28">
        <f>SUM(G14,G15,G16,G17,G18)</f>
        <v>535.54</v>
      </c>
      <c r="H19" s="36">
        <f>SUM(H14,H15,H16,H17,H18)</f>
        <v>1166.2014069040015</v>
      </c>
      <c r="I19" s="2"/>
      <c r="J19" s="2"/>
    </row>
    <row r="20" ht="12.75">
      <c r="A20" s="2"/>
      <c r="B20" s="2"/>
      <c r="C20" s="2"/>
      <c r="D20" s="2"/>
      <c r="E20" s="2"/>
      <c r="F20" s="2"/>
      <c r="G20" s="2"/>
      <c r="H20" s="35"/>
      <c r="I20" s="2"/>
      <c r="J20" s="2"/>
    </row>
    <row r="21" ht="12.75">
      <c r="A21" s="2"/>
      <c r="B21" s="46" t="s">
        <v>205</v>
      </c>
      <c r="C21" s="3"/>
      <c r="D21" s="3"/>
      <c r="E21" s="3"/>
      <c r="F21" s="3"/>
      <c r="G21" s="3"/>
      <c r="H21" s="34"/>
      <c r="I21" s="2"/>
      <c r="J21" s="2"/>
    </row>
    <row r="22" ht="12.75">
      <c r="A22" s="2"/>
      <c r="B22" s="9" t="s">
        <v>206</v>
      </c>
      <c r="C22" s="5">
        <v>8.609</v>
      </c>
      <c r="D22" s="5">
        <v>11.215</v>
      </c>
      <c r="E22" s="3">
        <f>D22</f>
        <v>11.215</v>
      </c>
      <c r="F22" s="5">
        <v>10.293</v>
      </c>
      <c r="G22" s="5">
        <v>12.208</v>
      </c>
      <c r="H22" s="32">
        <f>G22+'Cash Flow Statement'!H19</f>
        <v>12.208</v>
      </c>
      <c r="I22" s="2"/>
      <c r="J22" s="2"/>
    </row>
    <row r="23" ht="25.5">
      <c r="A23" s="2"/>
      <c r="B23" s="7" t="s">
        <v>207</v>
      </c>
      <c r="C23" s="5">
        <v>43.957</v>
      </c>
      <c r="D23" s="5">
        <v>54.852</v>
      </c>
      <c r="E23" s="3">
        <f>D23</f>
        <v>54.852</v>
      </c>
      <c r="F23" s="5">
        <v>59.95</v>
      </c>
      <c r="G23" s="5">
        <v>43.267</v>
      </c>
      <c r="H23" s="32">
        <f>G23+'Cash Flow Statement'!H22</f>
        <v>53.22958251046403</v>
      </c>
      <c r="I23" s="2"/>
      <c r="J23" s="2"/>
    </row>
    <row r="24" ht="25.5">
      <c r="A24" s="2"/>
      <c r="B24" s="7" t="s">
        <v>208</v>
      </c>
      <c r="C24" s="5">
        <v>3.791</v>
      </c>
      <c r="D24" s="5">
        <v>2.824</v>
      </c>
      <c r="E24" s="3">
        <f>D24</f>
        <v>2.824</v>
      </c>
      <c r="F24" s="5">
        <v>3.202</v>
      </c>
      <c r="G24" s="5">
        <v>3.221</v>
      </c>
      <c r="H24" s="32">
        <f>G24+'Cash Flow Statement'!H21</f>
        <v>3.221</v>
      </c>
      <c r="I24" s="2"/>
      <c r="J24" s="2"/>
    </row>
    <row r="25" ht="12.75">
      <c r="A25" s="2"/>
      <c r="B25" s="9" t="s">
        <v>209</v>
      </c>
      <c r="C25" s="5">
        <v>25.993</v>
      </c>
      <c r="D25" s="5">
        <v>17.58</v>
      </c>
      <c r="E25" s="3">
        <f>D25</f>
        <v>17.58</v>
      </c>
      <c r="F25" s="5">
        <v>18.754</v>
      </c>
      <c r="G25" s="5">
        <v>13.324</v>
      </c>
      <c r="H25" s="32">
        <f>G25+'Cash Flow Statement'!H20</f>
        <v>8.123999999999999</v>
      </c>
      <c r="I25" s="2"/>
      <c r="J25" s="2"/>
    </row>
    <row r="26" ht="12.75">
      <c r="A26" s="2"/>
      <c r="B26" s="46" t="s">
        <v>210</v>
      </c>
      <c r="C26" s="28">
        <f>SUM(C22,C23,C24,C25)</f>
        <v>82.35</v>
      </c>
      <c r="D26" s="28">
        <f>SUM(D22,D23,D24,D25)</f>
        <v>86.471</v>
      </c>
      <c r="E26" s="28">
        <f>SUM(E22,E23,E24,E25)</f>
        <v>86.471</v>
      </c>
      <c r="F26" s="28">
        <f>SUM(F22,F23,F24,F25)</f>
        <v>92.19900000000001</v>
      </c>
      <c r="G26" s="28">
        <f>SUM(G22,G23,G24,G25)</f>
        <v>72.02</v>
      </c>
      <c r="H26" s="36">
        <f>SUM(H22,H23,H24,H25)</f>
        <v>76.78258251046402</v>
      </c>
      <c r="I26" s="2"/>
      <c r="J26" s="2"/>
    </row>
    <row r="27" ht="25.5">
      <c r="A27" s="2"/>
      <c r="B27" s="7" t="s">
        <v>211</v>
      </c>
      <c r="C27" s="5">
        <v>52.695</v>
      </c>
      <c r="D27" s="5">
        <v>52.906</v>
      </c>
      <c r="E27" s="3">
        <f>D27</f>
        <v>52.906</v>
      </c>
      <c r="F27" s="5">
        <v>55.453</v>
      </c>
      <c r="G27" s="5">
        <v>54.922</v>
      </c>
      <c r="H27" s="34">
        <f>G27</f>
        <v>54.922</v>
      </c>
      <c r="I27" s="2"/>
      <c r="J27" s="2"/>
    </row>
    <row r="28" ht="25.5">
      <c r="A28" s="2"/>
      <c r="B28" s="7" t="s">
        <v>212</v>
      </c>
      <c r="C28" s="5">
        <v>15.175</v>
      </c>
      <c r="D28" s="5">
        <v>10.011</v>
      </c>
      <c r="E28" s="3">
        <f>D28</f>
        <v>10.011</v>
      </c>
      <c r="F28" s="5">
        <v>7.585</v>
      </c>
      <c r="G28" s="5">
        <v>5.971</v>
      </c>
      <c r="H28" s="34">
        <f>G28</f>
        <v>5.971</v>
      </c>
      <c r="I28" s="2"/>
      <c r="J28" s="2"/>
    </row>
    <row r="29" ht="12.75">
      <c r="A29" s="2"/>
      <c r="B29" s="46" t="s">
        <v>213</v>
      </c>
      <c r="C29" s="28">
        <f>SUM(C26,C27,C28)</f>
        <v>150.22</v>
      </c>
      <c r="D29" s="28">
        <f>SUM(D26,D27,D28)</f>
        <v>149.388</v>
      </c>
      <c r="E29" s="28">
        <f>SUM(E26,E27,E28)</f>
        <v>149.388</v>
      </c>
      <c r="F29" s="28">
        <f>SUM(F26,F27,F28)</f>
        <v>155.23700000000002</v>
      </c>
      <c r="G29" s="28">
        <f>SUM(G26,G27,G28)</f>
        <v>132.91299999999998</v>
      </c>
      <c r="H29" s="36">
        <f>SUM(H26,H27,H28)</f>
        <v>137.675582510464</v>
      </c>
      <c r="I29" s="2"/>
      <c r="J29" s="2"/>
    </row>
    <row r="30" ht="12.75">
      <c r="A30" s="2"/>
      <c r="B30" s="2"/>
      <c r="C30" s="2"/>
      <c r="D30" s="2"/>
      <c r="E30" s="2"/>
      <c r="F30" s="2"/>
      <c r="G30" s="2"/>
      <c r="H30" s="35"/>
      <c r="I30" s="2"/>
      <c r="J30" s="2"/>
    </row>
    <row r="31" ht="12.75">
      <c r="A31" s="2"/>
      <c r="B31" s="46" t="s">
        <v>214</v>
      </c>
      <c r="C31" s="3"/>
      <c r="D31" s="3"/>
      <c r="E31" s="3"/>
      <c r="F31" s="3"/>
      <c r="G31" s="3"/>
      <c r="H31" s="34"/>
      <c r="I31" s="2"/>
      <c r="J31" s="2"/>
    </row>
    <row r="32" ht="12.75">
      <c r="A32" s="2"/>
      <c r="B32" s="9" t="s">
        <v>215</v>
      </c>
      <c r="C32" s="5">
        <v>0.077</v>
      </c>
      <c r="D32" s="5">
        <v>0.102</v>
      </c>
      <c r="E32" s="3">
        <f>D32</f>
        <v>0.102</v>
      </c>
      <c r="F32" s="5">
        <v>0.103</v>
      </c>
      <c r="G32" s="5">
        <v>0.104</v>
      </c>
      <c r="H32" s="34">
        <f>G32</f>
        <v>0.104</v>
      </c>
      <c r="I32" s="2"/>
      <c r="J32" s="2"/>
    </row>
    <row r="33" ht="12.75">
      <c r="A33" s="2"/>
      <c r="B33" s="9" t="s">
        <v>216</v>
      </c>
      <c r="C33" s="5">
        <v>1297.061</v>
      </c>
      <c r="D33" s="5">
        <v>1541.766</v>
      </c>
      <c r="E33" s="3">
        <f>D33</f>
        <v>1541.766</v>
      </c>
      <c r="F33" s="5">
        <v>1571.134</v>
      </c>
      <c r="G33" s="5">
        <v>1582.603</v>
      </c>
      <c r="H33" s="32">
        <f>G33+'Cash Flow Statement'!H13+'Cash Flow Statement'!H32+'Cash Flow Statement'!H33+'Cash Flow Statement'!H34+'Cash Flow Statement'!H35</f>
        <v>1595.803</v>
      </c>
      <c r="I33" s="2"/>
      <c r="J33" s="2"/>
    </row>
    <row r="34" ht="25.5">
      <c r="A34" s="2"/>
      <c r="B34" s="7" t="s">
        <v>217</v>
      </c>
      <c r="C34" s="5">
        <v>0.119</v>
      </c>
      <c r="D34" s="5">
        <v>0.105</v>
      </c>
      <c r="E34" s="3">
        <f>D34</f>
        <v>0.105</v>
      </c>
      <c r="F34" s="5">
        <v>0.056</v>
      </c>
      <c r="G34" s="5">
        <v>-0.145</v>
      </c>
      <c r="H34" s="34">
        <f>G34</f>
        <v>-0.145</v>
      </c>
      <c r="I34" s="2"/>
      <c r="J34" s="2"/>
    </row>
    <row r="35" ht="12.75">
      <c r="A35" s="2"/>
      <c r="B35" s="9" t="s">
        <v>218</v>
      </c>
      <c r="C35" s="5">
        <v>-925.005</v>
      </c>
      <c r="D35" s="5">
        <v>-1003.226</v>
      </c>
      <c r="E35" s="3">
        <f>D35</f>
        <v>-1003.226</v>
      </c>
      <c r="F35" s="5">
        <v>-1090.4</v>
      </c>
      <c r="G35" s="5">
        <v>-1179.935</v>
      </c>
      <c r="H35" s="32">
        <f>G35+'Income Statement'!H54</f>
        <v>-567.2361756064627</v>
      </c>
      <c r="I35" s="2"/>
      <c r="J35" s="2"/>
    </row>
    <row r="36" ht="12.75">
      <c r="A36" s="2"/>
      <c r="B36" s="46" t="s">
        <v>219</v>
      </c>
      <c r="C36" s="28">
        <f>SUM(C32,C33,C34,C35)</f>
        <v>372.25199999999995</v>
      </c>
      <c r="D36" s="28">
        <f>SUM(D32,D33,D34,D35)</f>
        <v>538.7470000000002</v>
      </c>
      <c r="E36" s="28">
        <f>SUM(E32,E33,E34,E35)</f>
        <v>538.7470000000002</v>
      </c>
      <c r="F36" s="28">
        <f>SUM(F32,F33,F34,F35)</f>
        <v>480.89300000000003</v>
      </c>
      <c r="G36" s="28">
        <f>SUM(G32,G33,G34,G35)</f>
        <v>402.6270000000002</v>
      </c>
      <c r="H36" s="36">
        <f>SUM(H32,H33,H34,H35)</f>
        <v>1028.5258243935375</v>
      </c>
      <c r="I36" s="2"/>
      <c r="J36" s="2"/>
    </row>
    <row r="37" ht="25.5">
      <c r="A37" s="2"/>
      <c r="B37" s="30" t="s">
        <v>220</v>
      </c>
      <c r="C37" s="28">
        <f>C29+C36</f>
        <v>522.472</v>
      </c>
      <c r="D37" s="28">
        <f>D29+D36</f>
        <v>688.1350000000002</v>
      </c>
      <c r="E37" s="28">
        <f>E29+E36</f>
        <v>688.1350000000002</v>
      </c>
      <c r="F37" s="28">
        <f>F29+F36</f>
        <v>636.1300000000001</v>
      </c>
      <c r="G37" s="28">
        <f>G29+G36</f>
        <v>535.5400000000002</v>
      </c>
      <c r="H37" s="36">
        <f>H29+H36</f>
        <v>1166.2014069040015</v>
      </c>
      <c r="I37" s="2"/>
      <c r="J37" s="2"/>
    </row>
    <row r="38" ht="25.5">
      <c r="A38" s="2"/>
      <c r="B38" s="57" t="s">
        <v>221</v>
      </c>
      <c r="C38" s="3">
        <f>ROUND(C19-C29-C36,6)</f>
        <v>0</v>
      </c>
      <c r="D38" s="3">
        <f>ROUND(D19-D29-D36,6)</f>
        <v>0</v>
      </c>
      <c r="E38" s="3">
        <f>ROUND(E19-E29-E36,6)</f>
        <v>0</v>
      </c>
      <c r="F38" s="3">
        <f>ROUND(F19-F29-F36,6)</f>
        <v>0</v>
      </c>
      <c r="G38" s="3">
        <f>ROUND(G19-G29-G36,6)</f>
        <v>0</v>
      </c>
      <c r="H38" s="34">
        <f>ROUND(H19-H29-H36,6)</f>
        <v>0</v>
      </c>
      <c r="I38" s="2"/>
      <c r="J38" s="2"/>
    </row>
    <row r="39" ht="12.75">
      <c r="A39" s="2"/>
      <c r="B39" s="2"/>
      <c r="C39" s="2"/>
      <c r="D39" s="2"/>
      <c r="E39" s="2"/>
      <c r="F39" s="2"/>
      <c r="G39" s="2"/>
      <c r="H39" s="35"/>
      <c r="I39" s="2"/>
      <c r="J39" s="2"/>
    </row>
    <row r="40" ht="12.75">
      <c r="A40" s="2"/>
      <c r="B40" s="46" t="s">
        <v>222</v>
      </c>
      <c r="C40" s="3"/>
      <c r="D40" s="3"/>
      <c r="E40" s="3"/>
      <c r="F40" s="3"/>
      <c r="G40" s="3"/>
      <c r="H40" s="34"/>
      <c r="I40" s="2"/>
      <c r="J40" s="2"/>
    </row>
    <row r="41" ht="25.5">
      <c r="A41" s="2"/>
      <c r="B41" s="7" t="s">
        <v>223</v>
      </c>
      <c r="C41" s="3">
        <f>C11+C12</f>
        <v>428.829</v>
      </c>
      <c r="D41" s="3">
        <f>D11+D12</f>
        <v>592.941</v>
      </c>
      <c r="E41" s="3">
        <f>E11+E12</f>
        <v>592.941</v>
      </c>
      <c r="F41" s="3">
        <f>F11+F12</f>
        <v>540.732</v>
      </c>
      <c r="G41" s="3">
        <f>G11+G12</f>
        <v>443.529</v>
      </c>
      <c r="H41" s="34">
        <f>H11+H12</f>
        <v>1054.0406242953059</v>
      </c>
      <c r="I41" s="2"/>
      <c r="J41" s="2"/>
    </row>
    <row r="42" ht="12.75">
      <c r="A42" s="2"/>
      <c r="B42" s="49" t="s">
        <v>71</v>
      </c>
      <c r="C42" s="3" t="s">
        <v>69</v>
      </c>
      <c r="D42" s="3">
        <f>D41-C41</f>
        <v>164.11200000000002</v>
      </c>
      <c r="E42" s="3" t="s">
        <v>69</v>
      </c>
      <c r="F42" s="3">
        <f>F41-D41</f>
        <v>-52.20900000000006</v>
      </c>
      <c r="G42" s="3">
        <f>G41-F41</f>
        <v>-97.20299999999997</v>
      </c>
      <c r="H42" s="34">
        <f>H41-G41</f>
        <v>610.5116242953059</v>
      </c>
      <c r="I42" s="2"/>
      <c r="J42" s="2"/>
    </row>
    <row r="43" ht="36.75">
      <c r="A43" s="2"/>
      <c r="B43" s="7" t="s">
        <v>224</v>
      </c>
      <c r="C43" s="3">
        <f>C11+C17</f>
        <v>79.406</v>
      </c>
      <c r="D43" s="3">
        <f>D11+D17</f>
        <v>247.928</v>
      </c>
      <c r="E43" s="3">
        <f>E11+E17</f>
        <v>247.928</v>
      </c>
      <c r="F43" s="3">
        <f>F11+F17</f>
        <v>72.163</v>
      </c>
      <c r="G43" s="3">
        <f>G11+G17</f>
        <v>68.653</v>
      </c>
      <c r="H43" s="34">
        <f>H11+H17</f>
        <v>397.5646242953057</v>
      </c>
      <c r="I43" s="2"/>
      <c r="J43" s="2"/>
    </row>
    <row r="44" ht="12.75">
      <c r="A44" s="2"/>
      <c r="B44" s="9" t="s">
        <v>225</v>
      </c>
      <c r="C44" s="3">
        <f>C25+C28</f>
        <v>41.168</v>
      </c>
      <c r="D44" s="3">
        <f>D25+D28</f>
        <v>27.590999999999998</v>
      </c>
      <c r="E44" s="3">
        <f>E25+E28</f>
        <v>27.590999999999998</v>
      </c>
      <c r="F44" s="3">
        <f>F25+F28</f>
        <v>26.339000000000002</v>
      </c>
      <c r="G44" s="3">
        <f>G25+G28</f>
        <v>19.295</v>
      </c>
      <c r="H44" s="34">
        <f>H25+H28</f>
        <v>14.094999999999999</v>
      </c>
      <c r="I44" s="2"/>
      <c r="J44" s="2"/>
    </row>
    <row r="45" ht="12.75">
      <c r="A45" s="2"/>
      <c r="B45" s="9" t="s">
        <v>226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29">
        <v>0</v>
      </c>
      <c r="I45" s="2"/>
      <c r="J45" s="2"/>
    </row>
    <row r="46" ht="12.75">
      <c r="A46" s="2"/>
      <c r="B46" s="2"/>
      <c r="C46" s="2"/>
      <c r="D46" s="2"/>
      <c r="E46" s="2"/>
      <c r="F46" s="2"/>
      <c r="G46" s="2"/>
      <c r="H46" s="35"/>
      <c r="I46" s="2"/>
      <c r="J46" s="2"/>
    </row>
    <row r="47" ht="12.7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227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60</v>
      </c>
      <c r="C6" s="27" t="s">
        <v>61</v>
      </c>
      <c r="D6" s="27" t="s">
        <v>62</v>
      </c>
      <c r="E6" s="27" t="s">
        <v>63</v>
      </c>
      <c r="F6" s="27" t="s">
        <v>64</v>
      </c>
      <c r="G6" s="27" t="s">
        <v>65</v>
      </c>
      <c r="H6" s="27" t="s">
        <v>4</v>
      </c>
      <c r="I6" s="2"/>
      <c r="J6" s="2"/>
    </row>
    <row r="7" ht="12.75">
      <c r="A7" s="2"/>
      <c r="B7" s="6" t="s">
        <v>5</v>
      </c>
      <c r="C7" s="22">
        <v>45900</v>
      </c>
      <c r="D7" s="22">
        <v>45991</v>
      </c>
      <c r="E7" s="22">
        <v>45991</v>
      </c>
      <c r="F7" s="22">
        <v>46081</v>
      </c>
      <c r="G7" s="22">
        <v>46173</v>
      </c>
      <c r="H7" s="22">
        <v>46265</v>
      </c>
      <c r="I7" s="2"/>
      <c r="J7" s="2"/>
    </row>
    <row r="8" ht="12.75">
      <c r="A8" s="2"/>
      <c r="B8" s="4" t="s">
        <v>6</v>
      </c>
      <c r="C8" s="33">
        <v>92</v>
      </c>
      <c r="D8" s="33">
        <v>91</v>
      </c>
      <c r="E8" s="33">
        <v>365</v>
      </c>
      <c r="F8" s="33">
        <v>90</v>
      </c>
      <c r="G8" s="33">
        <v>92</v>
      </c>
      <c r="H8" s="33">
        <v>92</v>
      </c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228</v>
      </c>
      <c r="C10" s="3"/>
      <c r="D10" s="3"/>
      <c r="E10" s="3"/>
      <c r="F10" s="3"/>
      <c r="G10" s="3"/>
      <c r="H10" s="34"/>
      <c r="I10" s="2"/>
      <c r="J10" s="2"/>
    </row>
    <row r="11" ht="12.75">
      <c r="A11" s="2"/>
      <c r="B11" s="9" t="s">
        <v>147</v>
      </c>
      <c r="C11" s="19">
        <f>'Income Statement'!C54</f>
        <v>-86.421</v>
      </c>
      <c r="D11" s="19">
        <f>'Income Statement'!D54</f>
        <v>-78.221</v>
      </c>
      <c r="E11" s="19">
        <f>'Income Statement'!E54</f>
        <v>-264.45700000000005</v>
      </c>
      <c r="F11" s="19">
        <f>'Income Statement'!F54</f>
        <v>-87.174</v>
      </c>
      <c r="G11" s="19">
        <f>'Income Statement'!G54</f>
        <v>-89.53499999999998</v>
      </c>
      <c r="H11" s="32">
        <f>'Income Statement'!H54</f>
        <v>612.6988243935373</v>
      </c>
      <c r="I11" s="2"/>
      <c r="J11" s="2"/>
    </row>
    <row r="12" ht="12.75">
      <c r="A12" s="2"/>
      <c r="B12" s="9" t="s">
        <v>229</v>
      </c>
      <c r="C12" s="19">
        <f>Inputs!D150-Inputs!C150</f>
        <v>2.0280000000000005</v>
      </c>
      <c r="D12" s="19">
        <f>E12-Inputs!D150</f>
        <v>2.12</v>
      </c>
      <c r="E12" s="5">
        <v>8.74</v>
      </c>
      <c r="F12" s="5">
        <v>2.196</v>
      </c>
      <c r="G12" s="19">
        <f>Inputs!E150-F12</f>
        <v>2.2549999999999994</v>
      </c>
      <c r="H12" s="29">
        <v>2.2</v>
      </c>
      <c r="I12" s="2"/>
      <c r="J12" s="2"/>
    </row>
    <row r="13" ht="12.75">
      <c r="A13" s="2"/>
      <c r="B13" s="9" t="s">
        <v>230</v>
      </c>
      <c r="C13" s="19">
        <f>Inputs!D151-Inputs!C151</f>
        <v>9.772000000000002</v>
      </c>
      <c r="D13" s="19">
        <f>E13-Inputs!D151</f>
        <v>9.086000000000002</v>
      </c>
      <c r="E13" s="5">
        <v>37.965</v>
      </c>
      <c r="F13" s="5">
        <v>9.404</v>
      </c>
      <c r="G13" s="19">
        <f>Inputs!E151-F13</f>
        <v>11.388000000000002</v>
      </c>
      <c r="H13" s="29">
        <v>11.5</v>
      </c>
      <c r="I13" s="2"/>
      <c r="J13" s="2"/>
    </row>
    <row r="14" ht="25.5">
      <c r="A14" s="2"/>
      <c r="B14" s="7" t="s">
        <v>231</v>
      </c>
      <c r="C14" s="19">
        <f>Inputs!D152-Inputs!C152</f>
        <v>-2.197</v>
      </c>
      <c r="D14" s="19">
        <f>E14-Inputs!D152</f>
        <v>-1.866999999999999</v>
      </c>
      <c r="E14" s="5">
        <v>-10.322</v>
      </c>
      <c r="F14" s="5">
        <v>-1.978</v>
      </c>
      <c r="G14" s="19">
        <f>Inputs!E152-F14</f>
        <v>-1.5570000000000002</v>
      </c>
      <c r="H14" s="29">
        <v>-1.6</v>
      </c>
      <c r="I14" s="2"/>
      <c r="J14" s="2"/>
    </row>
    <row r="15" ht="25.5">
      <c r="A15" s="2"/>
      <c r="B15" s="7" t="s">
        <v>232</v>
      </c>
      <c r="C15" s="19">
        <f>Inputs!D153-Inputs!C153</f>
        <v>0</v>
      </c>
      <c r="D15" s="19">
        <f>E15-Inputs!D153</f>
        <v>0.089</v>
      </c>
      <c r="E15" s="5">
        <v>0.089</v>
      </c>
      <c r="F15" s="5">
        <v>0.16</v>
      </c>
      <c r="G15" s="19">
        <f>Inputs!E153-F15</f>
        <v>0</v>
      </c>
      <c r="H15" s="29">
        <v>0</v>
      </c>
      <c r="I15" s="2"/>
      <c r="J15" s="2"/>
    </row>
    <row r="16" ht="25.5">
      <c r="A16" s="2"/>
      <c r="B16" s="7" t="s">
        <v>233</v>
      </c>
      <c r="C16" s="19">
        <f>Inputs!D154-Inputs!C154</f>
        <v>2.9720000000000004</v>
      </c>
      <c r="D16" s="19">
        <f>E16-Inputs!D154</f>
        <v>2.5109999999999992</v>
      </c>
      <c r="E16" s="5">
        <v>10.116</v>
      </c>
      <c r="F16" s="5">
        <v>1.58</v>
      </c>
      <c r="G16" s="19">
        <f>Inputs!E154-F16</f>
        <v>1.5949999999999998</v>
      </c>
      <c r="H16" s="29">
        <v>1.6</v>
      </c>
      <c r="I16" s="2"/>
      <c r="J16" s="2"/>
    </row>
    <row r="17" ht="12.75">
      <c r="A17" s="2"/>
      <c r="B17" s="9" t="s">
        <v>234</v>
      </c>
      <c r="C17" s="19">
        <f>Inputs!D155-Inputs!C155</f>
        <v>19</v>
      </c>
      <c r="D17" s="19">
        <f>E17-Inputs!D155</f>
        <v>0</v>
      </c>
      <c r="E17" s="5">
        <v>0</v>
      </c>
      <c r="F17" s="5">
        <v>0</v>
      </c>
      <c r="G17" s="19">
        <f>Inputs!E155-F17</f>
        <v>0</v>
      </c>
      <c r="H17" s="32">
        <f>'Income Statement'!H31-'Revenue summary'!H106</f>
        <v>-22.44978260869565</v>
      </c>
      <c r="I17" s="2"/>
      <c r="J17" s="2"/>
    </row>
    <row r="18" ht="25.5">
      <c r="A18" s="2"/>
      <c r="B18" s="7" t="s">
        <v>235</v>
      </c>
      <c r="C18" s="19">
        <f>Inputs!D156-Inputs!C156</f>
        <v>-1.983</v>
      </c>
      <c r="D18" s="19">
        <f>E18-Inputs!D156</f>
        <v>-1.2839999999999998</v>
      </c>
      <c r="E18" s="5">
        <v>-6.229</v>
      </c>
      <c r="F18" s="5">
        <v>1.287</v>
      </c>
      <c r="G18" s="19">
        <f>Inputs!E156-F18</f>
        <v>0.2630000000000001</v>
      </c>
      <c r="H18" s="29">
        <v>0</v>
      </c>
      <c r="I18" s="2"/>
      <c r="J18" s="2"/>
    </row>
    <row r="19" ht="12.75">
      <c r="A19" s="2"/>
      <c r="B19" s="9" t="s">
        <v>206</v>
      </c>
      <c r="C19" s="19">
        <f>Inputs!D157-Inputs!C157</f>
        <v>2.233</v>
      </c>
      <c r="D19" s="19">
        <f>E19-Inputs!D157</f>
        <v>3.025</v>
      </c>
      <c r="E19" s="5">
        <v>-0.63</v>
      </c>
      <c r="F19" s="5">
        <v>-0.461</v>
      </c>
      <c r="G19" s="19">
        <f>Inputs!E157-F19</f>
        <v>1.872</v>
      </c>
      <c r="H19" s="29">
        <v>0</v>
      </c>
      <c r="I19" s="2"/>
      <c r="J19" s="2"/>
    </row>
    <row r="20" ht="12.75">
      <c r="A20" s="2"/>
      <c r="B20" s="9" t="s">
        <v>236</v>
      </c>
      <c r="C20" s="19">
        <f>Inputs!D158-Inputs!C158</f>
        <v>-7.893999999999998</v>
      </c>
      <c r="D20" s="19">
        <f>E20-Inputs!D158</f>
        <v>-13.576999999999998</v>
      </c>
      <c r="E20" s="5">
        <v>-36.98</v>
      </c>
      <c r="F20" s="5">
        <v>-1.252</v>
      </c>
      <c r="G20" s="19">
        <f>Inputs!E158-F20</f>
        <v>-7.044</v>
      </c>
      <c r="H20" s="32">
        <f>'Revenue summary'!H113</f>
        <v>-5.2</v>
      </c>
      <c r="I20" s="2"/>
      <c r="J20" s="2"/>
    </row>
    <row r="21" ht="12.75">
      <c r="A21" s="2"/>
      <c r="B21" s="9" t="s">
        <v>237</v>
      </c>
      <c r="C21" s="19">
        <f>Inputs!D159-Inputs!C159</f>
        <v>-1.2309999999999999</v>
      </c>
      <c r="D21" s="19">
        <f>E21-Inputs!D159</f>
        <v>-0.7560000000000002</v>
      </c>
      <c r="E21" s="5">
        <v>-5.067</v>
      </c>
      <c r="F21" s="5">
        <v>0.205</v>
      </c>
      <c r="G21" s="19">
        <f>Inputs!E159-F21</f>
        <v>-0.5569999999999999</v>
      </c>
      <c r="H21" s="29">
        <v>0</v>
      </c>
      <c r="I21" s="2"/>
      <c r="J21" s="2"/>
    </row>
    <row r="22" ht="36.75">
      <c r="A22" s="2"/>
      <c r="B22" s="7" t="s">
        <v>238</v>
      </c>
      <c r="C22" s="19">
        <f>Inputs!D160-Inputs!C160</f>
        <v>6.335999999999999</v>
      </c>
      <c r="D22" s="19">
        <f>E22-Inputs!D160</f>
        <v>11.041999999999998</v>
      </c>
      <c r="E22" s="5">
        <v>17.31</v>
      </c>
      <c r="F22" s="5">
        <v>4.119</v>
      </c>
      <c r="G22" s="19">
        <f>Inputs!E160-F22</f>
        <v>-15.253</v>
      </c>
      <c r="H22" s="32">
        <f>'Income Statement'!H51</f>
        <v>9.96258251046402</v>
      </c>
      <c r="I22" s="2"/>
      <c r="J22" s="2"/>
    </row>
    <row r="23" ht="25.5">
      <c r="A23" s="2"/>
      <c r="B23" s="30" t="s">
        <v>239</v>
      </c>
      <c r="C23" s="28">
        <f>SUM(C11:C22)</f>
        <v>-57.385000000000005</v>
      </c>
      <c r="D23" s="28">
        <f>SUM(D11:D22)</f>
        <v>-67.832</v>
      </c>
      <c r="E23" s="28">
        <f>SUM(E11:E22)</f>
        <v>-249.46500000000003</v>
      </c>
      <c r="F23" s="28">
        <f>SUM(F11:F22)</f>
        <v>-71.914</v>
      </c>
      <c r="G23" s="28">
        <f>SUM(G11:G22)</f>
        <v>-96.57299999999998</v>
      </c>
      <c r="H23" s="36">
        <f>SUM(H11:H22)</f>
        <v>608.7116242953057</v>
      </c>
      <c r="I23" s="2"/>
      <c r="J23" s="2"/>
    </row>
    <row r="24" ht="12.75">
      <c r="A24" s="2"/>
      <c r="B24" s="2"/>
      <c r="C24" s="2"/>
      <c r="D24" s="2"/>
      <c r="E24" s="2"/>
      <c r="F24" s="2"/>
      <c r="G24" s="2"/>
      <c r="H24" s="35"/>
      <c r="I24" s="2"/>
      <c r="J24" s="2"/>
    </row>
    <row r="25" ht="12.75">
      <c r="A25" s="2"/>
      <c r="B25" s="46" t="s">
        <v>240</v>
      </c>
      <c r="C25" s="3"/>
      <c r="D25" s="3"/>
      <c r="E25" s="3"/>
      <c r="F25" s="3"/>
      <c r="G25" s="3"/>
      <c r="H25" s="34"/>
      <c r="I25" s="2"/>
      <c r="J25" s="2"/>
    </row>
    <row r="26" ht="25.5">
      <c r="A26" s="2"/>
      <c r="B26" s="7" t="s">
        <v>241</v>
      </c>
      <c r="C26" s="19">
        <f>Inputs!D161-Inputs!C161</f>
        <v>-102.99900000000002</v>
      </c>
      <c r="D26" s="19">
        <f>E26-Inputs!D161</f>
        <v>-174.33799999999997</v>
      </c>
      <c r="E26" s="5">
        <v>-455.688</v>
      </c>
      <c r="F26" s="5">
        <v>-255.934</v>
      </c>
      <c r="G26" s="19">
        <f>Inputs!E161-F26</f>
        <v>-24.628000000000014</v>
      </c>
      <c r="H26" s="29">
        <v>-400</v>
      </c>
      <c r="I26" s="2"/>
      <c r="J26" s="2"/>
    </row>
    <row r="27" ht="25.5">
      <c r="A27" s="2"/>
      <c r="B27" s="7" t="s">
        <v>242</v>
      </c>
      <c r="C27" s="19">
        <f>Inputs!D162-Inputs!C162</f>
        <v>156.185</v>
      </c>
      <c r="D27" s="19">
        <f>E27-Inputs!D162</f>
        <v>179.815</v>
      </c>
      <c r="E27" s="5">
        <v>617.543</v>
      </c>
      <c r="F27" s="5">
        <v>133.153</v>
      </c>
      <c r="G27" s="19">
        <f>Inputs!E162-F27</f>
        <v>119.561</v>
      </c>
      <c r="H27" s="29">
        <v>120</v>
      </c>
      <c r="I27" s="2"/>
      <c r="J27" s="2"/>
    </row>
    <row r="28" ht="25.5">
      <c r="A28" s="2"/>
      <c r="B28" s="7" t="s">
        <v>243</v>
      </c>
      <c r="C28" s="19">
        <f>Inputs!D163-Inputs!C163</f>
        <v>-2.7110000000000003</v>
      </c>
      <c r="D28" s="19">
        <f>E28-Inputs!D163</f>
        <v>-5.131</v>
      </c>
      <c r="E28" s="5">
        <v>-14.002</v>
      </c>
      <c r="F28" s="5">
        <v>-1.045</v>
      </c>
      <c r="G28" s="19">
        <f>Inputs!E163-F28</f>
        <v>-1.936</v>
      </c>
      <c r="H28" s="29">
        <v>-1.5</v>
      </c>
      <c r="I28" s="2"/>
      <c r="J28" s="2"/>
    </row>
    <row r="29" ht="25.5">
      <c r="A29" s="2"/>
      <c r="B29" s="30" t="s">
        <v>244</v>
      </c>
      <c r="C29" s="28">
        <f>SUM(C26:C28)</f>
        <v>50.47499999999998</v>
      </c>
      <c r="D29" s="28">
        <f>SUM(D26:D28)</f>
        <v>0.34600000000003206</v>
      </c>
      <c r="E29" s="28">
        <f>SUM(E26:E28)</f>
        <v>147.853</v>
      </c>
      <c r="F29" s="28">
        <f>SUM(F26:F28)</f>
        <v>-123.82600000000001</v>
      </c>
      <c r="G29" s="28">
        <f>SUM(G26:G28)</f>
        <v>92.99699999999999</v>
      </c>
      <c r="H29" s="36">
        <f>SUM(H26:H28)</f>
        <v>-281.5</v>
      </c>
      <c r="I29" s="2"/>
      <c r="J29" s="2"/>
    </row>
    <row r="30" ht="12.75">
      <c r="A30" s="2"/>
      <c r="B30" s="2"/>
      <c r="C30" s="2"/>
      <c r="D30" s="2"/>
      <c r="E30" s="2"/>
      <c r="F30" s="2"/>
      <c r="G30" s="2"/>
      <c r="H30" s="35"/>
      <c r="I30" s="2"/>
      <c r="J30" s="2"/>
    </row>
    <row r="31" ht="12.75">
      <c r="A31" s="2"/>
      <c r="B31" s="46" t="s">
        <v>245</v>
      </c>
      <c r="C31" s="3"/>
      <c r="D31" s="3"/>
      <c r="E31" s="3"/>
      <c r="F31" s="3"/>
      <c r="G31" s="3"/>
      <c r="H31" s="34"/>
      <c r="I31" s="2"/>
      <c r="J31" s="2"/>
    </row>
    <row r="32" ht="25.5">
      <c r="A32" s="2"/>
      <c r="B32" s="7" t="s">
        <v>246</v>
      </c>
      <c r="C32" s="19">
        <f>Inputs!D164-Inputs!C164</f>
        <v>0.17800000000000002</v>
      </c>
      <c r="D32" s="19">
        <f>E32-Inputs!D164</f>
        <v>1.246</v>
      </c>
      <c r="E32" s="5">
        <v>1.651</v>
      </c>
      <c r="F32" s="5">
        <v>0.375</v>
      </c>
      <c r="G32" s="19">
        <f>Inputs!E164-F32</f>
        <v>0.066</v>
      </c>
      <c r="H32" s="29">
        <v>0.5</v>
      </c>
      <c r="I32" s="2"/>
      <c r="J32" s="2"/>
    </row>
    <row r="33" ht="25.5">
      <c r="A33" s="2"/>
      <c r="B33" s="7" t="s">
        <v>247</v>
      </c>
      <c r="C33" s="19">
        <f>Inputs!D165-Inputs!C165</f>
        <v>0.9770000000000001</v>
      </c>
      <c r="D33" s="19">
        <f>E33-Inputs!D165</f>
        <v>0</v>
      </c>
      <c r="E33" s="5">
        <v>2.229</v>
      </c>
      <c r="F33" s="5">
        <v>1.596</v>
      </c>
      <c r="G33" s="19">
        <f>Inputs!E165-F33</f>
        <v>0</v>
      </c>
      <c r="H33" s="29">
        <v>1.2</v>
      </c>
      <c r="I33" s="2"/>
      <c r="J33" s="2"/>
    </row>
    <row r="34" ht="25.5">
      <c r="A34" s="2"/>
      <c r="B34" s="7" t="s">
        <v>248</v>
      </c>
      <c r="C34" s="19">
        <f>Inputs!D166-Inputs!C166</f>
        <v>0</v>
      </c>
      <c r="D34" s="19">
        <f>E34-Inputs!D166</f>
        <v>234.762</v>
      </c>
      <c r="E34" s="5">
        <v>234.762</v>
      </c>
      <c r="F34" s="5">
        <v>0</v>
      </c>
      <c r="G34" s="19">
        <f>Inputs!E166-F34</f>
        <v>0</v>
      </c>
      <c r="H34" s="29">
        <v>0</v>
      </c>
      <c r="I34" s="2"/>
      <c r="J34" s="2"/>
    </row>
    <row r="35" ht="12.75">
      <c r="A35" s="2"/>
      <c r="B35" s="9" t="s">
        <v>249</v>
      </c>
      <c r="C35" s="19">
        <f>Inputs!D167-Inputs!C167</f>
        <v>0</v>
      </c>
      <c r="D35" s="19">
        <f>E35-Inputs!D167</f>
        <v>0</v>
      </c>
      <c r="E35" s="5">
        <v>0</v>
      </c>
      <c r="F35" s="5">
        <v>18.004</v>
      </c>
      <c r="G35" s="19">
        <f>Inputs!E167-F35</f>
        <v>0</v>
      </c>
      <c r="H35" s="29">
        <v>0</v>
      </c>
      <c r="I35" s="2"/>
      <c r="J35" s="2"/>
    </row>
    <row r="36" ht="25.5">
      <c r="A36" s="2"/>
      <c r="B36" s="30" t="s">
        <v>250</v>
      </c>
      <c r="C36" s="28">
        <f>SUM(C32:C35)</f>
        <v>1.1550000000000002</v>
      </c>
      <c r="D36" s="28">
        <f>SUM(D32:D35)</f>
        <v>236.008</v>
      </c>
      <c r="E36" s="28">
        <f>SUM(E32:E35)</f>
        <v>238.642</v>
      </c>
      <c r="F36" s="28">
        <f>SUM(F32:F35)</f>
        <v>19.975</v>
      </c>
      <c r="G36" s="28">
        <f>SUM(G32:G35)</f>
        <v>0.066</v>
      </c>
      <c r="H36" s="36">
        <f>SUM(H32:H35)</f>
        <v>1.7</v>
      </c>
      <c r="I36" s="2"/>
      <c r="J36" s="2"/>
    </row>
    <row r="37" ht="12.75">
      <c r="A37" s="2"/>
      <c r="B37" s="2"/>
      <c r="C37" s="2"/>
      <c r="D37" s="2"/>
      <c r="E37" s="2"/>
      <c r="F37" s="2"/>
      <c r="G37" s="2"/>
      <c r="H37" s="35"/>
      <c r="I37" s="2"/>
      <c r="J37" s="2"/>
    </row>
    <row r="38" ht="25.5">
      <c r="A38" s="2"/>
      <c r="B38" s="30" t="s">
        <v>251</v>
      </c>
      <c r="C38" s="28">
        <f>C23+C29+C36</f>
        <v>-5.755000000000025</v>
      </c>
      <c r="D38" s="28">
        <f>D23+D29+D36</f>
        <v>168.52200000000005</v>
      </c>
      <c r="E38" s="28">
        <f>E23+E29+E36</f>
        <v>137.02999999999997</v>
      </c>
      <c r="F38" s="28">
        <f>F23+F29+F36</f>
        <v>-175.76500000000001</v>
      </c>
      <c r="G38" s="28">
        <f>G23+G29+G36</f>
        <v>-3.5099999999999936</v>
      </c>
      <c r="H38" s="36">
        <f>H23+H29+H36</f>
        <v>328.91162429530567</v>
      </c>
      <c r="I38" s="2"/>
      <c r="J38" s="2"/>
    </row>
    <row r="39" ht="25.5">
      <c r="A39" s="2"/>
      <c r="B39" s="7" t="s">
        <v>252</v>
      </c>
      <c r="C39" s="19">
        <f>Inputs!C140</f>
        <v>85.161</v>
      </c>
      <c r="D39" s="3">
        <f>C40</f>
        <v>79.40599999999998</v>
      </c>
      <c r="E39" s="19">
        <f>Inputs!C139</f>
        <v>110.898</v>
      </c>
      <c r="F39" s="3">
        <f>D40</f>
        <v>247.92800000000003</v>
      </c>
      <c r="G39" s="3">
        <f>F40</f>
        <v>72.16300000000001</v>
      </c>
      <c r="H39" s="34">
        <f>G40</f>
        <v>68.65300000000002</v>
      </c>
      <c r="I39" s="2"/>
      <c r="J39" s="2"/>
    </row>
    <row r="40" ht="25.5">
      <c r="A40" s="2"/>
      <c r="B40" s="30" t="s">
        <v>253</v>
      </c>
      <c r="C40" s="28">
        <f>C39+C38</f>
        <v>79.40599999999998</v>
      </c>
      <c r="D40" s="28">
        <f>D39+D38</f>
        <v>247.92800000000003</v>
      </c>
      <c r="E40" s="28">
        <f>E39+E38</f>
        <v>247.92799999999997</v>
      </c>
      <c r="F40" s="28">
        <f>F39+F38</f>
        <v>72.16300000000001</v>
      </c>
      <c r="G40" s="28">
        <f>G39+G38</f>
        <v>68.65300000000002</v>
      </c>
      <c r="H40" s="36">
        <f>H39+H38</f>
        <v>397.5646242953057</v>
      </c>
      <c r="I40" s="2"/>
      <c r="J40" s="2"/>
    </row>
    <row r="41" ht="25.5">
      <c r="A41" s="2"/>
      <c r="B41" s="7" t="s">
        <v>254</v>
      </c>
      <c r="C41" s="19">
        <f>'Balance Sheet'!C43</f>
        <v>79.406</v>
      </c>
      <c r="D41" s="19">
        <f>'Balance Sheet'!D43</f>
        <v>247.928</v>
      </c>
      <c r="E41" s="19">
        <f>'Balance Sheet'!E43</f>
        <v>247.928</v>
      </c>
      <c r="F41" s="19">
        <f>'Balance Sheet'!F43</f>
        <v>72.163</v>
      </c>
      <c r="G41" s="19">
        <f>'Balance Sheet'!G43</f>
        <v>68.653</v>
      </c>
      <c r="H41" s="32">
        <f>'Balance Sheet'!H43</f>
        <v>397.5646242953057</v>
      </c>
      <c r="I41" s="2"/>
      <c r="J41" s="2"/>
    </row>
    <row r="42" ht="25.5">
      <c r="A42" s="2"/>
      <c r="B42" s="57" t="s">
        <v>255</v>
      </c>
      <c r="C42" s="3">
        <f>ROUND(C40-C41,6)</f>
        <v>0</v>
      </c>
      <c r="D42" s="3">
        <f>ROUND(D40-D41,6)</f>
        <v>0</v>
      </c>
      <c r="E42" s="3">
        <f>ROUND(E40-E41,6)</f>
        <v>0</v>
      </c>
      <c r="F42" s="3">
        <f>ROUND(F40-F41,6)</f>
        <v>0</v>
      </c>
      <c r="G42" s="3">
        <f>ROUND(G40-G41,6)</f>
        <v>0</v>
      </c>
      <c r="H42" s="34">
        <f>ROUND(H40-H41,6)</f>
        <v>0</v>
      </c>
      <c r="I42" s="2"/>
      <c r="J42" s="2"/>
    </row>
    <row r="43" ht="12.75">
      <c r="A43" s="2"/>
      <c r="B43" s="2"/>
      <c r="C43" s="2"/>
      <c r="D43" s="2"/>
      <c r="E43" s="2"/>
      <c r="F43" s="2"/>
      <c r="G43" s="2"/>
      <c r="H43" s="35"/>
      <c r="I43" s="2"/>
      <c r="J43" s="2"/>
    </row>
    <row r="44" ht="25.5">
      <c r="A44" s="2"/>
      <c r="B44" s="7" t="s">
        <v>256</v>
      </c>
      <c r="C44" s="3">
        <f>C23+C28</f>
        <v>-60.096000000000004</v>
      </c>
      <c r="D44" s="3">
        <f>D23+D28</f>
        <v>-72.963</v>
      </c>
      <c r="E44" s="3">
        <f>E23+E28</f>
        <v>-263.46700000000004</v>
      </c>
      <c r="F44" s="3">
        <f>F23+F28</f>
        <v>-72.959</v>
      </c>
      <c r="G44" s="3">
        <f>G23+G28</f>
        <v>-98.50899999999999</v>
      </c>
      <c r="H44" s="34">
        <f>H23+H28</f>
        <v>607.2116242953057</v>
      </c>
      <c r="I44" s="2"/>
      <c r="J44" s="2"/>
    </row>
    <row r="45" ht="12.75">
      <c r="A45" s="2"/>
      <c r="B45" s="49" t="s">
        <v>71</v>
      </c>
      <c r="C45" s="3" t="s">
        <v>69</v>
      </c>
      <c r="D45" s="3">
        <f>D44-C44</f>
        <v>-12.86699999999999</v>
      </c>
      <c r="E45" s="3" t="s">
        <v>69</v>
      </c>
      <c r="F45" s="3">
        <f>F44-D44</f>
        <v>0.003999999999990678</v>
      </c>
      <c r="G45" s="3">
        <f>G44-F44</f>
        <v>-25.549999999999983</v>
      </c>
      <c r="H45" s="34">
        <f>H44-G44</f>
        <v>705.7206242953057</v>
      </c>
      <c r="I45" s="2"/>
      <c r="J45" s="2"/>
    </row>
    <row r="46" ht="12.75">
      <c r="A46" s="2"/>
      <c r="B46" s="2"/>
      <c r="C46" s="2"/>
      <c r="D46" s="2"/>
      <c r="E46" s="2"/>
      <c r="F46" s="2"/>
      <c r="G46" s="2"/>
      <c r="H46" s="35"/>
      <c r="I46" s="2"/>
      <c r="J46" s="2"/>
    </row>
    <row r="47" ht="12.7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4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257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258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60</v>
      </c>
      <c r="C6" s="27" t="s">
        <v>61</v>
      </c>
      <c r="D6" s="27" t="s">
        <v>62</v>
      </c>
      <c r="E6" s="27" t="s">
        <v>63</v>
      </c>
      <c r="F6" s="27" t="s">
        <v>64</v>
      </c>
      <c r="G6" s="27" t="s">
        <v>65</v>
      </c>
      <c r="H6" s="27" t="s">
        <v>4</v>
      </c>
      <c r="I6" s="2"/>
      <c r="J6" s="2"/>
    </row>
    <row r="7" ht="12.75">
      <c r="A7" s="2"/>
      <c r="B7" s="6" t="s">
        <v>5</v>
      </c>
      <c r="C7" s="22">
        <v>45900</v>
      </c>
      <c r="D7" s="22">
        <v>45991</v>
      </c>
      <c r="E7" s="22">
        <v>45991</v>
      </c>
      <c r="F7" s="22">
        <v>46081</v>
      </c>
      <c r="G7" s="22">
        <v>46173</v>
      </c>
      <c r="H7" s="22">
        <v>46265</v>
      </c>
      <c r="I7" s="2"/>
      <c r="J7" s="2"/>
    </row>
    <row r="8" ht="12.75">
      <c r="A8" s="2"/>
      <c r="B8" s="4" t="s">
        <v>6</v>
      </c>
      <c r="C8" s="33">
        <v>92</v>
      </c>
      <c r="D8" s="33">
        <v>91</v>
      </c>
      <c r="E8" s="33">
        <v>365</v>
      </c>
      <c r="F8" s="33">
        <v>90</v>
      </c>
      <c r="G8" s="33">
        <v>92</v>
      </c>
      <c r="H8" s="33">
        <v>92</v>
      </c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259</v>
      </c>
      <c r="C10" s="3"/>
      <c r="D10" s="3"/>
      <c r="E10" s="3"/>
      <c r="F10" s="3"/>
      <c r="G10" s="3"/>
      <c r="H10" s="34"/>
      <c r="I10" s="2"/>
      <c r="J10" s="2"/>
    </row>
    <row r="11" ht="25.5">
      <c r="A11" s="2"/>
      <c r="B11" s="7" t="s">
        <v>260</v>
      </c>
      <c r="C11" s="37">
        <v>76.872686</v>
      </c>
      <c r="D11" s="37">
        <v>101.807484</v>
      </c>
      <c r="E11" s="40">
        <f>D11</f>
        <v>101.807484</v>
      </c>
      <c r="F11" s="37">
        <v>103.399813</v>
      </c>
      <c r="G11" s="37">
        <v>103.701511</v>
      </c>
      <c r="H11" s="41">
        <f>G11+H14+H15+H16-H17</f>
        <v>104.001511</v>
      </c>
      <c r="I11" s="2"/>
      <c r="J11" s="2"/>
    </row>
    <row r="12" ht="25.5">
      <c r="A12" s="2"/>
      <c r="B12" s="7" t="s">
        <v>261</v>
      </c>
      <c r="C12" s="37">
        <v>7.577909</v>
      </c>
      <c r="D12" s="37">
        <v>7.577909</v>
      </c>
      <c r="E12" s="40">
        <f>D12</f>
        <v>7.577909</v>
      </c>
      <c r="F12" s="37">
        <v>7.577909</v>
      </c>
      <c r="G12" s="37">
        <v>7.577909</v>
      </c>
      <c r="H12" s="41">
        <f>G12</f>
        <v>7.577909</v>
      </c>
      <c r="I12" s="2"/>
      <c r="J12" s="2"/>
    </row>
    <row r="13" ht="25.5">
      <c r="A13" s="2"/>
      <c r="B13" s="30" t="s">
        <v>262</v>
      </c>
      <c r="C13" s="39">
        <f>C11+C12</f>
        <v>84.450595</v>
      </c>
      <c r="D13" s="39">
        <f>D11+D12</f>
        <v>109.38539300000001</v>
      </c>
      <c r="E13" s="39">
        <f>E11+E12</f>
        <v>109.38539300000001</v>
      </c>
      <c r="F13" s="39">
        <f>F11+F12</f>
        <v>110.977722</v>
      </c>
      <c r="G13" s="39">
        <f>G11+G12</f>
        <v>111.27942</v>
      </c>
      <c r="H13" s="63">
        <f>H11+H12</f>
        <v>111.57942</v>
      </c>
      <c r="I13" s="2"/>
      <c r="J13" s="2"/>
    </row>
    <row r="14" ht="25.5">
      <c r="A14" s="2"/>
      <c r="B14" s="7" t="s">
        <v>263</v>
      </c>
      <c r="C14" s="37">
        <v>0</v>
      </c>
      <c r="D14" s="37">
        <v>24.485799</v>
      </c>
      <c r="E14" s="40">
        <f>D14</f>
        <v>24.485799</v>
      </c>
      <c r="F14" s="37">
        <v>0</v>
      </c>
      <c r="G14" s="37">
        <v>0</v>
      </c>
      <c r="H14" s="53">
        <v>0</v>
      </c>
      <c r="I14" s="2"/>
      <c r="J14" s="2"/>
    </row>
    <row r="15" ht="12.75">
      <c r="A15" s="2"/>
      <c r="B15" s="9" t="s">
        <v>264</v>
      </c>
      <c r="C15" s="37">
        <v>0</v>
      </c>
      <c r="D15" s="37">
        <v>0</v>
      </c>
      <c r="E15" s="37">
        <v>0</v>
      </c>
      <c r="F15" s="37">
        <v>1</v>
      </c>
      <c r="G15" s="37">
        <v>0</v>
      </c>
      <c r="H15" s="53">
        <v>0</v>
      </c>
      <c r="I15" s="2"/>
      <c r="J15" s="2"/>
    </row>
    <row r="16" ht="25.5">
      <c r="A16" s="2"/>
      <c r="B16" s="7" t="s">
        <v>265</v>
      </c>
      <c r="C16" s="58">
        <f>C11-Inputs!C142-C14-C15</f>
        <v>0.43902200000000846</v>
      </c>
      <c r="D16" s="40">
        <f>D11-C11-D14-D15</f>
        <v>0.4489990000000006</v>
      </c>
      <c r="E16" s="58">
        <f>E11-Inputs!C141-E14-E15</f>
        <v>1.4509670000000057</v>
      </c>
      <c r="F16" s="40">
        <f>F11-D11-F14-F15</f>
        <v>0.5923289999999923</v>
      </c>
      <c r="G16" s="40">
        <f>G11-F11-G14-G15</f>
        <v>0.3016980000000018</v>
      </c>
      <c r="H16" s="53">
        <v>0.3</v>
      </c>
      <c r="I16" s="2"/>
      <c r="J16" s="2"/>
    </row>
    <row r="17" ht="25.5">
      <c r="A17" s="2"/>
      <c r="B17" s="7" t="s">
        <v>266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53">
        <v>0</v>
      </c>
      <c r="I17" s="2"/>
      <c r="J17" s="2"/>
    </row>
    <row r="18" ht="12.75">
      <c r="A18" s="2"/>
      <c r="B18" s="2"/>
      <c r="C18" s="2"/>
      <c r="D18" s="2"/>
      <c r="E18" s="2"/>
      <c r="F18" s="2"/>
      <c r="G18" s="2"/>
      <c r="H18" s="35"/>
      <c r="I18" s="2"/>
      <c r="J18" s="2"/>
    </row>
    <row r="19" ht="12.75">
      <c r="A19" s="2"/>
      <c r="B19" s="46" t="s">
        <v>267</v>
      </c>
      <c r="C19" s="3"/>
      <c r="D19" s="3"/>
      <c r="E19" s="3"/>
      <c r="F19" s="3"/>
      <c r="G19" s="3"/>
      <c r="H19" s="34"/>
      <c r="I19" s="2"/>
      <c r="J19" s="2"/>
    </row>
    <row r="20" ht="25.5">
      <c r="A20" s="2"/>
      <c r="B20" s="52" t="s">
        <v>268</v>
      </c>
      <c r="C20" s="43"/>
      <c r="D20" s="43"/>
      <c r="E20" s="43"/>
      <c r="F20" s="43"/>
      <c r="G20" s="43"/>
      <c r="H20" s="61">
        <v>0.5</v>
      </c>
      <c r="I20" s="2"/>
      <c r="J20" s="2"/>
    </row>
    <row r="21" ht="25.5">
      <c r="A21" s="2"/>
      <c r="B21" s="69" t="s">
        <v>269</v>
      </c>
      <c r="C21" s="38"/>
      <c r="D21" s="38"/>
      <c r="E21" s="38"/>
      <c r="F21" s="38"/>
      <c r="G21" s="38"/>
      <c r="H21" s="56" t="s">
        <v>69</v>
      </c>
      <c r="I21" s="2"/>
      <c r="J21" s="2"/>
    </row>
    <row r="22" ht="12.75">
      <c r="A22" s="2"/>
      <c r="B22" s="46" t="s">
        <v>270</v>
      </c>
      <c r="C22" s="42">
        <v>84.159336</v>
      </c>
      <c r="D22" s="45">
        <f>(E22*E8-Inputs!C143*(DATEVALUE(Inputs!C12)-(E7-E8))-Inputs!C144*(DATEVALUE(Inputs!D12)-DATEVALUE(Inputs!C12))-C22*C8)/D8</f>
        <v>95.08904075824175</v>
      </c>
      <c r="E22" s="42">
        <v>86.666907</v>
      </c>
      <c r="F22" s="42">
        <v>110.071668</v>
      </c>
      <c r="G22" s="42">
        <v>111.084423</v>
      </c>
      <c r="H22" s="63">
        <f>G13+(H14+H15+H16)*H20</f>
        <v>111.42942000000001</v>
      </c>
      <c r="I22" s="2"/>
      <c r="J22" s="2"/>
    </row>
    <row r="23" ht="12.75">
      <c r="A23" s="2"/>
      <c r="B23" s="49" t="s">
        <v>271</v>
      </c>
      <c r="C23" s="40" t="s">
        <v>69</v>
      </c>
      <c r="D23" s="40" t="s">
        <v>69</v>
      </c>
      <c r="E23" s="40" t="s">
        <v>69</v>
      </c>
      <c r="F23" s="40" t="s">
        <v>69</v>
      </c>
      <c r="G23" s="40" t="s">
        <v>69</v>
      </c>
      <c r="H23" s="41">
        <f>H22-C22</f>
        <v>27.27008400000001</v>
      </c>
      <c r="I23" s="2"/>
      <c r="J23" s="2"/>
    </row>
    <row r="24" ht="12.75">
      <c r="A24" s="2"/>
      <c r="B24" s="49" t="s">
        <v>272</v>
      </c>
      <c r="C24" s="40" t="s">
        <v>69</v>
      </c>
      <c r="D24" s="40">
        <f>D22-C22</f>
        <v>10.929704758241755</v>
      </c>
      <c r="E24" s="40" t="s">
        <v>69</v>
      </c>
      <c r="F24" s="40">
        <f>F22-D22</f>
        <v>14.982627241758252</v>
      </c>
      <c r="G24" s="40">
        <f>G22-F22</f>
        <v>1.0127549999999985</v>
      </c>
      <c r="H24" s="41">
        <f>H22-G22</f>
        <v>0.34499700000000644</v>
      </c>
      <c r="I24" s="2"/>
      <c r="J24" s="2"/>
    </row>
    <row r="25" ht="12.75">
      <c r="A25" s="2"/>
      <c r="B25" s="2"/>
      <c r="C25" s="2"/>
      <c r="D25" s="2"/>
      <c r="E25" s="2"/>
      <c r="F25" s="2"/>
      <c r="G25" s="2"/>
      <c r="H25" s="35"/>
      <c r="I25" s="2"/>
      <c r="J25" s="2"/>
    </row>
    <row r="26" ht="12.75">
      <c r="A26" s="2"/>
      <c r="B26" s="46" t="s">
        <v>273</v>
      </c>
      <c r="C26" s="3"/>
      <c r="D26" s="3"/>
      <c r="E26" s="3"/>
      <c r="F26" s="3"/>
      <c r="G26" s="3"/>
      <c r="H26" s="34"/>
      <c r="I26" s="2"/>
      <c r="J26" s="2"/>
    </row>
    <row r="27" ht="25.5">
      <c r="A27" s="2"/>
      <c r="B27" s="7" t="s">
        <v>274</v>
      </c>
      <c r="C27" s="40"/>
      <c r="D27" s="40"/>
      <c r="E27" s="40"/>
      <c r="F27" s="40"/>
      <c r="G27" s="40"/>
      <c r="H27" s="53">
        <v>13.084139</v>
      </c>
      <c r="I27" s="2"/>
      <c r="J27" s="2"/>
    </row>
    <row r="28" ht="25.5">
      <c r="A28" s="2"/>
      <c r="B28" s="7" t="s">
        <v>275</v>
      </c>
      <c r="C28" s="14"/>
      <c r="D28" s="14"/>
      <c r="E28" s="14"/>
      <c r="F28" s="14"/>
      <c r="G28" s="14"/>
      <c r="H28" s="55">
        <v>15.84</v>
      </c>
      <c r="I28" s="2"/>
      <c r="J28" s="2"/>
    </row>
    <row r="29" ht="12.75">
      <c r="A29" s="2"/>
      <c r="B29" s="9" t="s">
        <v>276</v>
      </c>
      <c r="C29" s="40"/>
      <c r="D29" s="40"/>
      <c r="E29" s="40"/>
      <c r="F29" s="40"/>
      <c r="G29" s="40"/>
      <c r="H29" s="53">
        <v>3.069904</v>
      </c>
      <c r="I29" s="2"/>
      <c r="J29" s="2"/>
    </row>
    <row r="30" ht="25.5">
      <c r="A30" s="2"/>
      <c r="B30" s="7" t="s">
        <v>277</v>
      </c>
      <c r="C30" s="3"/>
      <c r="D30" s="3"/>
      <c r="E30" s="3"/>
      <c r="F30" s="3"/>
      <c r="G30" s="3"/>
      <c r="H30" s="29">
        <v>81.9</v>
      </c>
      <c r="I30" s="2"/>
      <c r="J30" s="2"/>
    </row>
    <row r="31" ht="25.5">
      <c r="A31" s="2"/>
      <c r="B31" s="7" t="s">
        <v>278</v>
      </c>
      <c r="C31" s="14"/>
      <c r="D31" s="14"/>
      <c r="E31" s="14"/>
      <c r="F31" s="14"/>
      <c r="G31" s="14"/>
      <c r="H31" s="55">
        <v>24</v>
      </c>
      <c r="I31" s="2"/>
      <c r="J31" s="2"/>
    </row>
    <row r="32" ht="12.75">
      <c r="A32" s="2"/>
      <c r="B32" s="9" t="s">
        <v>279</v>
      </c>
      <c r="C32" s="40"/>
      <c r="D32" s="40"/>
      <c r="E32" s="40"/>
      <c r="F32" s="40"/>
      <c r="G32" s="40"/>
      <c r="H32" s="41">
        <f>IF(H31&gt;H28,H27*(1-H28/H31),0)</f>
        <v>4.44860726</v>
      </c>
      <c r="I32" s="2"/>
      <c r="J32" s="2"/>
    </row>
    <row r="33" ht="12.75">
      <c r="A33" s="2"/>
      <c r="B33" s="9" t="s">
        <v>280</v>
      </c>
      <c r="C33" s="40"/>
      <c r="D33" s="40"/>
      <c r="E33" s="40"/>
      <c r="F33" s="40"/>
      <c r="G33" s="40"/>
      <c r="H33" s="41">
        <f>H29</f>
        <v>3.069904</v>
      </c>
      <c r="I33" s="2"/>
      <c r="J33" s="2"/>
    </row>
    <row r="34" ht="25.5">
      <c r="A34" s="2"/>
      <c r="B34" s="7" t="s">
        <v>281</v>
      </c>
      <c r="C34" s="40"/>
      <c r="D34" s="40"/>
      <c r="E34" s="40"/>
      <c r="F34" s="40"/>
      <c r="G34" s="40"/>
      <c r="H34" s="41">
        <f>-H30/H31</f>
        <v>-3.4125</v>
      </c>
      <c r="I34" s="2"/>
      <c r="J34" s="2"/>
    </row>
    <row r="35" ht="12.75">
      <c r="A35" s="2"/>
      <c r="B35" s="46" t="s">
        <v>282</v>
      </c>
      <c r="C35" s="39"/>
      <c r="D35" s="39"/>
      <c r="E35" s="39"/>
      <c r="F35" s="39"/>
      <c r="G35" s="39"/>
      <c r="H35" s="63">
        <f>MAX(0,H32+H33+H34)</f>
        <v>4.106011260000001</v>
      </c>
      <c r="I35" s="2"/>
      <c r="J35" s="2"/>
    </row>
    <row r="36" ht="25.5">
      <c r="A36" s="2"/>
      <c r="B36" s="30" t="s">
        <v>283</v>
      </c>
      <c r="C36" s="39">
        <f>C22</f>
        <v>84.159336</v>
      </c>
      <c r="D36" s="39">
        <f>D22</f>
        <v>95.08904075824175</v>
      </c>
      <c r="E36" s="39">
        <f>E22</f>
        <v>86.666907</v>
      </c>
      <c r="F36" s="39">
        <f>F22</f>
        <v>110.071668</v>
      </c>
      <c r="G36" s="39">
        <f>G22</f>
        <v>111.084423</v>
      </c>
      <c r="H36" s="68">
        <f>IF('Income Statement'!H54&gt;0,H22+H35,H22)</f>
        <v>115.53543126000001</v>
      </c>
      <c r="I36" s="2"/>
      <c r="J36" s="2"/>
    </row>
    <row r="37" ht="12.75">
      <c r="A37" s="2"/>
      <c r="B37" s="49" t="s">
        <v>271</v>
      </c>
      <c r="C37" s="40" t="s">
        <v>69</v>
      </c>
      <c r="D37" s="40" t="s">
        <v>69</v>
      </c>
      <c r="E37" s="40" t="s">
        <v>69</v>
      </c>
      <c r="F37" s="40" t="s">
        <v>69</v>
      </c>
      <c r="G37" s="40" t="s">
        <v>69</v>
      </c>
      <c r="H37" s="41">
        <f>H36-C36</f>
        <v>31.376095260000014</v>
      </c>
      <c r="I37" s="2"/>
      <c r="J37" s="2"/>
    </row>
    <row r="38" ht="12.75">
      <c r="A38" s="2"/>
      <c r="B38" s="49" t="s">
        <v>272</v>
      </c>
      <c r="C38" s="40" t="s">
        <v>69</v>
      </c>
      <c r="D38" s="40">
        <f>D36-C36</f>
        <v>10.929704758241755</v>
      </c>
      <c r="E38" s="40" t="s">
        <v>69</v>
      </c>
      <c r="F38" s="40">
        <f>F36-D36</f>
        <v>14.982627241758252</v>
      </c>
      <c r="G38" s="40">
        <f>G36-F36</f>
        <v>1.0127549999999985</v>
      </c>
      <c r="H38" s="41">
        <f>H36-G36</f>
        <v>4.451008260000009</v>
      </c>
      <c r="I38" s="2"/>
      <c r="J38" s="2"/>
    </row>
    <row r="39" ht="25.5">
      <c r="A39" s="2"/>
      <c r="B39" s="30" t="s">
        <v>284</v>
      </c>
      <c r="C39" s="39"/>
      <c r="D39" s="39"/>
      <c r="E39" s="39"/>
      <c r="F39" s="39"/>
      <c r="G39" s="39"/>
      <c r="H39" s="63">
        <f>H36</f>
        <v>115.53543126000001</v>
      </c>
      <c r="I39" s="2"/>
      <c r="J39" s="2"/>
    </row>
    <row r="40" ht="12.75">
      <c r="A40" s="2"/>
      <c r="B40" s="65" t="s">
        <v>285</v>
      </c>
      <c r="C40" s="43">
        <f>C36/C22-1</f>
        <v>0</v>
      </c>
      <c r="D40" s="43">
        <f>D36/D22-1</f>
        <v>0</v>
      </c>
      <c r="E40" s="43">
        <f>E36/E22-1</f>
        <v>0</v>
      </c>
      <c r="F40" s="43">
        <f>F36/F22-1</f>
        <v>0</v>
      </c>
      <c r="G40" s="43">
        <f>G36/G22-1</f>
        <v>0</v>
      </c>
      <c r="H40" s="64">
        <f>H36/H22-1</f>
        <v>0.03684853838420765</v>
      </c>
      <c r="I40" s="2"/>
      <c r="J40" s="2"/>
    </row>
    <row r="41" ht="12.75">
      <c r="A41" s="2"/>
      <c r="B41" s="49" t="s">
        <v>286</v>
      </c>
      <c r="C41" s="38" t="s">
        <v>69</v>
      </c>
      <c r="D41" s="38">
        <f>(D40-C40)*10000</f>
        <v>0</v>
      </c>
      <c r="E41" s="38" t="s">
        <v>69</v>
      </c>
      <c r="F41" s="38">
        <f>(F40-D40)*10000</f>
        <v>0</v>
      </c>
      <c r="G41" s="38">
        <f>(G40-F40)*10000</f>
        <v>0</v>
      </c>
      <c r="H41" s="56">
        <f>(H40-G40)*10000</f>
        <v>368.48538384207654</v>
      </c>
      <c r="I41" s="2"/>
      <c r="J41" s="2"/>
    </row>
    <row r="42" ht="12.75">
      <c r="A42" s="2"/>
      <c r="B42" s="2"/>
      <c r="C42" s="2"/>
      <c r="D42" s="2"/>
      <c r="E42" s="2"/>
      <c r="F42" s="2"/>
      <c r="G42" s="2"/>
      <c r="H42" s="35"/>
      <c r="I42" s="2"/>
      <c r="J42" s="2"/>
    </row>
    <row r="43" ht="12.75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287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3</v>
      </c>
      <c r="C6" s="27" t="s">
        <v>4</v>
      </c>
      <c r="D6" s="2"/>
      <c r="E6" s="2"/>
      <c r="F6" s="2"/>
      <c r="G6" s="2"/>
      <c r="H6" s="2"/>
      <c r="I6" s="2"/>
      <c r="J6" s="2"/>
    </row>
    <row r="7" ht="12.75">
      <c r="A7" s="2"/>
      <c r="B7" s="6" t="s">
        <v>5</v>
      </c>
      <c r="C7" s="22">
        <v>46265</v>
      </c>
      <c r="D7" s="2"/>
      <c r="E7" s="2"/>
      <c r="F7" s="2"/>
      <c r="G7" s="2"/>
      <c r="H7" s="2"/>
      <c r="I7" s="2"/>
      <c r="J7" s="2"/>
    </row>
    <row r="8" ht="12.75">
      <c r="A8" s="2"/>
      <c r="B8" s="4" t="s">
        <v>6</v>
      </c>
      <c r="C8" s="33">
        <v>92</v>
      </c>
      <c r="D8" s="2"/>
      <c r="E8" s="2"/>
      <c r="F8" s="2"/>
      <c r="G8" s="2"/>
      <c r="H8" s="2"/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4.25">
      <c r="A10" s="2"/>
      <c r="B10" s="26" t="s">
        <v>288</v>
      </c>
      <c r="C10" s="15" t="s">
        <v>289</v>
      </c>
      <c r="D10" s="15" t="s">
        <v>60</v>
      </c>
      <c r="E10" s="15" t="s">
        <v>290</v>
      </c>
      <c r="F10" s="15" t="s">
        <v>291</v>
      </c>
      <c r="G10" s="15" t="s">
        <v>292</v>
      </c>
      <c r="H10" s="15" t="s">
        <v>293</v>
      </c>
      <c r="I10" s="2"/>
      <c r="J10" s="87" t="s">
        <v>294</v>
      </c>
    </row>
    <row r="11" ht="25.5">
      <c r="A11" s="2"/>
      <c r="B11" s="7" t="s">
        <v>295</v>
      </c>
      <c r="C11" s="8">
        <v>46212</v>
      </c>
      <c r="D11" s="3" t="s">
        <v>296</v>
      </c>
      <c r="E11" s="5">
        <v>700</v>
      </c>
      <c r="F11" s="5">
        <v>700</v>
      </c>
      <c r="G11" s="3">
        <f>AVERAGE(E11,F11)</f>
        <v>700</v>
      </c>
      <c r="H11" s="3" t="s">
        <v>69</v>
      </c>
      <c r="I11" s="2"/>
      <c r="J11" s="91" t="s">
        <v>297</v>
      </c>
    </row>
    <row r="12" ht="36.75">
      <c r="A12" s="2"/>
      <c r="B12" s="7" t="s">
        <v>298</v>
      </c>
      <c r="C12" s="8">
        <v>46212</v>
      </c>
      <c r="D12" s="3" t="s">
        <v>299</v>
      </c>
      <c r="E12" s="5">
        <v>1140</v>
      </c>
      <c r="F12" s="5">
        <v>1140</v>
      </c>
      <c r="G12" s="3">
        <f>AVERAGE(E12,F12)</f>
        <v>1140</v>
      </c>
      <c r="H12" s="19">
        <f>'Balance Sheet'!G41+'Revenue summary'!H100</f>
        <v>1143.529</v>
      </c>
      <c r="I12" s="2"/>
      <c r="J12" s="91" t="str">
        <f>IF(H12&gt;=G12,"Model PF recompute, not a reported actual: at/above guidance","Model PF recompute, not a reported actual: below guidance")</f>
        <v>Model PF recompute, not a reported actual: at/above guidance</v>
      </c>
    </row>
    <row r="13" ht="25.5">
      <c r="A13" s="2"/>
      <c r="B13" s="7" t="s">
        <v>300</v>
      </c>
      <c r="C13" s="8">
        <v>46212</v>
      </c>
      <c r="D13" s="1" t="s">
        <v>296</v>
      </c>
      <c r="E13" s="1" t="s">
        <v>69</v>
      </c>
      <c r="F13" s="1" t="s">
        <v>69</v>
      </c>
      <c r="G13" s="1" t="s">
        <v>69</v>
      </c>
      <c r="H13" s="8">
        <v>46224</v>
      </c>
      <c r="I13" s="2"/>
      <c r="J13" s="94" t="s">
        <v>301</v>
      </c>
    </row>
    <row r="14" ht="12.75">
      <c r="A14" s="2"/>
      <c r="B14" s="9" t="s">
        <v>302</v>
      </c>
      <c r="C14" s="3" t="s">
        <v>303</v>
      </c>
      <c r="D14" s="3" t="s">
        <v>296</v>
      </c>
      <c r="E14" s="3" t="s">
        <v>69</v>
      </c>
      <c r="F14" s="3" t="s">
        <v>69</v>
      </c>
      <c r="G14" s="3" t="s">
        <v>69</v>
      </c>
      <c r="H14" s="3" t="s">
        <v>69</v>
      </c>
      <c r="I14" s="2"/>
      <c r="J14" s="91" t="s">
        <v>304</v>
      </c>
    </row>
    <row r="15" ht="12.75">
      <c r="A15" s="2"/>
      <c r="B15" s="9" t="s">
        <v>305</v>
      </c>
      <c r="C15" s="3" t="s">
        <v>303</v>
      </c>
      <c r="D15" s="3" t="s">
        <v>296</v>
      </c>
      <c r="E15" s="3" t="s">
        <v>69</v>
      </c>
      <c r="F15" s="3" t="s">
        <v>69</v>
      </c>
      <c r="G15" s="3" t="s">
        <v>69</v>
      </c>
      <c r="H15" s="3" t="s">
        <v>69</v>
      </c>
      <c r="I15" s="2"/>
      <c r="J15" s="91" t="s">
        <v>304</v>
      </c>
    </row>
    <row r="16" ht="12.75">
      <c r="A16" s="2"/>
      <c r="B16" s="9" t="s">
        <v>306</v>
      </c>
      <c r="C16" s="14" t="s">
        <v>303</v>
      </c>
      <c r="D16" s="14" t="s">
        <v>296</v>
      </c>
      <c r="E16" s="24" t="str">
        <f>IF(ISNUMBER(Inputs!C57),Inputs!C57,"n.a.")</f>
        <v>n.a.</v>
      </c>
      <c r="F16" s="14" t="s">
        <v>69</v>
      </c>
      <c r="G16" s="14" t="s">
        <v>69</v>
      </c>
      <c r="H16" s="14" t="s">
        <v>69</v>
      </c>
      <c r="I16" s="2"/>
      <c r="J16" s="97" t="s">
        <v>304</v>
      </c>
    </row>
    <row r="17" ht="36.75">
      <c r="A17" s="2"/>
      <c r="B17" s="7" t="s">
        <v>307</v>
      </c>
      <c r="C17" s="8">
        <v>46238</v>
      </c>
      <c r="D17" s="3" t="s">
        <v>296</v>
      </c>
      <c r="E17" s="5">
        <v>10</v>
      </c>
      <c r="F17" s="5">
        <v>10</v>
      </c>
      <c r="G17" s="3">
        <f>AVERAGE(E17,F17)</f>
        <v>10</v>
      </c>
      <c r="H17" s="3" t="s">
        <v>69</v>
      </c>
      <c r="I17" s="2"/>
      <c r="J17" s="91" t="s">
        <v>308</v>
      </c>
    </row>
    <row r="18" ht="12.7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ht="12.75">
      <c r="A19" s="2"/>
      <c r="B19" s="2"/>
      <c r="C19" s="2"/>
      <c r="D19" s="2"/>
      <c r="E19" s="2"/>
      <c r="F19" s="2"/>
      <c r="G19" s="2"/>
      <c r="H19" s="2"/>
      <c r="I19" s="2"/>
      <c r="J19" s="2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7" width="12" customWidth="1"/>
    <col min="8" max="8" width="50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309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3</v>
      </c>
      <c r="C6" s="27" t="s">
        <v>4</v>
      </c>
      <c r="D6" s="2"/>
      <c r="E6" s="2"/>
      <c r="F6" s="2"/>
      <c r="G6" s="2"/>
      <c r="H6" s="2"/>
      <c r="I6" s="2"/>
      <c r="J6" s="2"/>
    </row>
    <row r="7" ht="12.75">
      <c r="A7" s="2"/>
      <c r="B7" s="6" t="s">
        <v>5</v>
      </c>
      <c r="C7" s="22">
        <v>46265</v>
      </c>
      <c r="D7" s="2"/>
      <c r="E7" s="2"/>
      <c r="F7" s="2"/>
      <c r="G7" s="2"/>
      <c r="H7" s="2"/>
      <c r="I7" s="2"/>
      <c r="J7" s="2"/>
    </row>
    <row r="8" ht="12.75">
      <c r="A8" s="2"/>
      <c r="B8" s="4" t="s">
        <v>6</v>
      </c>
      <c r="C8" s="33">
        <v>92</v>
      </c>
      <c r="D8" s="2"/>
      <c r="E8" s="2"/>
      <c r="F8" s="2"/>
      <c r="G8" s="2"/>
      <c r="H8" s="2"/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25.5">
      <c r="A10" s="2"/>
      <c r="B10" s="26" t="s">
        <v>310</v>
      </c>
      <c r="C10" s="87" t="s">
        <v>311</v>
      </c>
      <c r="D10" s="87" t="s">
        <v>312</v>
      </c>
      <c r="E10" s="87" t="s">
        <v>313</v>
      </c>
      <c r="F10" s="87" t="s">
        <v>314</v>
      </c>
      <c r="G10" s="87" t="s">
        <v>315</v>
      </c>
      <c r="H10" s="87" t="s">
        <v>316</v>
      </c>
      <c r="I10" s="2"/>
      <c r="J10" s="2"/>
    </row>
    <row r="11" ht="48">
      <c r="A11" s="2"/>
      <c r="B11" s="17" t="s">
        <v>317</v>
      </c>
      <c r="C11" s="16" t="s">
        <v>318</v>
      </c>
      <c r="D11" s="21" t="s">
        <v>319</v>
      </c>
      <c r="E11" s="18" t="s">
        <v>319</v>
      </c>
      <c r="F11" s="18" t="s">
        <v>320</v>
      </c>
      <c r="G11" s="18" t="s">
        <v>321</v>
      </c>
      <c r="H11" s="92" t="s">
        <v>322</v>
      </c>
      <c r="I11" s="2"/>
      <c r="J11" s="2"/>
    </row>
    <row r="12" ht="36.75">
      <c r="A12" s="2"/>
      <c r="B12" s="17" t="s">
        <v>323</v>
      </c>
      <c r="C12" s="16" t="s">
        <v>324</v>
      </c>
      <c r="D12" s="21" t="s">
        <v>319</v>
      </c>
      <c r="E12" s="18" t="s">
        <v>319</v>
      </c>
      <c r="F12" s="18" t="s">
        <v>320</v>
      </c>
      <c r="G12" s="18" t="s">
        <v>325</v>
      </c>
      <c r="H12" s="92" t="s">
        <v>326</v>
      </c>
      <c r="I12" s="2"/>
      <c r="J12" s="2"/>
    </row>
    <row r="13" ht="36.75">
      <c r="A13" s="2"/>
      <c r="B13" s="17" t="s">
        <v>327</v>
      </c>
      <c r="C13" s="16" t="s">
        <v>328</v>
      </c>
      <c r="D13" s="21" t="s">
        <v>329</v>
      </c>
      <c r="E13" s="18" t="s">
        <v>330</v>
      </c>
      <c r="F13" s="18" t="s">
        <v>331</v>
      </c>
      <c r="G13" s="18" t="s">
        <v>332</v>
      </c>
      <c r="H13" s="92" t="s">
        <v>333</v>
      </c>
      <c r="I13" s="2"/>
      <c r="J13" s="2"/>
    </row>
    <row r="14" ht="36.75">
      <c r="A14" s="2"/>
      <c r="B14" s="17" t="s">
        <v>334</v>
      </c>
      <c r="C14" s="16" t="s">
        <v>335</v>
      </c>
      <c r="D14" s="21" t="s">
        <v>336</v>
      </c>
      <c r="E14" s="18" t="s">
        <v>330</v>
      </c>
      <c r="F14" s="18" t="s">
        <v>331</v>
      </c>
      <c r="G14" s="18" t="s">
        <v>337</v>
      </c>
      <c r="H14" s="92" t="s">
        <v>338</v>
      </c>
      <c r="I14" s="2"/>
      <c r="J14" s="2"/>
    </row>
    <row r="15" ht="70.5">
      <c r="A15" s="2"/>
      <c r="B15" s="17" t="s">
        <v>339</v>
      </c>
      <c r="C15" s="16" t="s">
        <v>340</v>
      </c>
      <c r="D15" s="21" t="s">
        <v>341</v>
      </c>
      <c r="E15" s="18" t="s">
        <v>330</v>
      </c>
      <c r="F15" s="18" t="s">
        <v>331</v>
      </c>
      <c r="G15" s="18" t="s">
        <v>342</v>
      </c>
      <c r="H15" s="92" t="s">
        <v>343</v>
      </c>
      <c r="I15" s="2"/>
      <c r="J15" s="2"/>
    </row>
    <row r="16" ht="48">
      <c r="A16" s="2"/>
      <c r="B16" s="17" t="s">
        <v>344</v>
      </c>
      <c r="C16" s="16" t="s">
        <v>345</v>
      </c>
      <c r="D16" s="21" t="s">
        <v>346</v>
      </c>
      <c r="E16" s="18" t="s">
        <v>330</v>
      </c>
      <c r="F16" s="18" t="s">
        <v>331</v>
      </c>
      <c r="G16" s="18" t="s">
        <v>347</v>
      </c>
      <c r="H16" s="92" t="s">
        <v>348</v>
      </c>
      <c r="I16" s="2"/>
      <c r="J16" s="2"/>
    </row>
    <row r="17" ht="48">
      <c r="A17" s="2"/>
      <c r="B17" s="17" t="s">
        <v>349</v>
      </c>
      <c r="C17" s="16" t="s">
        <v>350</v>
      </c>
      <c r="D17" s="21" t="s">
        <v>351</v>
      </c>
      <c r="E17" s="18" t="s">
        <v>330</v>
      </c>
      <c r="F17" s="18" t="s">
        <v>331</v>
      </c>
      <c r="G17" s="18" t="s">
        <v>352</v>
      </c>
      <c r="H17" s="92" t="s">
        <v>353</v>
      </c>
      <c r="I17" s="2"/>
      <c r="J17" s="2"/>
    </row>
    <row r="18" ht="36.75">
      <c r="A18" s="2"/>
      <c r="B18" s="17" t="s">
        <v>354</v>
      </c>
      <c r="C18" s="16" t="s">
        <v>355</v>
      </c>
      <c r="D18" s="21" t="s">
        <v>356</v>
      </c>
      <c r="E18" s="18" t="s">
        <v>330</v>
      </c>
      <c r="F18" s="18" t="s">
        <v>357</v>
      </c>
      <c r="G18" s="18" t="s">
        <v>358</v>
      </c>
      <c r="H18" s="92" t="s">
        <v>359</v>
      </c>
      <c r="I18" s="2"/>
      <c r="J18" s="2"/>
    </row>
    <row r="19" ht="36.75">
      <c r="A19" s="2"/>
      <c r="B19" s="17" t="s">
        <v>360</v>
      </c>
      <c r="C19" s="16" t="s">
        <v>361</v>
      </c>
      <c r="D19" s="21" t="s">
        <v>329</v>
      </c>
      <c r="E19" s="18" t="s">
        <v>330</v>
      </c>
      <c r="F19" s="18" t="s">
        <v>331</v>
      </c>
      <c r="G19" s="18" t="s">
        <v>362</v>
      </c>
      <c r="H19" s="92" t="s">
        <v>363</v>
      </c>
      <c r="I19" s="2"/>
      <c r="J19" s="2"/>
    </row>
    <row r="20" ht="59.25">
      <c r="A20" s="2"/>
      <c r="B20" s="17" t="s">
        <v>364</v>
      </c>
      <c r="C20" s="16" t="s">
        <v>365</v>
      </c>
      <c r="D20" s="21" t="s">
        <v>366</v>
      </c>
      <c r="E20" s="18" t="s">
        <v>330</v>
      </c>
      <c r="F20" s="18" t="s">
        <v>357</v>
      </c>
      <c r="G20" s="18" t="s">
        <v>367</v>
      </c>
      <c r="H20" s="92" t="s">
        <v>368</v>
      </c>
      <c r="I20" s="2"/>
      <c r="J20" s="2"/>
    </row>
    <row r="21" ht="48">
      <c r="A21" s="2"/>
      <c r="B21" s="17" t="s">
        <v>369</v>
      </c>
      <c r="C21" s="16" t="s">
        <v>370</v>
      </c>
      <c r="D21" s="21" t="s">
        <v>371</v>
      </c>
      <c r="E21" s="18" t="s">
        <v>330</v>
      </c>
      <c r="F21" s="18" t="s">
        <v>357</v>
      </c>
      <c r="G21" s="18" t="s">
        <v>372</v>
      </c>
      <c r="H21" s="92" t="s">
        <v>373</v>
      </c>
      <c r="I21" s="2"/>
      <c r="J21" s="2"/>
    </row>
    <row r="22" ht="48">
      <c r="A22" s="2"/>
      <c r="B22" s="17" t="s">
        <v>374</v>
      </c>
      <c r="C22" s="16" t="s">
        <v>375</v>
      </c>
      <c r="D22" s="21" t="s">
        <v>376</v>
      </c>
      <c r="E22" s="18" t="s">
        <v>330</v>
      </c>
      <c r="F22" s="18" t="s">
        <v>377</v>
      </c>
      <c r="G22" s="18" t="s">
        <v>378</v>
      </c>
      <c r="H22" s="92" t="s">
        <v>379</v>
      </c>
      <c r="I22" s="2"/>
      <c r="J22" s="2"/>
    </row>
    <row r="23" ht="36.75">
      <c r="A23" s="2"/>
      <c r="B23" s="17" t="s">
        <v>380</v>
      </c>
      <c r="C23" s="16" t="s">
        <v>381</v>
      </c>
      <c r="D23" s="21" t="s">
        <v>382</v>
      </c>
      <c r="E23" s="18" t="s">
        <v>330</v>
      </c>
      <c r="F23" s="18" t="s">
        <v>383</v>
      </c>
      <c r="G23" s="18" t="s">
        <v>384</v>
      </c>
      <c r="H23" s="92" t="s">
        <v>385</v>
      </c>
      <c r="I23" s="2"/>
      <c r="J23" s="2"/>
    </row>
    <row r="24" ht="36.75">
      <c r="A24" s="2"/>
      <c r="B24" s="17" t="s">
        <v>386</v>
      </c>
      <c r="C24" s="16" t="s">
        <v>387</v>
      </c>
      <c r="D24" s="21" t="s">
        <v>388</v>
      </c>
      <c r="E24" s="18" t="s">
        <v>330</v>
      </c>
      <c r="F24" s="18" t="s">
        <v>383</v>
      </c>
      <c r="G24" s="18" t="s">
        <v>389</v>
      </c>
      <c r="H24" s="92" t="s">
        <v>390</v>
      </c>
      <c r="I24" s="2"/>
      <c r="J24" s="2"/>
    </row>
    <row r="25" ht="36.75">
      <c r="A25" s="2"/>
      <c r="B25" s="17" t="s">
        <v>391</v>
      </c>
      <c r="C25" s="16" t="s">
        <v>392</v>
      </c>
      <c r="D25" s="21" t="s">
        <v>319</v>
      </c>
      <c r="E25" s="18" t="s">
        <v>330</v>
      </c>
      <c r="F25" s="18" t="s">
        <v>393</v>
      </c>
      <c r="G25" s="18" t="s">
        <v>394</v>
      </c>
      <c r="H25" s="92" t="s">
        <v>395</v>
      </c>
      <c r="I25" s="2"/>
      <c r="J25" s="2"/>
    </row>
    <row r="26" ht="36.75">
      <c r="A26" s="2"/>
      <c r="B26" s="17" t="s">
        <v>396</v>
      </c>
      <c r="C26" s="16" t="s">
        <v>397</v>
      </c>
      <c r="D26" s="21" t="s">
        <v>398</v>
      </c>
      <c r="E26" s="18" t="s">
        <v>330</v>
      </c>
      <c r="F26" s="18" t="s">
        <v>399</v>
      </c>
      <c r="G26" s="18" t="s">
        <v>400</v>
      </c>
      <c r="H26" s="92" t="s">
        <v>401</v>
      </c>
      <c r="I26" s="2"/>
      <c r="J26" s="2"/>
    </row>
    <row r="27" ht="36.75">
      <c r="A27" s="2"/>
      <c r="B27" s="17" t="s">
        <v>402</v>
      </c>
      <c r="C27" s="16" t="s">
        <v>403</v>
      </c>
      <c r="D27" s="21" t="s">
        <v>404</v>
      </c>
      <c r="E27" s="18" t="s">
        <v>330</v>
      </c>
      <c r="F27" s="18" t="s">
        <v>405</v>
      </c>
      <c r="G27" s="18" t="s">
        <v>406</v>
      </c>
      <c r="H27" s="92" t="s">
        <v>407</v>
      </c>
      <c r="I27" s="2"/>
      <c r="J27" s="2"/>
    </row>
    <row r="28" ht="59.25">
      <c r="A28" s="2"/>
      <c r="B28" s="17" t="s">
        <v>408</v>
      </c>
      <c r="C28" s="16" t="s">
        <v>409</v>
      </c>
      <c r="D28" s="21" t="s">
        <v>410</v>
      </c>
      <c r="E28" s="18" t="s">
        <v>330</v>
      </c>
      <c r="F28" s="18" t="s">
        <v>411</v>
      </c>
      <c r="G28" s="18" t="s">
        <v>412</v>
      </c>
      <c r="H28" s="92" t="s">
        <v>413</v>
      </c>
      <c r="I28" s="2"/>
      <c r="J28" s="2"/>
    </row>
    <row r="29" ht="59.25">
      <c r="A29" s="2"/>
      <c r="B29" s="17" t="s">
        <v>414</v>
      </c>
      <c r="C29" s="16" t="s">
        <v>415</v>
      </c>
      <c r="D29" s="21" t="s">
        <v>416</v>
      </c>
      <c r="E29" s="18" t="s">
        <v>330</v>
      </c>
      <c r="F29" s="18" t="s">
        <v>417</v>
      </c>
      <c r="G29" s="18" t="s">
        <v>418</v>
      </c>
      <c r="H29" s="92" t="s">
        <v>419</v>
      </c>
      <c r="I29" s="2"/>
      <c r="J29" s="2"/>
    </row>
    <row r="30" ht="36.75">
      <c r="A30" s="2"/>
      <c r="B30" s="17" t="s">
        <v>420</v>
      </c>
      <c r="C30" s="16" t="s">
        <v>421</v>
      </c>
      <c r="D30" s="21" t="s">
        <v>422</v>
      </c>
      <c r="E30" s="18" t="s">
        <v>330</v>
      </c>
      <c r="F30" s="18" t="s">
        <v>423</v>
      </c>
      <c r="G30" s="18" t="s">
        <v>424</v>
      </c>
      <c r="H30" s="92" t="s">
        <v>425</v>
      </c>
      <c r="I30" s="2"/>
      <c r="J30" s="2"/>
    </row>
    <row r="31" ht="36.75">
      <c r="A31" s="2"/>
      <c r="B31" s="17" t="s">
        <v>426</v>
      </c>
      <c r="C31" s="16" t="s">
        <v>427</v>
      </c>
      <c r="D31" s="21" t="s">
        <v>428</v>
      </c>
      <c r="E31" s="18" t="s">
        <v>330</v>
      </c>
      <c r="F31" s="18" t="s">
        <v>429</v>
      </c>
      <c r="G31" s="18" t="s">
        <v>418</v>
      </c>
      <c r="H31" s="92" t="s">
        <v>430</v>
      </c>
      <c r="I31" s="2"/>
      <c r="J31" s="2"/>
    </row>
    <row r="32" ht="36.75">
      <c r="A32" s="2"/>
      <c r="B32" s="17" t="s">
        <v>431</v>
      </c>
      <c r="C32" s="16" t="s">
        <v>432</v>
      </c>
      <c r="D32" s="21" t="s">
        <v>422</v>
      </c>
      <c r="E32" s="18" t="s">
        <v>330</v>
      </c>
      <c r="F32" s="18" t="s">
        <v>433</v>
      </c>
      <c r="G32" s="18" t="s">
        <v>424</v>
      </c>
      <c r="H32" s="92" t="s">
        <v>434</v>
      </c>
      <c r="I32" s="2"/>
      <c r="J32" s="2"/>
    </row>
    <row r="33" ht="48">
      <c r="A33" s="2"/>
      <c r="B33" s="17" t="s">
        <v>435</v>
      </c>
      <c r="C33" s="16" t="s">
        <v>436</v>
      </c>
      <c r="D33" s="21" t="s">
        <v>437</v>
      </c>
      <c r="E33" s="18" t="s">
        <v>330</v>
      </c>
      <c r="F33" s="18" t="s">
        <v>438</v>
      </c>
      <c r="G33" s="18" t="s">
        <v>439</v>
      </c>
      <c r="H33" s="92" t="s">
        <v>440</v>
      </c>
      <c r="I33" s="2"/>
      <c r="J33" s="2"/>
    </row>
    <row r="34" ht="25.5">
      <c r="A34" s="2"/>
      <c r="B34" s="17" t="s">
        <v>441</v>
      </c>
      <c r="C34" s="16" t="s">
        <v>442</v>
      </c>
      <c r="D34" s="21" t="s">
        <v>351</v>
      </c>
      <c r="E34" s="18" t="s">
        <v>330</v>
      </c>
      <c r="F34" s="18" t="s">
        <v>443</v>
      </c>
      <c r="G34" s="18" t="s">
        <v>444</v>
      </c>
      <c r="H34" s="92" t="s">
        <v>445</v>
      </c>
      <c r="I34" s="2"/>
      <c r="J34" s="2"/>
    </row>
    <row r="35" ht="12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81.75">
      <c r="A36" s="2"/>
      <c r="B36" s="93" t="s">
        <v>446</v>
      </c>
      <c r="C36" s="2"/>
      <c r="D36" s="2"/>
      <c r="E36" s="2"/>
      <c r="F36" s="2"/>
      <c r="G36" s="2"/>
      <c r="H36" s="2"/>
      <c r="I36" s="2"/>
      <c r="J36" s="2"/>
    </row>
    <row r="37" ht="138">
      <c r="A37" s="2"/>
      <c r="B37" s="93" t="s">
        <v>447</v>
      </c>
      <c r="C37" s="2"/>
      <c r="D37" s="2"/>
      <c r="E37" s="2"/>
      <c r="F37" s="2"/>
      <c r="G37" s="2"/>
      <c r="H37" s="2"/>
      <c r="I37" s="2"/>
      <c r="J37" s="2"/>
    </row>
    <row r="38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2.7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19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12.75">
      <c r="A2" s="2"/>
      <c r="B2" s="23" t="s">
        <v>0</v>
      </c>
      <c r="C2" s="2"/>
      <c r="D2" s="2"/>
      <c r="E2" s="2"/>
      <c r="F2" s="2"/>
      <c r="G2" s="2"/>
      <c r="H2" s="2"/>
      <c r="I2" s="2"/>
      <c r="J2" s="2"/>
    </row>
    <row r="3" ht="12.75">
      <c r="A3" s="2"/>
      <c r="B3" s="20" t="s">
        <v>448</v>
      </c>
      <c r="C3" s="2"/>
      <c r="D3" s="2"/>
      <c r="E3" s="2"/>
      <c r="F3" s="2"/>
      <c r="G3" s="2"/>
      <c r="H3" s="2"/>
      <c r="I3" s="2"/>
      <c r="J3" s="2"/>
    </row>
    <row r="4" ht="12.75">
      <c r="A4" s="2"/>
      <c r="B4" s="13" t="s">
        <v>2</v>
      </c>
      <c r="C4" s="2"/>
      <c r="D4" s="2"/>
      <c r="E4" s="2"/>
      <c r="F4" s="2"/>
      <c r="G4" s="2"/>
      <c r="H4" s="2"/>
      <c r="I4" s="2"/>
      <c r="J4" s="2"/>
    </row>
    <row r="5" ht="12.75">
      <c r="A5" s="2"/>
      <c r="B5" s="2"/>
      <c r="C5" s="2"/>
      <c r="D5" s="2"/>
      <c r="E5" s="2"/>
      <c r="F5" s="2"/>
      <c r="G5" s="2"/>
      <c r="H5" s="2"/>
      <c r="I5" s="2"/>
      <c r="J5" s="2"/>
    </row>
    <row r="6" ht="12.75">
      <c r="A6" s="2"/>
      <c r="B6" s="10" t="s">
        <v>3</v>
      </c>
      <c r="C6" s="27" t="s">
        <v>4</v>
      </c>
      <c r="D6" s="2"/>
      <c r="E6" s="2"/>
      <c r="F6" s="2"/>
      <c r="G6" s="2"/>
      <c r="H6" s="2"/>
      <c r="I6" s="2"/>
      <c r="J6" s="2"/>
    </row>
    <row r="7" ht="12.75">
      <c r="A7" s="2"/>
      <c r="B7" s="6" t="s">
        <v>5</v>
      </c>
      <c r="C7" s="22">
        <v>46265</v>
      </c>
      <c r="D7" s="2"/>
      <c r="E7" s="2"/>
      <c r="F7" s="2"/>
      <c r="G7" s="2"/>
      <c r="H7" s="2"/>
      <c r="I7" s="2"/>
      <c r="J7" s="2"/>
    </row>
    <row r="8" ht="12.75">
      <c r="A8" s="2"/>
      <c r="B8" s="4" t="s">
        <v>6</v>
      </c>
      <c r="C8" s="33">
        <v>92</v>
      </c>
      <c r="D8" s="2"/>
      <c r="E8" s="2"/>
      <c r="F8" s="2"/>
      <c r="G8" s="2"/>
      <c r="H8" s="2"/>
      <c r="I8" s="2"/>
      <c r="J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</row>
    <row r="10" ht="12.75">
      <c r="A10" s="2"/>
      <c r="B10" s="46" t="s">
        <v>449</v>
      </c>
      <c r="C10" s="2"/>
      <c r="D10" s="2"/>
      <c r="E10" s="2"/>
      <c r="F10" s="2"/>
      <c r="G10" s="2"/>
      <c r="H10" s="2"/>
      <c r="I10" s="2"/>
      <c r="J10" s="2"/>
    </row>
    <row r="11" ht="12.75">
      <c r="A11" s="2"/>
      <c r="B11" s="79" t="s">
        <v>450</v>
      </c>
      <c r="C11" s="83">
        <v>1</v>
      </c>
      <c r="D11" s="83">
        <v>2</v>
      </c>
      <c r="E11" s="83">
        <v>3</v>
      </c>
      <c r="F11" s="83">
        <v>4</v>
      </c>
      <c r="G11" s="83">
        <v>5</v>
      </c>
      <c r="H11" s="83">
        <v>6</v>
      </c>
      <c r="I11" s="2"/>
      <c r="J11" s="2"/>
    </row>
    <row r="12" ht="12.75">
      <c r="A12" s="2"/>
      <c r="B12" s="79" t="s">
        <v>451</v>
      </c>
      <c r="C12" s="88" t="s">
        <v>452</v>
      </c>
      <c r="D12" s="88" t="s">
        <v>453</v>
      </c>
      <c r="E12" s="88" t="s">
        <v>454</v>
      </c>
      <c r="F12" s="88" t="s">
        <v>455</v>
      </c>
      <c r="G12" s="88" t="s">
        <v>456</v>
      </c>
      <c r="H12" s="88" t="s">
        <v>457</v>
      </c>
      <c r="I12" s="2"/>
      <c r="J12" s="2"/>
    </row>
    <row r="13" ht="12.75">
      <c r="A13" s="2"/>
      <c r="B13" s="79" t="s">
        <v>458</v>
      </c>
      <c r="C13" s="88" t="s">
        <v>459</v>
      </c>
      <c r="D13" s="88" t="s">
        <v>460</v>
      </c>
      <c r="E13" s="88" t="s">
        <v>346</v>
      </c>
      <c r="F13" s="88" t="s">
        <v>341</v>
      </c>
      <c r="G13" s="88" t="s">
        <v>336</v>
      </c>
      <c r="H13" s="88" t="s">
        <v>329</v>
      </c>
      <c r="I13" s="2"/>
      <c r="J13" s="2"/>
    </row>
    <row r="14" ht="12.75">
      <c r="A14" s="2"/>
      <c r="B14" s="79" t="s">
        <v>461</v>
      </c>
      <c r="C14" s="74">
        <v>-0.76</v>
      </c>
      <c r="D14" s="74">
        <v>-0.74</v>
      </c>
      <c r="E14" s="74">
        <v>-0.85</v>
      </c>
      <c r="F14" s="74">
        <v>-0.92</v>
      </c>
      <c r="G14" s="74">
        <v>-0.76</v>
      </c>
      <c r="H14" s="74">
        <v>-0.72</v>
      </c>
      <c r="I14" s="2"/>
      <c r="J14" s="2"/>
    </row>
    <row r="15" ht="12.75">
      <c r="A15" s="2"/>
      <c r="B15" s="79" t="s">
        <v>462</v>
      </c>
      <c r="C15" s="74">
        <v>-0.67</v>
      </c>
      <c r="D15" s="74">
        <v>-0.52</v>
      </c>
      <c r="E15" s="74">
        <v>-1.03</v>
      </c>
      <c r="F15" s="74">
        <v>-0.82</v>
      </c>
      <c r="G15" s="74">
        <v>-0.79</v>
      </c>
      <c r="H15" s="74">
        <v>-0.81</v>
      </c>
      <c r="I15" s="2"/>
      <c r="J15" s="2"/>
    </row>
    <row r="16" ht="12.75">
      <c r="A16" s="2"/>
      <c r="B16" s="79" t="s">
        <v>463</v>
      </c>
      <c r="C16" s="74">
        <v>-0.78</v>
      </c>
      <c r="D16" s="74">
        <v>-0.75</v>
      </c>
      <c r="E16" s="74">
        <v>-0.84</v>
      </c>
      <c r="F16" s="74">
        <v>-0.9</v>
      </c>
      <c r="G16" s="74">
        <v>-0.77</v>
      </c>
      <c r="H16" s="74">
        <v>-0.73</v>
      </c>
      <c r="I16" s="2"/>
      <c r="J16" s="2"/>
    </row>
    <row r="17" ht="12.75">
      <c r="A17" s="2"/>
      <c r="B17" s="79" t="s">
        <v>464</v>
      </c>
      <c r="C17" s="74">
        <v>-0.67</v>
      </c>
      <c r="D17" s="74">
        <v>-0.52</v>
      </c>
      <c r="E17" s="74">
        <v>-1.03</v>
      </c>
      <c r="F17" s="74">
        <v>-0.82</v>
      </c>
      <c r="G17" s="74">
        <v>-0.79</v>
      </c>
      <c r="H17" s="74">
        <v>-0.81</v>
      </c>
      <c r="I17" s="2"/>
      <c r="J17" s="2"/>
    </row>
    <row r="18" ht="12.75">
      <c r="A18" s="2"/>
      <c r="B18" s="79" t="s">
        <v>465</v>
      </c>
      <c r="C18" s="37">
        <v>13.03</v>
      </c>
      <c r="D18" s="37">
        <v>17.51</v>
      </c>
      <c r="E18" s="37">
        <v>16.06</v>
      </c>
      <c r="F18" s="37">
        <v>13.41</v>
      </c>
      <c r="G18" s="37">
        <v>14.24</v>
      </c>
      <c r="H18" s="37">
        <v>14.95</v>
      </c>
      <c r="I18" s="2"/>
      <c r="J18" s="2"/>
    </row>
    <row r="19" ht="12.75">
      <c r="A19" s="2"/>
      <c r="B19" s="79" t="s">
        <v>466</v>
      </c>
      <c r="C19" s="37">
        <v>18.45</v>
      </c>
      <c r="D19" s="37">
        <v>44.06</v>
      </c>
      <c r="E19" s="37">
        <v>7.89</v>
      </c>
      <c r="F19" s="37">
        <v>13.58</v>
      </c>
      <c r="G19" s="37">
        <v>6.25</v>
      </c>
      <c r="H19" s="37">
        <v>9.04</v>
      </c>
      <c r="I19" s="2"/>
      <c r="J19" s="2"/>
    </row>
    <row r="20" ht="36.75">
      <c r="A20" s="2"/>
      <c r="B20" s="57" t="s">
        <v>467</v>
      </c>
      <c r="C20" s="38">
        <f>IF(C15&gt;C14,1,0)</f>
        <v>1</v>
      </c>
      <c r="D20" s="38">
        <f>IF(D15&gt;D14,1,0)</f>
        <v>1</v>
      </c>
      <c r="E20" s="38">
        <f>IF(E15&gt;E14,1,0)</f>
        <v>0</v>
      </c>
      <c r="F20" s="38">
        <f>IF(F15&gt;F14,1,0)</f>
        <v>1</v>
      </c>
      <c r="G20" s="38">
        <f>IF(G15&gt;G14,1,0)</f>
        <v>0</v>
      </c>
      <c r="H20" s="38">
        <f>IF(H15&gt;H14,1,0)</f>
        <v>0</v>
      </c>
      <c r="I20" s="2"/>
      <c r="J20" s="2"/>
    </row>
    <row r="21" ht="25.5">
      <c r="A21" s="2"/>
      <c r="B21" s="57" t="s">
        <v>468</v>
      </c>
      <c r="C21" s="14">
        <f>C15-C14</f>
        <v>0.08999999999999997</v>
      </c>
      <c r="D21" s="14">
        <f>D15-D14</f>
        <v>0.21999999999999997</v>
      </c>
      <c r="E21" s="14">
        <f>E15-E14</f>
        <v>-0.18000000000000005</v>
      </c>
      <c r="F21" s="14">
        <f>F15-F14</f>
        <v>0.10000000000000009</v>
      </c>
      <c r="G21" s="14">
        <f>G15-G14</f>
        <v>-0.030000000000000027</v>
      </c>
      <c r="H21" s="14">
        <f>H15-H14</f>
        <v>-0.09000000000000008</v>
      </c>
      <c r="I21" s="2"/>
      <c r="J21" s="2"/>
    </row>
    <row r="22" ht="12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2.75">
      <c r="A23" s="2"/>
      <c r="B23" s="46" t="s">
        <v>469</v>
      </c>
      <c r="C23" s="2"/>
      <c r="D23" s="2"/>
      <c r="E23" s="2"/>
      <c r="F23" s="2"/>
      <c r="G23" s="2"/>
      <c r="H23" s="2"/>
      <c r="I23" s="2"/>
      <c r="J23" s="2"/>
    </row>
    <row r="24" ht="12.75">
      <c r="A24" s="2"/>
      <c r="B24" s="79" t="s">
        <v>470</v>
      </c>
      <c r="C24" s="82" t="s">
        <v>471</v>
      </c>
      <c r="D24" s="2"/>
      <c r="E24" s="2"/>
      <c r="F24" s="2"/>
      <c r="G24" s="2"/>
      <c r="H24" s="2"/>
      <c r="I24" s="2"/>
      <c r="J24" s="2"/>
    </row>
    <row r="25" ht="12.75">
      <c r="A25" s="2"/>
      <c r="B25" s="79" t="s">
        <v>472</v>
      </c>
      <c r="C25" s="82" t="s">
        <v>12</v>
      </c>
      <c r="D25" s="2"/>
      <c r="E25" s="2"/>
      <c r="F25" s="2"/>
      <c r="G25" s="2"/>
      <c r="H25" s="2"/>
      <c r="I25" s="2"/>
      <c r="J25" s="2"/>
    </row>
    <row r="26" ht="12.75">
      <c r="A26" s="2"/>
      <c r="B26" s="79" t="s">
        <v>473</v>
      </c>
      <c r="C26" s="82" t="s">
        <v>10</v>
      </c>
      <c r="D26" s="2"/>
      <c r="E26" s="2"/>
      <c r="F26" s="2"/>
      <c r="G26" s="2"/>
      <c r="H26" s="2"/>
      <c r="I26" s="2"/>
      <c r="J26" s="2"/>
    </row>
    <row r="27" ht="12.75">
      <c r="A27" s="2"/>
      <c r="B27" s="79" t="s">
        <v>474</v>
      </c>
      <c r="C27" s="82" t="s">
        <v>475</v>
      </c>
      <c r="D27" s="2"/>
      <c r="E27" s="2"/>
      <c r="F27" s="2"/>
      <c r="G27" s="2"/>
      <c r="H27" s="2"/>
      <c r="I27" s="2"/>
      <c r="J27" s="2"/>
    </row>
    <row r="28" ht="12.75">
      <c r="A28" s="2"/>
      <c r="B28" s="79" t="s">
        <v>451</v>
      </c>
      <c r="C28" s="82" t="s">
        <v>476</v>
      </c>
      <c r="D28" s="2"/>
      <c r="E28" s="2"/>
      <c r="F28" s="2"/>
      <c r="G28" s="2"/>
      <c r="H28" s="2"/>
      <c r="I28" s="2"/>
      <c r="J28" s="2"/>
    </row>
    <row r="29" ht="12.75">
      <c r="A29" s="2"/>
      <c r="B29" s="79" t="s">
        <v>477</v>
      </c>
      <c r="C29" s="82" t="s">
        <v>319</v>
      </c>
      <c r="D29" s="2"/>
      <c r="E29" s="2"/>
      <c r="F29" s="2"/>
      <c r="G29" s="2"/>
      <c r="H29" s="2"/>
      <c r="I29" s="2"/>
      <c r="J29" s="2"/>
    </row>
    <row r="30" ht="12.75">
      <c r="A30" s="2"/>
      <c r="B30" s="79" t="s">
        <v>478</v>
      </c>
      <c r="C30" s="83">
        <v>3</v>
      </c>
      <c r="D30" s="2"/>
      <c r="E30" s="2"/>
      <c r="F30" s="2"/>
      <c r="G30" s="2"/>
      <c r="H30" s="2"/>
      <c r="I30" s="2"/>
      <c r="J30" s="2"/>
    </row>
    <row r="31" ht="12.75">
      <c r="A31" s="2"/>
      <c r="B31" s="79" t="s">
        <v>479</v>
      </c>
      <c r="C31" s="74">
        <v>5.11</v>
      </c>
      <c r="D31" s="2"/>
      <c r="E31" s="2"/>
      <c r="F31" s="2"/>
      <c r="G31" s="2"/>
      <c r="H31" s="2"/>
      <c r="I31" s="2"/>
      <c r="J31" s="2"/>
    </row>
    <row r="32" ht="12.75">
      <c r="A32" s="2"/>
      <c r="B32" s="79" t="s">
        <v>480</v>
      </c>
      <c r="C32" s="82" t="s">
        <v>481</v>
      </c>
      <c r="D32" s="2"/>
      <c r="E32" s="2"/>
      <c r="F32" s="2"/>
      <c r="G32" s="2"/>
      <c r="H32" s="2"/>
      <c r="I32" s="2"/>
      <c r="J32" s="2"/>
    </row>
    <row r="33" ht="12.75">
      <c r="A33" s="2"/>
      <c r="B33" s="79" t="s">
        <v>482</v>
      </c>
      <c r="C33" s="37">
        <v>479.52</v>
      </c>
      <c r="D33" s="2"/>
      <c r="E33" s="2"/>
      <c r="F33" s="2"/>
      <c r="G33" s="2"/>
      <c r="H33" s="2"/>
      <c r="I33" s="2"/>
      <c r="J33" s="2"/>
    </row>
    <row r="34" ht="12.75">
      <c r="A34" s="2"/>
      <c r="B34" s="79" t="s">
        <v>483</v>
      </c>
      <c r="C34" s="82" t="s">
        <v>18</v>
      </c>
      <c r="D34" s="2"/>
      <c r="E34" s="2"/>
      <c r="F34" s="2"/>
      <c r="G34" s="2"/>
      <c r="H34" s="2"/>
      <c r="I34" s="2"/>
      <c r="J34" s="2"/>
    </row>
    <row r="35" ht="12.75">
      <c r="A35" s="2"/>
      <c r="B35" s="79" t="s">
        <v>484</v>
      </c>
      <c r="C35" s="82" t="s">
        <v>485</v>
      </c>
      <c r="D35" s="2"/>
      <c r="E35" s="2"/>
      <c r="F35" s="2"/>
      <c r="G35" s="2"/>
      <c r="H35" s="2"/>
      <c r="I35" s="2"/>
      <c r="J35" s="2"/>
    </row>
    <row r="36" ht="12.75">
      <c r="A36" s="2"/>
      <c r="B36" s="79" t="s">
        <v>486</v>
      </c>
      <c r="C36" s="82" t="s">
        <v>487</v>
      </c>
      <c r="D36" s="2"/>
      <c r="E36" s="2"/>
      <c r="F36" s="2"/>
      <c r="G36" s="2"/>
      <c r="H36" s="2"/>
      <c r="I36" s="2"/>
      <c r="J36" s="2"/>
    </row>
    <row r="37" ht="12.75">
      <c r="A37" s="2"/>
      <c r="B37" s="79" t="s">
        <v>488</v>
      </c>
      <c r="C37" s="82" t="s">
        <v>489</v>
      </c>
      <c r="D37" s="2"/>
      <c r="E37" s="2"/>
      <c r="F37" s="2"/>
      <c r="G37" s="2"/>
      <c r="H37" s="2"/>
      <c r="I37" s="2"/>
      <c r="J37" s="2"/>
    </row>
    <row r="38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2.75">
      <c r="A39" s="2"/>
      <c r="B39" s="46" t="s">
        <v>490</v>
      </c>
      <c r="C39" s="2"/>
      <c r="D39" s="2"/>
      <c r="E39" s="2"/>
      <c r="F39" s="2"/>
      <c r="G39" s="2"/>
      <c r="H39" s="2"/>
      <c r="I39" s="2"/>
      <c r="J39" s="2"/>
    </row>
    <row r="40" ht="12.75">
      <c r="A40" s="2"/>
      <c r="B40" s="79" t="s">
        <v>472</v>
      </c>
      <c r="C40" s="82" t="s">
        <v>12</v>
      </c>
      <c r="D40" s="54"/>
      <c r="E40" s="2"/>
      <c r="F40" s="2"/>
      <c r="G40" s="2"/>
      <c r="H40" s="2"/>
      <c r="I40" s="2"/>
      <c r="J40" s="2"/>
    </row>
    <row r="41" ht="12.75">
      <c r="A41" s="2"/>
      <c r="B41" s="79" t="s">
        <v>491</v>
      </c>
      <c r="C41" s="82" t="s">
        <v>10</v>
      </c>
      <c r="D41" s="54"/>
      <c r="E41" s="2"/>
      <c r="F41" s="2"/>
      <c r="G41" s="2"/>
      <c r="H41" s="2"/>
      <c r="I41" s="2"/>
      <c r="J41" s="2"/>
    </row>
    <row r="42" ht="12.75">
      <c r="A42" s="2"/>
      <c r="B42" s="79" t="s">
        <v>492</v>
      </c>
      <c r="C42" s="82" t="s">
        <v>493</v>
      </c>
      <c r="D42" s="54"/>
      <c r="E42" s="2"/>
      <c r="F42" s="2"/>
      <c r="G42" s="2"/>
      <c r="H42" s="2"/>
      <c r="I42" s="2"/>
      <c r="J42" s="2"/>
    </row>
    <row r="43" ht="12.75">
      <c r="A43" s="2"/>
      <c r="B43" s="79" t="s">
        <v>494</v>
      </c>
      <c r="C43" s="82" t="s">
        <v>495</v>
      </c>
      <c r="D43" s="54"/>
      <c r="E43" s="2"/>
      <c r="F43" s="2"/>
      <c r="G43" s="2"/>
      <c r="H43" s="2"/>
      <c r="I43" s="2"/>
      <c r="J43" s="2"/>
    </row>
    <row r="44" ht="12.75">
      <c r="A44" s="2"/>
      <c r="B44" s="79" t="s">
        <v>496</v>
      </c>
      <c r="C44" s="82" t="s">
        <v>497</v>
      </c>
      <c r="D44" s="54"/>
      <c r="E44" s="2"/>
      <c r="F44" s="2"/>
      <c r="G44" s="2"/>
      <c r="H44" s="2"/>
      <c r="I44" s="2"/>
      <c r="J44" s="2"/>
    </row>
    <row r="45" ht="12.75">
      <c r="A45" s="2"/>
      <c r="B45" s="79" t="s">
        <v>498</v>
      </c>
      <c r="C45" s="40"/>
      <c r="D45" s="81" t="s">
        <v>499</v>
      </c>
      <c r="E45" s="2"/>
      <c r="F45" s="2"/>
      <c r="G45" s="2"/>
      <c r="H45" s="2"/>
      <c r="I45" s="2"/>
      <c r="J45" s="2"/>
    </row>
    <row r="46" ht="12.75">
      <c r="A46" s="2"/>
      <c r="B46" s="79" t="s">
        <v>500</v>
      </c>
      <c r="C46" s="82" t="s">
        <v>501</v>
      </c>
      <c r="D46" s="54"/>
      <c r="E46" s="2"/>
      <c r="F46" s="2"/>
      <c r="G46" s="2"/>
      <c r="H46" s="2"/>
      <c r="I46" s="2"/>
      <c r="J46" s="2"/>
    </row>
    <row r="47" ht="12.75">
      <c r="A47" s="2"/>
      <c r="B47" s="79" t="s">
        <v>502</v>
      </c>
      <c r="C47" s="82" t="s">
        <v>476</v>
      </c>
      <c r="D47" s="54"/>
      <c r="E47" s="2"/>
      <c r="F47" s="2"/>
      <c r="G47" s="2"/>
      <c r="H47" s="2"/>
      <c r="I47" s="2"/>
      <c r="J47" s="2"/>
    </row>
    <row r="48" ht="12.75">
      <c r="A48" s="2"/>
      <c r="B48" s="79" t="s">
        <v>503</v>
      </c>
      <c r="C48" s="82" t="s">
        <v>504</v>
      </c>
      <c r="D48" s="54"/>
      <c r="E48" s="2"/>
      <c r="F48" s="2"/>
      <c r="G48" s="2"/>
      <c r="H48" s="2"/>
      <c r="I48" s="2"/>
      <c r="J48" s="2"/>
    </row>
    <row r="49" ht="12.75">
      <c r="A49" s="2"/>
      <c r="B49" s="79" t="s">
        <v>505</v>
      </c>
      <c r="C49" s="82" t="s">
        <v>506</v>
      </c>
      <c r="D49" s="54"/>
      <c r="E49" s="2"/>
      <c r="F49" s="2"/>
      <c r="G49" s="2"/>
      <c r="H49" s="2"/>
      <c r="I49" s="2"/>
      <c r="J49" s="2"/>
    </row>
    <row r="50" ht="12.75">
      <c r="A50" s="2"/>
      <c r="B50" s="79" t="s">
        <v>507</v>
      </c>
      <c r="C50" s="83">
        <v>14</v>
      </c>
      <c r="D50" s="54"/>
      <c r="E50" s="2"/>
      <c r="F50" s="2"/>
      <c r="G50" s="2"/>
      <c r="H50" s="2"/>
      <c r="I50" s="2"/>
      <c r="J50" s="2"/>
    </row>
    <row r="51" ht="12.75">
      <c r="A51" s="2"/>
      <c r="B51" s="79" t="s">
        <v>508</v>
      </c>
      <c r="C51" s="74">
        <v>5.11</v>
      </c>
      <c r="D51" s="54"/>
      <c r="E51" s="2"/>
      <c r="F51" s="2"/>
      <c r="G51" s="2"/>
      <c r="H51" s="2"/>
      <c r="I51" s="2"/>
      <c r="J51" s="2"/>
    </row>
    <row r="52" ht="12.75">
      <c r="A52" s="2"/>
      <c r="B52" s="79" t="s">
        <v>509</v>
      </c>
      <c r="C52" s="74">
        <v>5.31</v>
      </c>
      <c r="D52" s="54"/>
      <c r="E52" s="2"/>
      <c r="F52" s="2"/>
      <c r="G52" s="2"/>
      <c r="H52" s="2"/>
      <c r="I52" s="2"/>
      <c r="J52" s="2"/>
    </row>
    <row r="53" ht="12.75">
      <c r="A53" s="2"/>
      <c r="B53" s="79" t="s">
        <v>510</v>
      </c>
      <c r="C53" s="74">
        <v>5.74</v>
      </c>
      <c r="D53" s="54"/>
      <c r="E53" s="2"/>
      <c r="F53" s="2"/>
      <c r="G53" s="2"/>
      <c r="H53" s="2"/>
      <c r="I53" s="2"/>
      <c r="J53" s="2"/>
    </row>
    <row r="54" ht="12.75">
      <c r="A54" s="2"/>
      <c r="B54" s="79" t="s">
        <v>511</v>
      </c>
      <c r="C54" s="74">
        <v>4.29</v>
      </c>
      <c r="D54" s="54"/>
      <c r="E54" s="2"/>
      <c r="F54" s="2"/>
      <c r="G54" s="2"/>
      <c r="H54" s="2"/>
      <c r="I54" s="2"/>
      <c r="J54" s="2"/>
    </row>
    <row r="55" ht="12.75">
      <c r="A55" s="2"/>
      <c r="B55" s="79" t="s">
        <v>512</v>
      </c>
      <c r="C55" s="74">
        <v>0.61</v>
      </c>
      <c r="D55" s="54"/>
      <c r="E55" s="2"/>
      <c r="F55" s="2"/>
      <c r="G55" s="2"/>
      <c r="H55" s="2"/>
      <c r="I55" s="2"/>
      <c r="J55" s="2"/>
    </row>
    <row r="56" ht="12.75">
      <c r="A56" s="2"/>
      <c r="B56" s="79" t="s">
        <v>513</v>
      </c>
      <c r="C56" s="83">
        <v>3</v>
      </c>
      <c r="D56" s="54"/>
      <c r="E56" s="2"/>
      <c r="F56" s="2"/>
      <c r="G56" s="2"/>
      <c r="H56" s="2"/>
      <c r="I56" s="2"/>
      <c r="J56" s="2"/>
    </row>
    <row r="57" ht="12.75">
      <c r="A57" s="2"/>
      <c r="B57" s="79" t="s">
        <v>514</v>
      </c>
      <c r="C57" s="14"/>
      <c r="D57" s="84" t="s">
        <v>499</v>
      </c>
      <c r="E57" s="2"/>
      <c r="F57" s="2"/>
      <c r="G57" s="2"/>
      <c r="H57" s="2"/>
      <c r="I57" s="2"/>
      <c r="J57" s="2"/>
    </row>
    <row r="58" ht="12.75">
      <c r="A58" s="2"/>
      <c r="B58" s="79" t="s">
        <v>515</v>
      </c>
      <c r="C58" s="14"/>
      <c r="D58" s="84" t="s">
        <v>499</v>
      </c>
      <c r="E58" s="2"/>
      <c r="F58" s="2"/>
      <c r="G58" s="2"/>
      <c r="H58" s="2"/>
      <c r="I58" s="2"/>
      <c r="J58" s="2"/>
    </row>
    <row r="59" ht="12.75">
      <c r="A59" s="2"/>
      <c r="B59" s="79" t="s">
        <v>516</v>
      </c>
      <c r="C59" s="14"/>
      <c r="D59" s="84" t="s">
        <v>499</v>
      </c>
      <c r="E59" s="2"/>
      <c r="F59" s="2"/>
      <c r="G59" s="2"/>
      <c r="H59" s="2"/>
      <c r="I59" s="2"/>
      <c r="J59" s="2"/>
    </row>
    <row r="60" ht="12.75">
      <c r="A60" s="2"/>
      <c r="B60" s="79" t="s">
        <v>517</v>
      </c>
      <c r="C60" s="74">
        <v>3.09</v>
      </c>
      <c r="D60" s="54"/>
      <c r="E60" s="2"/>
      <c r="F60" s="2"/>
      <c r="G60" s="2"/>
      <c r="H60" s="2"/>
      <c r="I60" s="2"/>
      <c r="J60" s="2"/>
    </row>
    <row r="61" ht="12.75">
      <c r="A61" s="2"/>
      <c r="B61" s="79" t="s">
        <v>518</v>
      </c>
      <c r="C61" s="74">
        <v>4.21</v>
      </c>
      <c r="D61" s="54"/>
      <c r="E61" s="2"/>
      <c r="F61" s="2"/>
      <c r="G61" s="2"/>
      <c r="H61" s="2"/>
      <c r="I61" s="2"/>
      <c r="J61" s="2"/>
    </row>
    <row r="62" ht="12.75">
      <c r="A62" s="2"/>
      <c r="B62" s="79" t="s">
        <v>519</v>
      </c>
      <c r="C62" s="74">
        <v>5.74</v>
      </c>
      <c r="D62" s="54"/>
      <c r="E62" s="2"/>
      <c r="F62" s="2"/>
      <c r="G62" s="2"/>
      <c r="H62" s="2"/>
      <c r="I62" s="2"/>
      <c r="J62" s="2"/>
    </row>
    <row r="63" ht="12.75">
      <c r="A63" s="2"/>
      <c r="B63" s="79" t="s">
        <v>520</v>
      </c>
      <c r="C63" s="74">
        <v>-0.67</v>
      </c>
      <c r="D63" s="54"/>
      <c r="E63" s="2"/>
      <c r="F63" s="2"/>
      <c r="G63" s="2"/>
      <c r="H63" s="2"/>
      <c r="I63" s="2"/>
      <c r="J63" s="2"/>
    </row>
    <row r="64" ht="12.75">
      <c r="A64" s="2"/>
      <c r="B64" s="79" t="s">
        <v>521</v>
      </c>
      <c r="C64" s="74">
        <v>2.73</v>
      </c>
      <c r="D64" s="54"/>
      <c r="E64" s="2"/>
      <c r="F64" s="2"/>
      <c r="G64" s="2"/>
      <c r="H64" s="2"/>
      <c r="I64" s="2"/>
      <c r="J64" s="2"/>
    </row>
    <row r="65" ht="12.75">
      <c r="A65" s="2"/>
      <c r="B65" s="79" t="s">
        <v>522</v>
      </c>
      <c r="C65" s="83">
        <v>3</v>
      </c>
      <c r="D65" s="54"/>
      <c r="E65" s="2"/>
      <c r="F65" s="2"/>
      <c r="G65" s="2"/>
      <c r="H65" s="2"/>
      <c r="I65" s="2"/>
      <c r="J65" s="2"/>
    </row>
    <row r="66" ht="12.75">
      <c r="A66" s="2"/>
      <c r="B66" s="79" t="s">
        <v>523</v>
      </c>
      <c r="C66" s="14"/>
      <c r="D66" s="84" t="s">
        <v>499</v>
      </c>
      <c r="E66" s="2"/>
      <c r="F66" s="2"/>
      <c r="G66" s="2"/>
      <c r="H66" s="2"/>
      <c r="I66" s="2"/>
      <c r="J66" s="2"/>
    </row>
    <row r="67" ht="12.75">
      <c r="A67" s="2"/>
      <c r="B67" s="79" t="s">
        <v>524</v>
      </c>
      <c r="C67" s="37">
        <v>479.52</v>
      </c>
      <c r="D67" s="54"/>
      <c r="E67" s="2"/>
      <c r="F67" s="2"/>
      <c r="G67" s="2"/>
      <c r="H67" s="2"/>
      <c r="I67" s="2"/>
      <c r="J67" s="2"/>
    </row>
    <row r="68" ht="12.75">
      <c r="A68" s="2"/>
      <c r="B68" s="79" t="s">
        <v>525</v>
      </c>
      <c r="C68" s="37">
        <v>700</v>
      </c>
      <c r="D68" s="54"/>
      <c r="E68" s="2"/>
      <c r="F68" s="2"/>
      <c r="G68" s="2"/>
      <c r="H68" s="2"/>
      <c r="I68" s="2"/>
      <c r="J68" s="2"/>
    </row>
    <row r="69" ht="12.75">
      <c r="A69" s="2"/>
      <c r="B69" s="79" t="s">
        <v>526</v>
      </c>
      <c r="C69" s="37">
        <v>713.56</v>
      </c>
      <c r="D69" s="54"/>
      <c r="E69" s="2"/>
      <c r="F69" s="2"/>
      <c r="G69" s="2"/>
      <c r="H69" s="2"/>
      <c r="I69" s="2"/>
      <c r="J69" s="2"/>
    </row>
    <row r="70" ht="12.75">
      <c r="A70" s="2"/>
      <c r="B70" s="79" t="s">
        <v>527</v>
      </c>
      <c r="C70" s="37">
        <v>25</v>
      </c>
      <c r="D70" s="54"/>
      <c r="E70" s="2"/>
      <c r="F70" s="2"/>
      <c r="G70" s="2"/>
      <c r="H70" s="2"/>
      <c r="I70" s="2"/>
      <c r="J70" s="2"/>
    </row>
    <row r="71" ht="12.75">
      <c r="A71" s="2"/>
      <c r="B71" s="79" t="s">
        <v>528</v>
      </c>
      <c r="C71" s="37">
        <v>321.44</v>
      </c>
      <c r="D71" s="54"/>
      <c r="E71" s="2"/>
      <c r="F71" s="2"/>
      <c r="G71" s="2"/>
      <c r="H71" s="2"/>
      <c r="I71" s="2"/>
      <c r="J71" s="2"/>
    </row>
    <row r="72" ht="12.75">
      <c r="A72" s="2"/>
      <c r="B72" s="79" t="s">
        <v>529</v>
      </c>
      <c r="C72" s="83">
        <v>3</v>
      </c>
      <c r="D72" s="54"/>
      <c r="E72" s="2"/>
      <c r="F72" s="2"/>
      <c r="G72" s="2"/>
      <c r="H72" s="2"/>
      <c r="I72" s="2"/>
      <c r="J72" s="2"/>
    </row>
    <row r="73" ht="12.75">
      <c r="A73" s="2"/>
      <c r="B73" s="79" t="s">
        <v>530</v>
      </c>
      <c r="C73" s="40"/>
      <c r="D73" s="81" t="s">
        <v>499</v>
      </c>
      <c r="E73" s="2"/>
      <c r="F73" s="2"/>
      <c r="G73" s="2"/>
      <c r="H73" s="2"/>
      <c r="I73" s="2"/>
      <c r="J73" s="2"/>
    </row>
    <row r="74" ht="12.75">
      <c r="A74" s="2"/>
      <c r="B74" s="79" t="s">
        <v>531</v>
      </c>
      <c r="C74" s="40"/>
      <c r="D74" s="81" t="s">
        <v>499</v>
      </c>
      <c r="E74" s="2"/>
      <c r="F74" s="2"/>
      <c r="G74" s="2"/>
      <c r="H74" s="2"/>
      <c r="I74" s="2"/>
      <c r="J74" s="2"/>
    </row>
    <row r="75" ht="12.75">
      <c r="A75" s="2"/>
      <c r="B75" s="79" t="s">
        <v>532</v>
      </c>
      <c r="C75" s="40"/>
      <c r="D75" s="81" t="s">
        <v>499</v>
      </c>
      <c r="E75" s="2"/>
      <c r="F75" s="2"/>
      <c r="G75" s="2"/>
      <c r="H75" s="2"/>
      <c r="I75" s="2"/>
      <c r="J75" s="2"/>
    </row>
    <row r="76" ht="12.75">
      <c r="A76" s="2"/>
      <c r="B76" s="79" t="s">
        <v>533</v>
      </c>
      <c r="C76" s="40"/>
      <c r="D76" s="81" t="s">
        <v>499</v>
      </c>
      <c r="E76" s="2"/>
      <c r="F76" s="2"/>
      <c r="G76" s="2"/>
      <c r="H76" s="2"/>
      <c r="I76" s="2"/>
      <c r="J76" s="2"/>
    </row>
    <row r="77" ht="12.75">
      <c r="A77" s="2"/>
      <c r="B77" s="79" t="s">
        <v>534</v>
      </c>
      <c r="C77" s="40"/>
      <c r="D77" s="81" t="s">
        <v>499</v>
      </c>
      <c r="E77" s="2"/>
      <c r="F77" s="2"/>
      <c r="G77" s="2"/>
      <c r="H77" s="2"/>
      <c r="I77" s="2"/>
      <c r="J77" s="2"/>
    </row>
    <row r="78" ht="12.75">
      <c r="A78" s="2"/>
      <c r="B78" s="79" t="s">
        <v>535</v>
      </c>
      <c r="C78" s="40"/>
      <c r="D78" s="81" t="s">
        <v>499</v>
      </c>
      <c r="E78" s="2"/>
      <c r="F78" s="2"/>
      <c r="G78" s="2"/>
      <c r="H78" s="2"/>
      <c r="I78" s="2"/>
      <c r="J78" s="2"/>
    </row>
    <row r="79" ht="12.75">
      <c r="A79" s="2"/>
      <c r="B79" s="79" t="s">
        <v>536</v>
      </c>
      <c r="C79" s="40"/>
      <c r="D79" s="81" t="s">
        <v>499</v>
      </c>
      <c r="E79" s="2"/>
      <c r="F79" s="2"/>
      <c r="G79" s="2"/>
      <c r="H79" s="2"/>
      <c r="I79" s="2"/>
      <c r="J79" s="2"/>
    </row>
    <row r="80" ht="12.75">
      <c r="A80" s="2"/>
      <c r="B80" s="79" t="s">
        <v>537</v>
      </c>
      <c r="C80" s="40"/>
      <c r="D80" s="81" t="s">
        <v>499</v>
      </c>
      <c r="E80" s="2"/>
      <c r="F80" s="2"/>
      <c r="G80" s="2"/>
      <c r="H80" s="2"/>
      <c r="I80" s="2"/>
      <c r="J80" s="2"/>
    </row>
    <row r="81" ht="12.75">
      <c r="A81" s="2"/>
      <c r="B81" s="79" t="s">
        <v>538</v>
      </c>
      <c r="C81" s="40"/>
      <c r="D81" s="81" t="s">
        <v>499</v>
      </c>
      <c r="E81" s="2"/>
      <c r="F81" s="2"/>
      <c r="G81" s="2"/>
      <c r="H81" s="2"/>
      <c r="I81" s="2"/>
      <c r="J81" s="2"/>
    </row>
    <row r="82" ht="12.75">
      <c r="A82" s="2"/>
      <c r="B82" s="79" t="s">
        <v>539</v>
      </c>
      <c r="C82" s="40"/>
      <c r="D82" s="81" t="s">
        <v>499</v>
      </c>
      <c r="E82" s="2"/>
      <c r="F82" s="2"/>
      <c r="G82" s="2"/>
      <c r="H82" s="2"/>
      <c r="I82" s="2"/>
      <c r="J82" s="2"/>
    </row>
    <row r="83" ht="12.75">
      <c r="A83" s="2"/>
      <c r="B83" s="79" t="s">
        <v>540</v>
      </c>
      <c r="C83" s="40"/>
      <c r="D83" s="81" t="s">
        <v>499</v>
      </c>
      <c r="E83" s="2"/>
      <c r="F83" s="2"/>
      <c r="G83" s="2"/>
      <c r="H83" s="2"/>
      <c r="I83" s="2"/>
      <c r="J83" s="2"/>
    </row>
    <row r="84" ht="12.75">
      <c r="A84" s="2"/>
      <c r="B84" s="79" t="s">
        <v>541</v>
      </c>
      <c r="C84" s="40"/>
      <c r="D84" s="81" t="s">
        <v>499</v>
      </c>
      <c r="E84" s="2"/>
      <c r="F84" s="2"/>
      <c r="G84" s="2"/>
      <c r="H84" s="2"/>
      <c r="I84" s="2"/>
      <c r="J84" s="2"/>
    </row>
    <row r="85" ht="12.75">
      <c r="A85" s="2"/>
      <c r="B85" s="79" t="s">
        <v>542</v>
      </c>
      <c r="C85" s="40"/>
      <c r="D85" s="81" t="s">
        <v>499</v>
      </c>
      <c r="E85" s="2"/>
      <c r="F85" s="2"/>
      <c r="G85" s="2"/>
      <c r="H85" s="2"/>
      <c r="I85" s="2"/>
      <c r="J85" s="2"/>
    </row>
    <row r="86" ht="12.75">
      <c r="A86" s="2"/>
      <c r="B86" s="79" t="s">
        <v>543</v>
      </c>
      <c r="C86" s="40"/>
      <c r="D86" s="81" t="s">
        <v>499</v>
      </c>
      <c r="E86" s="2"/>
      <c r="F86" s="2"/>
      <c r="G86" s="2"/>
      <c r="H86" s="2"/>
      <c r="I86" s="2"/>
      <c r="J86" s="2"/>
    </row>
    <row r="87" ht="12.75">
      <c r="A87" s="2"/>
      <c r="B87" s="79" t="s">
        <v>544</v>
      </c>
      <c r="C87" s="40"/>
      <c r="D87" s="81" t="s">
        <v>499</v>
      </c>
      <c r="E87" s="2"/>
      <c r="F87" s="2"/>
      <c r="G87" s="2"/>
      <c r="H87" s="2"/>
      <c r="I87" s="2"/>
      <c r="J87" s="2"/>
    </row>
    <row r="88" ht="12.75">
      <c r="A88" s="2"/>
      <c r="B88" s="79" t="s">
        <v>545</v>
      </c>
      <c r="C88" s="40"/>
      <c r="D88" s="81" t="s">
        <v>499</v>
      </c>
      <c r="E88" s="2"/>
      <c r="F88" s="2"/>
      <c r="G88" s="2"/>
      <c r="H88" s="2"/>
      <c r="I88" s="2"/>
      <c r="J88" s="2"/>
    </row>
    <row r="89" ht="12.75">
      <c r="A89" s="2"/>
      <c r="B89" s="79" t="s">
        <v>546</v>
      </c>
      <c r="C89" s="40"/>
      <c r="D89" s="81" t="s">
        <v>499</v>
      </c>
      <c r="E89" s="2"/>
      <c r="F89" s="2"/>
      <c r="G89" s="2"/>
      <c r="H89" s="2"/>
      <c r="I89" s="2"/>
      <c r="J89" s="2"/>
    </row>
    <row r="90" ht="12.75">
      <c r="A90" s="2"/>
      <c r="B90" s="79" t="s">
        <v>547</v>
      </c>
      <c r="C90" s="40"/>
      <c r="D90" s="81" t="s">
        <v>499</v>
      </c>
      <c r="E90" s="2"/>
      <c r="F90" s="2"/>
      <c r="G90" s="2"/>
      <c r="H90" s="2"/>
      <c r="I90" s="2"/>
      <c r="J90" s="2"/>
    </row>
    <row r="91" ht="12.75">
      <c r="A91" s="2"/>
      <c r="B91" s="79" t="s">
        <v>548</v>
      </c>
      <c r="C91" s="40"/>
      <c r="D91" s="81" t="s">
        <v>499</v>
      </c>
      <c r="E91" s="2"/>
      <c r="F91" s="2"/>
      <c r="G91" s="2"/>
      <c r="H91" s="2"/>
      <c r="I91" s="2"/>
      <c r="J91" s="2"/>
    </row>
    <row r="92" ht="12.75">
      <c r="A92" s="2"/>
      <c r="B92" s="79" t="s">
        <v>549</v>
      </c>
      <c r="C92" s="40"/>
      <c r="D92" s="81" t="s">
        <v>499</v>
      </c>
      <c r="E92" s="2"/>
      <c r="F92" s="2"/>
      <c r="G92" s="2"/>
      <c r="H92" s="2"/>
      <c r="I92" s="2"/>
      <c r="J92" s="2"/>
    </row>
    <row r="93" ht="12.75">
      <c r="A93" s="2"/>
      <c r="B93" s="79" t="s">
        <v>550</v>
      </c>
      <c r="C93" s="40"/>
      <c r="D93" s="81" t="s">
        <v>499</v>
      </c>
      <c r="E93" s="2"/>
      <c r="F93" s="2"/>
      <c r="G93" s="2"/>
      <c r="H93" s="2"/>
      <c r="I93" s="2"/>
      <c r="J93" s="2"/>
    </row>
    <row r="94" ht="12.75">
      <c r="A94" s="2"/>
      <c r="B94" s="79" t="s">
        <v>551</v>
      </c>
      <c r="C94" s="40"/>
      <c r="D94" s="81" t="s">
        <v>499</v>
      </c>
      <c r="E94" s="2"/>
      <c r="F94" s="2"/>
      <c r="G94" s="2"/>
      <c r="H94" s="2"/>
      <c r="I94" s="2"/>
      <c r="J94" s="2"/>
    </row>
    <row r="95" ht="12.75">
      <c r="A95" s="2"/>
      <c r="B95" s="79" t="s">
        <v>552</v>
      </c>
      <c r="C95" s="40"/>
      <c r="D95" s="81" t="s">
        <v>499</v>
      </c>
      <c r="E95" s="2"/>
      <c r="F95" s="2"/>
      <c r="G95" s="2"/>
      <c r="H95" s="2"/>
      <c r="I95" s="2"/>
      <c r="J95" s="2"/>
    </row>
    <row r="96" ht="12.75">
      <c r="A96" s="2"/>
      <c r="B96" s="79" t="s">
        <v>553</v>
      </c>
      <c r="C96" s="40"/>
      <c r="D96" s="81" t="s">
        <v>499</v>
      </c>
      <c r="E96" s="2"/>
      <c r="F96" s="2"/>
      <c r="G96" s="2"/>
      <c r="H96" s="2"/>
      <c r="I96" s="2"/>
      <c r="J96" s="2"/>
    </row>
    <row r="97" ht="12.75">
      <c r="A97" s="2"/>
      <c r="B97" s="79" t="s">
        <v>554</v>
      </c>
      <c r="C97" s="37">
        <v>33.93</v>
      </c>
      <c r="D97" s="81" t="s">
        <v>555</v>
      </c>
      <c r="E97" s="2"/>
      <c r="F97" s="2"/>
      <c r="G97" s="2"/>
      <c r="H97" s="2"/>
      <c r="I97" s="2"/>
      <c r="J97" s="2"/>
    </row>
    <row r="98" ht="12.75">
      <c r="A98" s="2"/>
      <c r="B98" s="79" t="s">
        <v>556</v>
      </c>
      <c r="C98" s="37">
        <v>34</v>
      </c>
      <c r="D98" s="81" t="s">
        <v>555</v>
      </c>
      <c r="E98" s="2"/>
      <c r="F98" s="2"/>
      <c r="G98" s="2"/>
      <c r="H98" s="2"/>
      <c r="I98" s="2"/>
      <c r="J98" s="2"/>
    </row>
    <row r="99" ht="12.75">
      <c r="A99" s="2"/>
      <c r="B99" s="79" t="s">
        <v>557</v>
      </c>
      <c r="C99" s="37">
        <v>45</v>
      </c>
      <c r="D99" s="81" t="s">
        <v>555</v>
      </c>
      <c r="E99" s="2"/>
      <c r="F99" s="2"/>
      <c r="G99" s="2"/>
      <c r="H99" s="2"/>
      <c r="I99" s="2"/>
      <c r="J99" s="2"/>
    </row>
    <row r="100" ht="12.75">
      <c r="A100" s="2"/>
      <c r="B100" s="79" t="s">
        <v>558</v>
      </c>
      <c r="C100" s="37">
        <v>25</v>
      </c>
      <c r="D100" s="81" t="s">
        <v>555</v>
      </c>
      <c r="E100" s="2"/>
      <c r="F100" s="2"/>
      <c r="G100" s="2"/>
      <c r="H100" s="2"/>
      <c r="I100" s="2"/>
      <c r="J100" s="2"/>
    </row>
    <row r="101" ht="12.75">
      <c r="A101" s="2"/>
      <c r="B101" s="79" t="s">
        <v>559</v>
      </c>
      <c r="C101" s="37">
        <v>4.82</v>
      </c>
      <c r="D101" s="81" t="s">
        <v>555</v>
      </c>
      <c r="E101" s="2"/>
      <c r="F101" s="2"/>
      <c r="G101" s="2"/>
      <c r="H101" s="2"/>
      <c r="I101" s="2"/>
      <c r="J101" s="2"/>
    </row>
    <row r="102" ht="12.75">
      <c r="A102" s="2"/>
      <c r="B102" s="79" t="s">
        <v>560</v>
      </c>
      <c r="C102" s="83">
        <v>14</v>
      </c>
      <c r="D102" s="86" t="s">
        <v>555</v>
      </c>
      <c r="E102" s="2"/>
      <c r="F102" s="2"/>
      <c r="G102" s="2"/>
      <c r="H102" s="2"/>
      <c r="I102" s="2"/>
      <c r="J102" s="2"/>
    </row>
    <row r="103" ht="12.75">
      <c r="A103" s="2"/>
      <c r="B103" s="79" t="s">
        <v>561</v>
      </c>
      <c r="C103" s="82" t="s">
        <v>562</v>
      </c>
      <c r="D103" s="54"/>
      <c r="E103" s="2"/>
      <c r="F103" s="2"/>
      <c r="G103" s="2"/>
      <c r="H103" s="2"/>
      <c r="I103" s="2"/>
      <c r="J103" s="2"/>
    </row>
    <row r="104" ht="12.75">
      <c r="A104" s="2"/>
      <c r="B104" s="79" t="s">
        <v>563</v>
      </c>
      <c r="C104" s="37">
        <v>1.5</v>
      </c>
      <c r="D104" s="54"/>
      <c r="E104" s="2"/>
      <c r="F104" s="2"/>
      <c r="G104" s="2"/>
      <c r="H104" s="2"/>
      <c r="I104" s="2"/>
      <c r="J104" s="2"/>
    </row>
    <row r="105" ht="12.75">
      <c r="A105" s="2"/>
      <c r="B105" s="79" t="s">
        <v>564</v>
      </c>
      <c r="C105" s="37">
        <v>22.99</v>
      </c>
      <c r="D105" s="54"/>
      <c r="E105" s="2"/>
      <c r="F105" s="2"/>
      <c r="G105" s="2"/>
      <c r="H105" s="2"/>
      <c r="I105" s="2"/>
      <c r="J105" s="2"/>
    </row>
    <row r="106" ht="12.75">
      <c r="A106" s="2"/>
      <c r="B106" s="79" t="s">
        <v>565</v>
      </c>
      <c r="C106" s="40"/>
      <c r="D106" s="81" t="s">
        <v>499</v>
      </c>
      <c r="E106" s="2"/>
      <c r="F106" s="2"/>
      <c r="G106" s="2"/>
      <c r="H106" s="2"/>
      <c r="I106" s="2"/>
      <c r="J106" s="2"/>
    </row>
    <row r="107" ht="12.75">
      <c r="A107" s="2"/>
      <c r="B107" s="79" t="s">
        <v>483</v>
      </c>
      <c r="C107" s="82" t="s">
        <v>18</v>
      </c>
      <c r="D107" s="54"/>
      <c r="E107" s="2"/>
      <c r="F107" s="2"/>
      <c r="G107" s="2"/>
      <c r="H107" s="2"/>
      <c r="I107" s="2"/>
      <c r="J107" s="2"/>
    </row>
    <row r="108" ht="12.75">
      <c r="A108" s="2"/>
      <c r="B108" s="79" t="s">
        <v>566</v>
      </c>
      <c r="C108" s="82" t="s">
        <v>567</v>
      </c>
      <c r="D108" s="54"/>
      <c r="E108" s="2"/>
      <c r="F108" s="2"/>
      <c r="G108" s="2"/>
      <c r="H108" s="2"/>
      <c r="I108" s="2"/>
      <c r="J108" s="2"/>
    </row>
    <row r="109" ht="12.75">
      <c r="A109" s="2"/>
      <c r="B109" s="79" t="s">
        <v>568</v>
      </c>
      <c r="C109" s="82" t="s">
        <v>319</v>
      </c>
      <c r="D109" s="54"/>
      <c r="E109" s="2"/>
      <c r="F109" s="2"/>
      <c r="G109" s="2"/>
      <c r="H109" s="2"/>
      <c r="I109" s="2"/>
      <c r="J109" s="2"/>
    </row>
    <row r="110" ht="12.75">
      <c r="A110" s="2"/>
      <c r="B110" s="79" t="s">
        <v>569</v>
      </c>
      <c r="C110" s="82" t="s">
        <v>570</v>
      </c>
      <c r="D110" s="54"/>
      <c r="E110" s="2"/>
      <c r="F110" s="2"/>
      <c r="G110" s="2"/>
      <c r="H110" s="2"/>
      <c r="I110" s="2"/>
      <c r="J110" s="2"/>
    </row>
    <row r="111" ht="12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ht="12.75">
      <c r="A112" s="2"/>
      <c r="B112" s="46" t="s">
        <v>571</v>
      </c>
      <c r="C112" s="2"/>
      <c r="D112" s="2"/>
      <c r="E112" s="2"/>
      <c r="F112" s="2"/>
      <c r="G112" s="2"/>
      <c r="H112" s="2"/>
      <c r="I112" s="2"/>
      <c r="J112" s="2"/>
    </row>
    <row r="113" ht="25.5">
      <c r="A113" s="2"/>
      <c r="B113" s="57" t="s">
        <v>572</v>
      </c>
      <c r="C113" s="5">
        <v>40.403</v>
      </c>
      <c r="D113" s="5" t="s">
        <v>345</v>
      </c>
      <c r="E113" s="2"/>
      <c r="F113" s="2"/>
      <c r="G113" s="2"/>
      <c r="H113" s="2"/>
      <c r="I113" s="2"/>
      <c r="J113" s="2"/>
    </row>
    <row r="114" ht="12.75">
      <c r="A114" s="2"/>
      <c r="B114" s="79" t="s">
        <v>573</v>
      </c>
      <c r="C114" s="5">
        <v>30</v>
      </c>
      <c r="D114" s="5" t="s">
        <v>345</v>
      </c>
      <c r="E114" s="2"/>
      <c r="F114" s="2"/>
      <c r="G114" s="2"/>
      <c r="H114" s="2"/>
      <c r="I114" s="2"/>
      <c r="J114" s="2"/>
    </row>
    <row r="115" ht="25.5">
      <c r="A115" s="2"/>
      <c r="B115" s="57" t="s">
        <v>574</v>
      </c>
      <c r="C115" s="5">
        <v>10.458</v>
      </c>
      <c r="D115" s="5" t="s">
        <v>345</v>
      </c>
      <c r="E115" s="2"/>
      <c r="F115" s="2"/>
      <c r="G115" s="2"/>
      <c r="H115" s="2"/>
      <c r="I115" s="2"/>
      <c r="J115" s="2"/>
    </row>
    <row r="116" ht="25.5">
      <c r="A116" s="2"/>
      <c r="B116" s="57" t="s">
        <v>575</v>
      </c>
      <c r="C116" s="5">
        <v>16.148</v>
      </c>
      <c r="D116" s="5" t="s">
        <v>345</v>
      </c>
      <c r="E116" s="2"/>
      <c r="F116" s="2"/>
      <c r="G116" s="2"/>
      <c r="H116" s="2"/>
      <c r="I116" s="2"/>
      <c r="J116" s="2"/>
    </row>
    <row r="117" ht="25.5">
      <c r="A117" s="2"/>
      <c r="B117" s="57" t="s">
        <v>576</v>
      </c>
      <c r="C117" s="5">
        <v>13.797</v>
      </c>
      <c r="D117" s="5" t="s">
        <v>345</v>
      </c>
      <c r="E117" s="2"/>
      <c r="F117" s="2"/>
      <c r="G117" s="2"/>
      <c r="H117" s="2"/>
      <c r="I117" s="2"/>
      <c r="J117" s="2"/>
    </row>
    <row r="118" ht="25.5">
      <c r="A118" s="2"/>
      <c r="B118" s="57" t="s">
        <v>577</v>
      </c>
      <c r="C118" s="5">
        <v>59.421</v>
      </c>
      <c r="D118" s="5" t="s">
        <v>345</v>
      </c>
      <c r="E118" s="2"/>
      <c r="F118" s="2"/>
      <c r="G118" s="2"/>
      <c r="H118" s="2"/>
      <c r="I118" s="2"/>
      <c r="J118" s="2"/>
    </row>
    <row r="119" ht="25.5">
      <c r="A119" s="2"/>
      <c r="B119" s="57" t="s">
        <v>578</v>
      </c>
      <c r="C119" s="5">
        <v>4.054</v>
      </c>
      <c r="D119" s="5" t="s">
        <v>345</v>
      </c>
      <c r="E119" s="2"/>
      <c r="F119" s="2"/>
      <c r="G119" s="2"/>
      <c r="H119" s="2"/>
      <c r="I119" s="2"/>
      <c r="J119" s="2"/>
    </row>
    <row r="120" ht="12.75">
      <c r="A120" s="2"/>
      <c r="B120" s="79" t="s">
        <v>579</v>
      </c>
      <c r="C120" s="5">
        <v>5.784</v>
      </c>
      <c r="D120" s="5" t="s">
        <v>345</v>
      </c>
      <c r="E120" s="2"/>
      <c r="F120" s="2"/>
      <c r="G120" s="2"/>
      <c r="H120" s="2"/>
      <c r="I120" s="2"/>
      <c r="J120" s="2"/>
    </row>
    <row r="121" ht="12.75">
      <c r="A121" s="2"/>
      <c r="B121" s="79" t="s">
        <v>580</v>
      </c>
      <c r="C121" s="5">
        <v>164.62</v>
      </c>
      <c r="D121" s="5" t="s">
        <v>345</v>
      </c>
      <c r="E121" s="2"/>
      <c r="F121" s="2"/>
      <c r="G121" s="2"/>
      <c r="H121" s="2"/>
      <c r="I121" s="2"/>
      <c r="J121" s="2"/>
    </row>
    <row r="122" ht="25.5">
      <c r="A122" s="2"/>
      <c r="B122" s="57" t="s">
        <v>581</v>
      </c>
      <c r="C122" s="5">
        <v>233.879</v>
      </c>
      <c r="D122" s="5" t="s">
        <v>345</v>
      </c>
      <c r="E122" s="2"/>
      <c r="F122" s="2"/>
      <c r="G122" s="2"/>
      <c r="H122" s="2"/>
      <c r="I122" s="2"/>
      <c r="J122" s="2"/>
    </row>
    <row r="123" ht="25.5">
      <c r="A123" s="2"/>
      <c r="B123" s="57" t="s">
        <v>582</v>
      </c>
      <c r="C123" s="5">
        <v>39.095</v>
      </c>
      <c r="D123" s="5" t="s">
        <v>345</v>
      </c>
      <c r="E123" s="2"/>
      <c r="F123" s="2"/>
      <c r="G123" s="2"/>
      <c r="H123" s="2"/>
      <c r="I123" s="2"/>
      <c r="J123" s="2"/>
    </row>
    <row r="124" ht="25.5">
      <c r="A124" s="2"/>
      <c r="B124" s="57" t="s">
        <v>583</v>
      </c>
      <c r="C124" s="5">
        <v>17.095</v>
      </c>
      <c r="D124" s="5" t="s">
        <v>345</v>
      </c>
      <c r="E124" s="2"/>
      <c r="F124" s="2"/>
      <c r="G124" s="2"/>
      <c r="H124" s="2"/>
      <c r="I124" s="2"/>
      <c r="J124" s="2"/>
    </row>
    <row r="125" ht="25.5">
      <c r="A125" s="2"/>
      <c r="B125" s="57" t="s">
        <v>584</v>
      </c>
      <c r="C125" s="5">
        <v>0.76</v>
      </c>
      <c r="D125" s="5" t="s">
        <v>345</v>
      </c>
      <c r="E125" s="2"/>
      <c r="F125" s="2"/>
      <c r="G125" s="2"/>
      <c r="H125" s="2"/>
      <c r="I125" s="2"/>
      <c r="J125" s="2"/>
    </row>
    <row r="126" ht="12.75">
      <c r="A126" s="2"/>
      <c r="B126" s="79" t="s">
        <v>585</v>
      </c>
      <c r="C126" s="5">
        <v>-186.236</v>
      </c>
      <c r="D126" s="5" t="s">
        <v>345</v>
      </c>
      <c r="E126" s="2"/>
      <c r="F126" s="2"/>
      <c r="G126" s="2"/>
      <c r="H126" s="2"/>
      <c r="I126" s="2"/>
      <c r="J126" s="2"/>
    </row>
    <row r="127" ht="25.5">
      <c r="A127" s="2"/>
      <c r="B127" s="57" t="s">
        <v>586</v>
      </c>
      <c r="C127" s="5">
        <v>53.98</v>
      </c>
      <c r="D127" s="5" t="s">
        <v>340</v>
      </c>
      <c r="E127" s="2"/>
      <c r="F127" s="2"/>
      <c r="G127" s="2"/>
      <c r="H127" s="2"/>
      <c r="I127" s="2"/>
      <c r="J127" s="2"/>
    </row>
    <row r="128" ht="25.5">
      <c r="A128" s="2"/>
      <c r="B128" s="57" t="s">
        <v>587</v>
      </c>
      <c r="C128" s="5">
        <v>316.903</v>
      </c>
      <c r="D128" s="5" t="s">
        <v>340</v>
      </c>
      <c r="E128" s="2"/>
      <c r="F128" s="2"/>
      <c r="G128" s="2"/>
      <c r="H128" s="2"/>
      <c r="I128" s="2"/>
      <c r="J128" s="2"/>
    </row>
    <row r="129" ht="12.75">
      <c r="A129" s="2"/>
      <c r="B129" s="79" t="s">
        <v>588</v>
      </c>
      <c r="C129" s="5">
        <v>-264.457</v>
      </c>
      <c r="D129" s="5" t="s">
        <v>340</v>
      </c>
      <c r="E129" s="2"/>
      <c r="F129" s="2"/>
      <c r="G129" s="2"/>
      <c r="H129" s="2"/>
      <c r="I129" s="2"/>
      <c r="J129" s="2"/>
    </row>
    <row r="130" ht="25.5">
      <c r="A130" s="2"/>
      <c r="B130" s="57" t="s">
        <v>589</v>
      </c>
      <c r="C130" s="5">
        <v>16.148</v>
      </c>
      <c r="D130" s="5" t="s">
        <v>340</v>
      </c>
      <c r="E130" s="2"/>
      <c r="F130" s="2"/>
      <c r="G130" s="2"/>
      <c r="H130" s="2"/>
      <c r="I130" s="2"/>
      <c r="J130" s="2"/>
    </row>
    <row r="131" ht="36.75">
      <c r="A131" s="2"/>
      <c r="B131" s="57" t="s">
        <v>590</v>
      </c>
      <c r="C131" s="5">
        <v>25.7</v>
      </c>
      <c r="D131" s="5" t="s">
        <v>340</v>
      </c>
      <c r="E131" s="2"/>
      <c r="F131" s="2"/>
      <c r="G131" s="2"/>
      <c r="H131" s="2"/>
      <c r="I131" s="2"/>
      <c r="J131" s="2"/>
    </row>
    <row r="132" ht="25.5">
      <c r="A132" s="2"/>
      <c r="B132" s="57" t="s">
        <v>591</v>
      </c>
      <c r="C132" s="5">
        <v>12.588</v>
      </c>
      <c r="D132" s="5" t="s">
        <v>345</v>
      </c>
      <c r="E132" s="2"/>
      <c r="F132" s="2"/>
      <c r="G132" s="2"/>
      <c r="H132" s="2"/>
      <c r="I132" s="2"/>
      <c r="J132" s="2"/>
    </row>
    <row r="133" ht="25.5">
      <c r="A133" s="2"/>
      <c r="B133" s="57" t="s">
        <v>592</v>
      </c>
      <c r="C133" s="5">
        <v>41.265</v>
      </c>
      <c r="D133" s="5" t="s">
        <v>345</v>
      </c>
      <c r="E133" s="2"/>
      <c r="F133" s="2"/>
      <c r="G133" s="2"/>
      <c r="H133" s="2"/>
      <c r="I133" s="2"/>
      <c r="J133" s="2"/>
    </row>
    <row r="134" ht="25.5">
      <c r="A134" s="2"/>
      <c r="B134" s="57" t="s">
        <v>593</v>
      </c>
      <c r="C134" s="5">
        <v>54.549</v>
      </c>
      <c r="D134" s="5" t="s">
        <v>340</v>
      </c>
      <c r="E134" s="2"/>
      <c r="F134" s="2"/>
      <c r="G134" s="2"/>
      <c r="H134" s="2"/>
      <c r="I134" s="2"/>
      <c r="J134" s="2"/>
    </row>
    <row r="135" ht="25.5">
      <c r="A135" s="2"/>
      <c r="B135" s="57" t="s">
        <v>594</v>
      </c>
      <c r="C135" s="5">
        <v>18.453</v>
      </c>
      <c r="D135" s="5" t="s">
        <v>335</v>
      </c>
      <c r="E135" s="2"/>
      <c r="F135" s="2"/>
      <c r="G135" s="2"/>
      <c r="H135" s="2"/>
      <c r="I135" s="2"/>
      <c r="J135" s="2"/>
    </row>
    <row r="136" ht="25.5">
      <c r="A136" s="2"/>
      <c r="B136" s="57" t="s">
        <v>595</v>
      </c>
      <c r="C136" s="5">
        <v>14.056</v>
      </c>
      <c r="D136" s="5" t="s">
        <v>328</v>
      </c>
      <c r="E136" s="2"/>
      <c r="F136" s="2"/>
      <c r="G136" s="2"/>
      <c r="H136" s="2"/>
      <c r="I136" s="2"/>
      <c r="J136" s="2"/>
    </row>
    <row r="137" ht="36.75">
      <c r="A137" s="2"/>
      <c r="B137" s="57" t="s">
        <v>596</v>
      </c>
      <c r="C137" s="5">
        <v>30</v>
      </c>
      <c r="D137" s="5" t="s">
        <v>328</v>
      </c>
      <c r="E137" s="2"/>
      <c r="F137" s="2"/>
      <c r="G137" s="2"/>
      <c r="H137" s="2"/>
      <c r="I137" s="2"/>
      <c r="J137" s="2"/>
    </row>
    <row r="138" ht="25.5">
      <c r="A138" s="2"/>
      <c r="B138" s="57" t="s">
        <v>597</v>
      </c>
      <c r="C138" s="5">
        <v>64.571</v>
      </c>
      <c r="D138" s="5" t="s">
        <v>340</v>
      </c>
      <c r="E138" s="2"/>
      <c r="F138" s="2"/>
      <c r="G138" s="2"/>
      <c r="H138" s="2"/>
      <c r="I138" s="2"/>
      <c r="J138" s="2"/>
    </row>
    <row r="139" ht="25.5">
      <c r="A139" s="2"/>
      <c r="B139" s="57" t="s">
        <v>598</v>
      </c>
      <c r="C139" s="5">
        <v>110.898</v>
      </c>
      <c r="D139" s="5" t="s">
        <v>340</v>
      </c>
      <c r="E139" s="2"/>
      <c r="F139" s="2"/>
      <c r="G139" s="2"/>
      <c r="H139" s="2"/>
      <c r="I139" s="2"/>
      <c r="J139" s="2"/>
    </row>
    <row r="140" ht="36.75">
      <c r="A140" s="2"/>
      <c r="B140" s="57" t="s">
        <v>599</v>
      </c>
      <c r="C140" s="5">
        <v>85.161</v>
      </c>
      <c r="D140" s="5" t="s">
        <v>328</v>
      </c>
      <c r="E140" s="2"/>
      <c r="F140" s="2"/>
      <c r="G140" s="2"/>
      <c r="H140" s="2"/>
      <c r="I140" s="2"/>
      <c r="J140" s="2"/>
    </row>
    <row r="141" ht="25.5">
      <c r="A141" s="2"/>
      <c r="B141" s="57" t="s">
        <v>600</v>
      </c>
      <c r="C141" s="37">
        <v>75.870718</v>
      </c>
      <c r="D141" s="37" t="s">
        <v>340</v>
      </c>
      <c r="E141" s="2"/>
      <c r="F141" s="2"/>
      <c r="G141" s="2"/>
      <c r="H141" s="2"/>
      <c r="I141" s="2"/>
      <c r="J141" s="2"/>
    </row>
    <row r="142" ht="25.5">
      <c r="A142" s="2"/>
      <c r="B142" s="57" t="s">
        <v>601</v>
      </c>
      <c r="C142" s="37">
        <v>76.433664</v>
      </c>
      <c r="D142" s="37" t="s">
        <v>328</v>
      </c>
      <c r="E142" s="2"/>
      <c r="F142" s="2"/>
      <c r="G142" s="2"/>
      <c r="H142" s="2"/>
      <c r="I142" s="2"/>
      <c r="J142" s="2"/>
    </row>
    <row r="143" ht="12.75">
      <c r="A143" s="2"/>
      <c r="B143" s="79" t="s">
        <v>602</v>
      </c>
      <c r="C143" s="37">
        <v>83.560795</v>
      </c>
      <c r="D143" s="37" t="s">
        <v>335</v>
      </c>
      <c r="E143" s="2"/>
      <c r="F143" s="2"/>
      <c r="G143" s="2"/>
      <c r="H143" s="2"/>
      <c r="I143" s="2"/>
      <c r="J143" s="2"/>
    </row>
    <row r="144" ht="12.75">
      <c r="A144" s="2"/>
      <c r="B144" s="79" t="s">
        <v>603</v>
      </c>
      <c r="C144" s="37">
        <v>83.882477</v>
      </c>
      <c r="D144" s="37" t="s">
        <v>328</v>
      </c>
      <c r="E144" s="2"/>
      <c r="F144" s="2"/>
      <c r="G144" s="2"/>
      <c r="H144" s="2"/>
      <c r="I144" s="2"/>
      <c r="J144" s="2"/>
    </row>
    <row r="145" ht="36.75">
      <c r="A145" s="2"/>
      <c r="B145" s="57" t="s">
        <v>604</v>
      </c>
      <c r="C145" s="3">
        <f>C127-C130-C131</f>
        <v>12.131999999999994</v>
      </c>
      <c r="D145" s="3" t="s">
        <v>605</v>
      </c>
      <c r="E145" s="2"/>
      <c r="F145" s="2"/>
      <c r="G145" s="2"/>
      <c r="H145" s="2"/>
      <c r="I145" s="2"/>
      <c r="J145" s="2"/>
    </row>
    <row r="146" ht="36.75">
      <c r="A146" s="2"/>
      <c r="B146" s="57" t="s">
        <v>606</v>
      </c>
      <c r="C146" s="3">
        <f>C138+C158</f>
        <v>49.062</v>
      </c>
      <c r="D146" s="3" t="s">
        <v>607</v>
      </c>
      <c r="E146" s="2"/>
      <c r="F146" s="2"/>
      <c r="G146" s="2"/>
      <c r="H146" s="2"/>
      <c r="I146" s="2"/>
      <c r="J146" s="2"/>
    </row>
    <row r="147" ht="12.7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ht="12.75">
      <c r="A148" s="2"/>
      <c r="B148" s="46" t="s">
        <v>608</v>
      </c>
      <c r="C148" s="2"/>
      <c r="D148" s="2"/>
      <c r="E148" s="2"/>
      <c r="F148" s="2"/>
      <c r="G148" s="2"/>
      <c r="H148" s="2"/>
      <c r="I148" s="2"/>
      <c r="J148" s="2"/>
    </row>
    <row r="149" ht="12.75">
      <c r="A149" s="2"/>
      <c r="B149" s="79" t="s">
        <v>609</v>
      </c>
      <c r="C149" s="89" t="s">
        <v>610</v>
      </c>
      <c r="D149" s="89" t="s">
        <v>611</v>
      </c>
      <c r="E149" s="89" t="s">
        <v>612</v>
      </c>
      <c r="F149" s="2"/>
      <c r="G149" s="2"/>
      <c r="H149" s="2"/>
      <c r="I149" s="2"/>
      <c r="J149" s="2"/>
    </row>
    <row r="150" ht="12.75">
      <c r="A150" s="2"/>
      <c r="B150" s="79" t="s">
        <v>229</v>
      </c>
      <c r="C150" s="5">
        <v>4.592</v>
      </c>
      <c r="D150" s="5">
        <v>6.62</v>
      </c>
      <c r="E150" s="5">
        <v>4.451</v>
      </c>
      <c r="F150" s="2"/>
      <c r="G150" s="2"/>
      <c r="H150" s="2"/>
      <c r="I150" s="2"/>
      <c r="J150" s="2"/>
    </row>
    <row r="151" ht="12.75">
      <c r="A151" s="2"/>
      <c r="B151" s="79" t="s">
        <v>230</v>
      </c>
      <c r="C151" s="5">
        <v>19.107</v>
      </c>
      <c r="D151" s="5">
        <v>28.879</v>
      </c>
      <c r="E151" s="5">
        <v>20.792</v>
      </c>
      <c r="F151" s="2"/>
      <c r="G151" s="2"/>
      <c r="H151" s="2"/>
      <c r="I151" s="2"/>
      <c r="J151" s="2"/>
    </row>
    <row r="152" ht="25.5">
      <c r="A152" s="2"/>
      <c r="B152" s="57" t="s">
        <v>231</v>
      </c>
      <c r="C152" s="5">
        <v>-6.258</v>
      </c>
      <c r="D152" s="5">
        <v>-8.455</v>
      </c>
      <c r="E152" s="5">
        <v>-3.535</v>
      </c>
      <c r="F152" s="2"/>
      <c r="G152" s="2"/>
      <c r="H152" s="2"/>
      <c r="I152" s="2"/>
      <c r="J152" s="2"/>
    </row>
    <row r="153" ht="25.5">
      <c r="A153" s="2"/>
      <c r="B153" s="57" t="s">
        <v>232</v>
      </c>
      <c r="C153" s="5">
        <v>0</v>
      </c>
      <c r="D153" s="5">
        <v>0</v>
      </c>
      <c r="E153" s="5">
        <v>0.16</v>
      </c>
      <c r="F153" s="2"/>
      <c r="G153" s="2"/>
      <c r="H153" s="2"/>
      <c r="I153" s="2"/>
      <c r="J153" s="2"/>
    </row>
    <row r="154" ht="25.5">
      <c r="A154" s="2"/>
      <c r="B154" s="57" t="s">
        <v>233</v>
      </c>
      <c r="C154" s="5">
        <v>4.633</v>
      </c>
      <c r="D154" s="5">
        <v>7.605</v>
      </c>
      <c r="E154" s="5">
        <v>3.175</v>
      </c>
      <c r="F154" s="2"/>
      <c r="G154" s="2"/>
      <c r="H154" s="2"/>
      <c r="I154" s="2"/>
      <c r="J154" s="2"/>
    </row>
    <row r="155" ht="12.75">
      <c r="A155" s="2"/>
      <c r="B155" s="79" t="s">
        <v>613</v>
      </c>
      <c r="C155" s="5">
        <v>-19</v>
      </c>
      <c r="D155" s="5">
        <v>0</v>
      </c>
      <c r="E155" s="5">
        <v>0</v>
      </c>
      <c r="F155" s="2"/>
      <c r="G155" s="2"/>
      <c r="H155" s="2"/>
      <c r="I155" s="2"/>
      <c r="J155" s="2"/>
    </row>
    <row r="156" ht="25.5">
      <c r="A156" s="2"/>
      <c r="B156" s="57" t="s">
        <v>614</v>
      </c>
      <c r="C156" s="5">
        <v>-2.962</v>
      </c>
      <c r="D156" s="5">
        <v>-4.945</v>
      </c>
      <c r="E156" s="5">
        <v>1.55</v>
      </c>
      <c r="F156" s="2"/>
      <c r="G156" s="2"/>
      <c r="H156" s="2"/>
      <c r="I156" s="2"/>
      <c r="J156" s="2"/>
    </row>
    <row r="157" ht="12.75">
      <c r="A157" s="2"/>
      <c r="B157" s="79" t="s">
        <v>615</v>
      </c>
      <c r="C157" s="5">
        <v>-5.888</v>
      </c>
      <c r="D157" s="5">
        <v>-3.655</v>
      </c>
      <c r="E157" s="5">
        <v>1.411</v>
      </c>
      <c r="F157" s="2"/>
      <c r="G157" s="2"/>
      <c r="H157" s="2"/>
      <c r="I157" s="2"/>
      <c r="J157" s="2"/>
    </row>
    <row r="158" ht="12.75">
      <c r="A158" s="2"/>
      <c r="B158" s="79" t="s">
        <v>616</v>
      </c>
      <c r="C158" s="5">
        <v>-15.509</v>
      </c>
      <c r="D158" s="5">
        <v>-23.403</v>
      </c>
      <c r="E158" s="5">
        <v>-8.296</v>
      </c>
      <c r="F158" s="2"/>
      <c r="G158" s="2"/>
      <c r="H158" s="2"/>
      <c r="I158" s="2"/>
      <c r="J158" s="2"/>
    </row>
    <row r="159" ht="25.5">
      <c r="A159" s="2"/>
      <c r="B159" s="57" t="s">
        <v>617</v>
      </c>
      <c r="C159" s="5">
        <v>-3.08</v>
      </c>
      <c r="D159" s="5">
        <v>-4.311</v>
      </c>
      <c r="E159" s="5">
        <v>-0.352</v>
      </c>
      <c r="F159" s="2"/>
      <c r="G159" s="2"/>
      <c r="H159" s="2"/>
      <c r="I159" s="2"/>
      <c r="J159" s="2"/>
    </row>
    <row r="160" ht="25.5">
      <c r="A160" s="2"/>
      <c r="B160" s="57" t="s">
        <v>618</v>
      </c>
      <c r="C160" s="5">
        <v>-0.068</v>
      </c>
      <c r="D160" s="5">
        <v>6.268</v>
      </c>
      <c r="E160" s="5">
        <v>-11.134</v>
      </c>
      <c r="F160" s="2"/>
      <c r="G160" s="2"/>
      <c r="H160" s="2"/>
      <c r="I160" s="2"/>
      <c r="J160" s="2"/>
    </row>
    <row r="161" ht="25.5">
      <c r="A161" s="2"/>
      <c r="B161" s="57" t="s">
        <v>241</v>
      </c>
      <c r="C161" s="5">
        <v>-178.351</v>
      </c>
      <c r="D161" s="5">
        <v>-281.35</v>
      </c>
      <c r="E161" s="5">
        <v>-280.562</v>
      </c>
      <c r="F161" s="2"/>
      <c r="G161" s="2"/>
      <c r="H161" s="2"/>
      <c r="I161" s="2"/>
      <c r="J161" s="2"/>
    </row>
    <row r="162" ht="25.5">
      <c r="A162" s="2"/>
      <c r="B162" s="57" t="s">
        <v>242</v>
      </c>
      <c r="C162" s="5">
        <v>281.543</v>
      </c>
      <c r="D162" s="5">
        <v>437.728</v>
      </c>
      <c r="E162" s="5">
        <v>252.714</v>
      </c>
      <c r="F162" s="2"/>
      <c r="G162" s="2"/>
      <c r="H162" s="2"/>
      <c r="I162" s="2"/>
      <c r="J162" s="2"/>
    </row>
    <row r="163" ht="25.5">
      <c r="A163" s="2"/>
      <c r="B163" s="57" t="s">
        <v>243</v>
      </c>
      <c r="C163" s="5">
        <v>-6.16</v>
      </c>
      <c r="D163" s="5">
        <v>-8.871</v>
      </c>
      <c r="E163" s="5">
        <v>-2.981</v>
      </c>
      <c r="F163" s="2"/>
      <c r="G163" s="2"/>
      <c r="H163" s="2"/>
      <c r="I163" s="2"/>
      <c r="J163" s="2"/>
    </row>
    <row r="164" ht="25.5">
      <c r="A164" s="2"/>
      <c r="B164" s="57" t="s">
        <v>246</v>
      </c>
      <c r="C164" s="5">
        <v>0.227</v>
      </c>
      <c r="D164" s="5">
        <v>0.405</v>
      </c>
      <c r="E164" s="5">
        <v>0.441</v>
      </c>
      <c r="F164" s="2"/>
      <c r="G164" s="2"/>
      <c r="H164" s="2"/>
      <c r="I164" s="2"/>
      <c r="J164" s="2"/>
    </row>
    <row r="165" ht="12.75">
      <c r="A165" s="2"/>
      <c r="B165" s="79" t="s">
        <v>619</v>
      </c>
      <c r="C165" s="5">
        <v>1.252</v>
      </c>
      <c r="D165" s="5">
        <v>2.229</v>
      </c>
      <c r="E165" s="5">
        <v>1.596</v>
      </c>
      <c r="F165" s="2"/>
      <c r="G165" s="2"/>
      <c r="H165" s="2"/>
      <c r="I165" s="2"/>
      <c r="J165" s="2"/>
    </row>
    <row r="166" ht="25.5">
      <c r="A166" s="2"/>
      <c r="B166" s="57" t="s">
        <v>620</v>
      </c>
      <c r="C166" s="5">
        <v>0</v>
      </c>
      <c r="D166" s="5">
        <v>0</v>
      </c>
      <c r="E166" s="5">
        <v>0</v>
      </c>
      <c r="F166" s="2"/>
      <c r="G166" s="2"/>
      <c r="H166" s="2"/>
      <c r="I166" s="2"/>
      <c r="J166" s="2"/>
    </row>
    <row r="167" ht="25.5">
      <c r="A167" s="2"/>
      <c r="B167" s="57" t="s">
        <v>621</v>
      </c>
      <c r="C167" s="5">
        <v>0</v>
      </c>
      <c r="D167" s="5">
        <v>0</v>
      </c>
      <c r="E167" s="5">
        <v>18.004</v>
      </c>
      <c r="F167" s="2"/>
      <c r="G167" s="2"/>
      <c r="H167" s="2"/>
      <c r="I167" s="2"/>
      <c r="J167" s="2"/>
    </row>
    <row r="168" ht="12.7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ht="12.75">
      <c r="A169" s="2"/>
      <c r="B169" s="46" t="s">
        <v>622</v>
      </c>
      <c r="C169" s="2"/>
      <c r="D169" s="2"/>
      <c r="E169" s="2"/>
      <c r="F169" s="2"/>
      <c r="G169" s="2"/>
      <c r="H169" s="2"/>
      <c r="I169" s="2"/>
      <c r="J169" s="2"/>
    </row>
    <row r="170" ht="36.75">
      <c r="A170" s="2"/>
      <c r="B170" s="57" t="s">
        <v>623</v>
      </c>
      <c r="C170" s="5">
        <v>2390</v>
      </c>
      <c r="D170" s="5" t="s">
        <v>392</v>
      </c>
      <c r="E170" s="2"/>
      <c r="F170" s="2"/>
      <c r="G170" s="2"/>
      <c r="H170" s="2"/>
      <c r="I170" s="2"/>
      <c r="J170" s="2"/>
    </row>
    <row r="171" ht="25.5">
      <c r="A171" s="2"/>
      <c r="B171" s="57" t="s">
        <v>624</v>
      </c>
      <c r="C171" s="14">
        <f>C105</f>
        <v>22.99</v>
      </c>
      <c r="D171" s="14" t="s">
        <v>625</v>
      </c>
      <c r="E171" s="2"/>
      <c r="F171" s="2"/>
      <c r="G171" s="2"/>
      <c r="H171" s="2"/>
      <c r="I171" s="2"/>
      <c r="J171" s="2"/>
    </row>
    <row r="172" ht="12.75">
      <c r="A172" s="2"/>
      <c r="B172" s="79" t="s">
        <v>626</v>
      </c>
      <c r="C172" s="5">
        <v>2000</v>
      </c>
      <c r="D172" s="2"/>
      <c r="E172" s="2"/>
      <c r="F172" s="2"/>
      <c r="G172" s="2"/>
      <c r="H172" s="2"/>
      <c r="I172" s="2"/>
      <c r="J172" s="2"/>
    </row>
    <row r="173" ht="12.75">
      <c r="A173" s="2"/>
      <c r="B173" s="79" t="s">
        <v>627</v>
      </c>
      <c r="C173" s="5">
        <v>10000</v>
      </c>
      <c r="D173" s="2"/>
      <c r="E173" s="2"/>
      <c r="F173" s="2"/>
      <c r="G173" s="2"/>
      <c r="H173" s="2"/>
      <c r="I173" s="2"/>
      <c r="J173" s="2"/>
    </row>
    <row r="174" ht="25.5">
      <c r="A174" s="2"/>
      <c r="B174" s="57" t="s">
        <v>628</v>
      </c>
      <c r="C174" s="12" t="str">
        <f>IF(C170&gt;C173,"large",IF(C170&gt;=C172,"mid","small"))</f>
        <v>mid</v>
      </c>
      <c r="D174" s="2"/>
      <c r="E174" s="2"/>
      <c r="F174" s="2"/>
      <c r="G174" s="2"/>
      <c r="H174" s="2"/>
      <c r="I174" s="2"/>
      <c r="J174" s="2"/>
    </row>
    <row r="175" ht="25.5">
      <c r="A175" s="2"/>
      <c r="B175" s="57" t="s">
        <v>629</v>
      </c>
      <c r="C175" s="54" t="str">
        <f>C44</f>
        <v>N</v>
      </c>
      <c r="D175" s="2"/>
      <c r="E175" s="2"/>
      <c r="F175" s="2"/>
      <c r="G175" s="2"/>
      <c r="H175" s="2"/>
      <c r="I175" s="2"/>
      <c r="J175" s="2"/>
    </row>
    <row r="176" ht="12.75">
      <c r="A176" s="2"/>
      <c r="B176" s="25" t="s">
        <v>630</v>
      </c>
      <c r="C176" s="80">
        <v>0.6</v>
      </c>
      <c r="D176" s="2"/>
      <c r="E176" s="2"/>
      <c r="F176" s="2"/>
      <c r="G176" s="2"/>
      <c r="H176" s="2"/>
      <c r="I176" s="2"/>
      <c r="J176" s="2"/>
    </row>
    <row r="177" ht="12.75">
      <c r="A177" s="2"/>
      <c r="B177" s="25" t="s">
        <v>631</v>
      </c>
      <c r="C177" s="80">
        <v>0.7</v>
      </c>
      <c r="D177" s="2"/>
      <c r="E177" s="2"/>
      <c r="F177" s="2"/>
      <c r="G177" s="2"/>
      <c r="H177" s="2"/>
      <c r="I177" s="2"/>
      <c r="J177" s="2"/>
    </row>
    <row r="178" ht="25.5">
      <c r="A178" s="2"/>
      <c r="B178" s="85" t="s">
        <v>632</v>
      </c>
      <c r="C178" s="80">
        <v>0.78</v>
      </c>
      <c r="D178" s="2"/>
      <c r="E178" s="2"/>
      <c r="F178" s="2"/>
      <c r="G178" s="2"/>
      <c r="H178" s="2"/>
      <c r="I178" s="2"/>
      <c r="J178" s="2"/>
    </row>
    <row r="179" ht="12.75">
      <c r="A179" s="2"/>
      <c r="B179" s="25" t="s">
        <v>633</v>
      </c>
      <c r="C179" s="43">
        <f>IF(OR(C175="Y",C174="large"),C178,IF(C174="mid",C177,C176))</f>
        <v>0.7</v>
      </c>
      <c r="D179" s="2"/>
      <c r="E179" s="2"/>
      <c r="F179" s="2"/>
      <c r="G179" s="2"/>
      <c r="H179" s="2"/>
      <c r="I179" s="2"/>
      <c r="J179" s="2"/>
    </row>
    <row r="180" ht="25.5">
      <c r="A180" s="2"/>
      <c r="B180" s="57" t="s">
        <v>634</v>
      </c>
      <c r="C180" s="38">
        <f>SUM(C20:H20)</f>
        <v>3</v>
      </c>
      <c r="D180" s="2"/>
      <c r="E180" s="2"/>
      <c r="F180" s="2"/>
      <c r="G180" s="2"/>
      <c r="H180" s="2"/>
      <c r="I180" s="2"/>
      <c r="J180" s="2"/>
    </row>
    <row r="181" ht="12.75">
      <c r="A181" s="2"/>
      <c r="B181" s="79" t="s">
        <v>635</v>
      </c>
      <c r="C181" s="38">
        <f>COUNT(C20:H20)</f>
        <v>6</v>
      </c>
      <c r="D181" s="2"/>
      <c r="E181" s="2"/>
      <c r="F181" s="2"/>
      <c r="G181" s="2"/>
      <c r="H181" s="2"/>
      <c r="I181" s="2"/>
      <c r="J181" s="2"/>
    </row>
    <row r="182" ht="12.75">
      <c r="A182" s="2"/>
      <c r="B182" s="79" t="s">
        <v>636</v>
      </c>
      <c r="C182" s="83">
        <v>8</v>
      </c>
      <c r="D182" s="2"/>
      <c r="E182" s="2"/>
      <c r="F182" s="2"/>
      <c r="G182" s="2"/>
      <c r="H182" s="2"/>
      <c r="I182" s="2"/>
      <c r="J182" s="2"/>
    </row>
    <row r="183" ht="25.5">
      <c r="A183" s="2"/>
      <c r="B183" s="85" t="s">
        <v>637</v>
      </c>
      <c r="C183" s="43">
        <f>(C182*C179+C180)/(C182+C181)</f>
        <v>0.6142857142857142</v>
      </c>
      <c r="D183" s="2"/>
      <c r="E183" s="2"/>
      <c r="F183" s="2"/>
      <c r="G183" s="2"/>
      <c r="H183" s="2"/>
      <c r="I183" s="2"/>
      <c r="J183" s="2"/>
    </row>
    <row r="184" ht="25.5">
      <c r="A184" s="2"/>
      <c r="B184" s="85" t="s">
        <v>638</v>
      </c>
      <c r="C184" s="80">
        <v>0.35</v>
      </c>
      <c r="D184" s="2"/>
      <c r="E184" s="2"/>
      <c r="F184" s="2"/>
      <c r="G184" s="2"/>
      <c r="H184" s="2"/>
      <c r="I184" s="2"/>
      <c r="J184" s="2"/>
    </row>
    <row r="185" ht="25.5">
      <c r="A185" s="2"/>
      <c r="B185" s="85" t="s">
        <v>639</v>
      </c>
      <c r="C185" s="43">
        <f>C184-C183</f>
        <v>-0.26428571428571423</v>
      </c>
      <c r="D185" s="2"/>
      <c r="E185" s="2"/>
      <c r="F185" s="2"/>
      <c r="G185" s="2"/>
      <c r="H185" s="2"/>
      <c r="I185" s="2"/>
      <c r="J185" s="2"/>
    </row>
    <row r="186" ht="12.75">
      <c r="A186" s="2"/>
      <c r="B186" s="79" t="s">
        <v>47</v>
      </c>
      <c r="C186" s="82" t="s">
        <v>640</v>
      </c>
      <c r="D186" s="2"/>
      <c r="E186" s="2"/>
      <c r="F186" s="2"/>
      <c r="G186" s="2"/>
      <c r="H186" s="2"/>
      <c r="I186" s="2"/>
      <c r="J186" s="2"/>
    </row>
    <row r="187" ht="25.5">
      <c r="A187" s="2"/>
      <c r="B187" s="57" t="s">
        <v>641</v>
      </c>
      <c r="C187" s="14">
        <f>AVERAGE(C21:H21)</f>
        <v>0.018333333333333313</v>
      </c>
      <c r="D187" s="2"/>
      <c r="E187" s="2"/>
      <c r="F187" s="2"/>
      <c r="G187" s="2"/>
      <c r="H187" s="2"/>
      <c r="I187" s="2"/>
      <c r="J187" s="2"/>
    </row>
    <row r="188" ht="36.75">
      <c r="A188" s="2"/>
      <c r="B188" s="57" t="s">
        <v>642</v>
      </c>
      <c r="C188" s="74">
        <v>-0.6009</v>
      </c>
      <c r="D188" s="74" t="s">
        <v>397</v>
      </c>
      <c r="E188" s="2"/>
      <c r="F188" s="2"/>
      <c r="G188" s="2"/>
      <c r="H188" s="2"/>
      <c r="I188" s="2"/>
      <c r="J188" s="2"/>
    </row>
    <row r="189" ht="36.75">
      <c r="A189" s="2"/>
      <c r="B189" s="57" t="s">
        <v>643</v>
      </c>
      <c r="C189" s="5">
        <v>24.348</v>
      </c>
      <c r="D189" s="5" t="s">
        <v>397</v>
      </c>
      <c r="E189" s="2"/>
      <c r="F189" s="2"/>
      <c r="G189" s="2"/>
      <c r="H189" s="2"/>
      <c r="I189" s="2"/>
      <c r="J189" s="2"/>
    </row>
    <row r="190" ht="12.7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ht="12.75">
      <c r="A191" s="2"/>
      <c r="B191" s="2"/>
      <c r="C191" s="2"/>
      <c r="D191" s="2"/>
      <c r="E191" s="2"/>
      <c r="F191" s="2"/>
      <c r="G191" s="2"/>
      <c r="H191" s="2"/>
      <c r="I191" s="2"/>
      <c r="J191" s="2"/>
    </row>
  </sheetData>
</worksheet>
</file>