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comments1.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drawings/drawing1.xml" ContentType="application/vnd.openxmlformats-officedocument.drawing+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Cover" sheetId="1" r:id="rId1"/>
    <sheet name="Revenue summary" sheetId="2" r:id="rId2"/>
    <sheet name="Segment - Food Safety" sheetId="3" r:id="rId3"/>
    <sheet name="Segment - Animal Safety" sheetId="4" r:id="rId4"/>
    <sheet name="Income Statement" sheetId="5" r:id="rId5"/>
    <sheet name="Balance Sheet" sheetId="6" r:id="rId6"/>
    <sheet name="Cash Flow Statement" sheetId="7" r:id="rId7"/>
    <sheet name="Geo" sheetId="8" r:id="rId8"/>
    <sheet name="Share Count" sheetId="9" r:id="rId9"/>
    <sheet name="Guidance" sheetId="10" r:id="rId10"/>
    <sheet name="Sources" sheetId="11" r:id="rId11"/>
    <sheet name="Inputs" sheetId="12" r:id="rId12"/>
  </sheets>
  <calcPr calcId="0"/>
</workbook>
</file>

<file path=xl/comments1.xml><?xml version="1.0" encoding="utf-8"?>
<comments xmlns="http://schemas.openxmlformats.org/spreadsheetml/2006/main">
  <authors>
    <author>Shortcut</author>
  </authors>
  <commentList>
    <comment ref="G20" authorId="0">
      <text>
        <t>Revenue and adj. EBITDA: company 1Q27 guidance (7/30/2026). Net income/EPS are not guided; the guide-mid column shows the EPS implied by the $37M EBITDA guide using model D&amp;A, interest, tax and shares (Guidance tab).</t>
      </text>
    </comment>
    <comment ref="D20" authorId="0">
      <text>
        <t>Frozen S&amp;P Capital IQ consensus captured 2026-10-04 (scoring baseline; never replaced). EPS: normalized mean 0.05 (3 contributors, range 0.05-0.06). NI consensus = CapIQ net income excl. exceptional items.</t>
      </text>
    </comment>
    <comment ref="B29" authorId="0">
      <text>
        <t>Link identity: each Cover cell is a direct link to the cell it is compared with, so this is a link-integrity indicator, not an independent model check. Excluded from C30.</t>
      </text>
    </comment>
    <comment ref="C30" authorId="0">
      <text>
        <t>Aggregates independent checks only (historical ties to reported figures, 1Q27E balance sheet balance BS!H47, CapIQ history tie Inputs!J18). Excluded as identities (cannot fail by construction): Income Statement!H203, Revenue summary!H45, Income Statement!C217:H217, Income Statement!H224, Cash Flow Statement!H91, Geo!H35 and Cover!C29. These cells remain visible, labelled as identities. PASS is not independent validation of the 1Q27E forecast assumptions.</t>
      </text>
    </comment>
    <comment ref="G22" authorId="0">
      <text>
        <t>Guide-implied (model), not issuer guidance. Neogen did not guide net income or EPS (Inputs!C55:C57 blank). Value = Guidance!G36/G37: ~$37M adj. EBITDA guide midpoint less model D&amp;A (IS!H190), net interest (IS!H76) and adjusted tax (IS!H210), over model shares (IS!H162).</t>
      </text>
    </comment>
    <comment ref="G23" authorId="0">
      <text>
        <t>Guide-implied (model), not issuer guidance. Neogen did not guide net income or EPS (Inputs!C55:C57 blank). Value = Guidance!G36/G37: ~$37M adj. EBITDA guide midpoint less model D&amp;A (IS!H190), net interest (IS!H76) and adjusted tax (IS!H210), over model shares (IS!H162).</t>
      </text>
    </comment>
  </commentList>
</comments>
</file>

<file path=xl/comments2.xml><?xml version="1.0" encoding="utf-8"?>
<comments xmlns="http://schemas.openxmlformats.org/spreadsheetml/2006/main">
  <authors>
    <author>Shortcut</author>
  </authors>
  <commentList>
    <comment ref="B19" authorId="0">
      <text>
        <t>Full label: Organic growth % = (1+Y/Y)/((1+M&amp;A)(1+FX))-1</t>
      </text>
    </comment>
    <comment ref="B31" authorId="0">
      <text>
        <t>Full label: Organic growth % = (1+Y/Y)/((1+M&amp;A)(1+FX))-1</t>
      </text>
    </comment>
    <comment ref="B41" authorId="0">
      <text>
        <t>Full label: FX impact % (company-disclosed; 1Q27E = segment-weighted)</t>
      </text>
    </comment>
    <comment ref="B42" authorId="0">
      <text>
        <t>Full label: M&amp;A / divestiture impact % (company-disclosed)</t>
      </text>
    </comment>
    <comment ref="B43" authorId="0">
      <text>
        <t>Full label: Organic growth % = (1+Y/Y)/((1+M&amp;A)(1+FX))-1</t>
      </text>
    </comment>
    <comment ref="B44" authorId="0">
      <text>
        <t>Full label: Core growth % (company-disclosed; 1Q27E = segment build)</t>
      </text>
    </comment>
    <comment ref="B45" authorId="0">
      <text>
        <t>Full label: Check: segments sum to Income Statement total revenue</t>
      </text>
    </comment>
    <comment ref="B51" authorId="0">
      <text>
        <t>Full label: Shortcut estimate vs guidance midpoint, %</t>
      </text>
    </comment>
    <comment ref="H45" authorId="0">
      <text>
        <t>1Q27E identity: Income Statement!H22 links to this sheet's H35, so the comparison is with itself. Excluded from Cover!C30.</t>
      </text>
    </comment>
  </commentList>
</comments>
</file>

<file path=xl/comments3.xml><?xml version="1.0" encoding="utf-8"?>
<comments xmlns="http://schemas.openxmlformats.org/spreadsheetml/2006/main">
  <authors>
    <author>Shortcut</author>
  </authors>
  <commentList>
    <comment ref="B15" authorId="0">
      <text>
        <t>No divestiture in this line per management (only C&amp;D called out for FY27 bridge, S11); explicit assumption, not a missing-data zero. | Full label: Less: divested / discontinued in year-ago</t>
      </text>
    </comment>
    <comment ref="B23" authorId="0">
      <text>
        <t>Full label: Organic growth % = (1+Y/Y)/((1+M&amp;A)(1+FX))-1</t>
      </text>
    </comment>
    <comment ref="B31" authorId="0">
      <text>
        <t>No divestiture in this line per management (only C&amp;D called out for FY27 bridge, S11); explicit assumption, not a missing-data zero. | Full label: Less: divested / discontinued in year-ago</t>
      </text>
    </comment>
    <comment ref="B39" authorId="0">
      <text>
        <t>Full label: Organic growth % = (1+Y/Y)/((1+M&amp;A)(1+FX))-1</t>
      </text>
    </comment>
    <comment ref="B45" authorId="0">
      <text>
        <t>1Q26 split of Indicator Testing &amp; Culture Media vs Other derived as 6M FY26 (Q2 10-Q) less 2Q26; Q1 10-Q reported the two combined (79.085). See memo rows.</t>
      </text>
    </comment>
    <comment ref="B47" authorId="0">
      <text>
        <t>No divestiture in this line per management (only C&amp;D called out for FY27 bridge, S11); explicit assumption, not a missing-data zero. | Full label: Less: divested / discontinued in year-ago</t>
      </text>
    </comment>
    <comment ref="B55" authorId="0">
      <text>
        <t>Full label: Organic growth % = (1+Y/Y)/((1+M&amp;A)(1+FX))-1</t>
      </text>
    </comment>
    <comment ref="B61" authorId="0">
      <text>
        <t>Biosecurity products (rodent control, insect control &amp; disinfectants). Cleaners &amp; Disinfectants (C&amp;D) business sold to Kersia on 2025-07-17 (Q1 10-Q).</t>
      </text>
    </comment>
    <comment ref="B63" authorId="0">
      <text>
        <t>Year-ago C&amp;D revenue removed from the base. CFO: Q1 FY26 included ~$6M of C&amp;D revenue (S11). Allocation $2.0M Food Safety / $4.0M Animal Safety is a Shortcut assumption. | Full label: Less: divested / discontinued in year-ago</t>
      </text>
    </comment>
    <comment ref="B71" authorId="0">
      <text>
        <t>Full label: Organic growth % = (1+Y/Y)/((1+M&amp;A)(1+FX))-1</t>
      </text>
    </comment>
    <comment ref="B79" authorId="0">
      <text>
        <t>No divestiture in this line per management (only C&amp;D called out for FY27 bridge, S11); explicit assumption, not a missing-data zero. | Full label: Less: divested / discontinued in year-ago</t>
      </text>
    </comment>
    <comment ref="B87" authorId="0">
      <text>
        <t>Full label: Organic growth % = (1+Y/Y)/((1+M&amp;A)(1+FX))-1</t>
      </text>
    </comment>
    <comment ref="B95" authorId="0">
      <text>
        <t>No divestiture in this line per management (only C&amp;D called out for FY27 bridge, S11); explicit assumption, not a missing-data zero. | Full label: Less: divested / discontinued in year-ago</t>
      </text>
    </comment>
    <comment ref="B103" authorId="0">
      <text>
        <t>Full label: Organic growth % = (1+Y/Y)/((1+M&amp;A)(1+FX))-1</t>
      </text>
    </comment>
    <comment ref="B110" authorId="0">
      <text>
        <t>Full label: Food Safety revenue (sum of categories)</t>
      </text>
    </comment>
    <comment ref="B112" authorId="0">
      <text>
        <t>Full label: Check: categories − reported (should be 0)</t>
      </text>
    </comment>
    <comment ref="B114" authorId="0">
      <text>
        <t>Full label: Check: FY − Σ quarters within rounding (±0.15)</t>
      </text>
    </comment>
    <comment ref="B117" authorId="0">
      <text>
        <t>Historical FX/divestiture/core % from the company core-growth reconciliations. 1Q27E FX assumption from Fed G.5 Jun-Aug 2026 vs Jun-Aug 2025 rates (S12): EUR -0.9%, GBP -0.6%, BRL/MXN/CNY +5-9%, INR/JPY -7-8%; broad USD index -1.4% Y/Y in Aug-26. Mgmt FY27 plan assumed -1% FX at late-July rates (S11). | Full label: FX impact % (company-disclosed; 1Q27E = Shortcut FX assumption)</t>
      </text>
    </comment>
    <comment ref="B118" authorId="0">
      <text>
        <t>Full label: Divestiture / discontinued impact % (company-disclosed)</t>
      </text>
    </comment>
    <comment ref="B119" authorId="0">
      <text>
        <t>Full label: Core growth % (company-disclosed; additive method)</t>
      </text>
    </comment>
    <comment ref="B120" authorId="0">
      <text>
        <t>Full label: Organic growth % = (1+Y/Y)/((1+M&amp;A)(1+FX))-1</t>
      </text>
    </comment>
    <comment ref="B122" authorId="0">
      <text>
        <t>Full label: Divestiture impact, $ (= % × year-ago)</t>
      </text>
    </comment>
    <comment ref="B129" authorId="0">
      <text>
        <t>4Q26 = FY26 (10-K MD&amp;A) less 9M (Q1-Q3 10-Q segment notes). Segment OI is after segment D&amp;A including acquisition amortization.</t>
      </text>
    </comment>
    <comment ref="B130" authorId="0">
      <text>
        <t>1Q27E margin is a Shortcut assumption: lower Petrifilm duplicate and sample-collection costs vs 1Q26, partly offset by R&amp;D and commercial investment (S9, S11).</t>
      </text>
    </comment>
    <comment ref="B131" authorId="0">
      <text>
        <t>FY25 quarters include goodwill impairment in Food Safety (Q2 FY25 $461.4M; Q4 FY25 $597.9M).</t>
      </text>
    </comment>
    <comment ref="B136" authorId="0">
      <text>
        <t>Full label: 6M FY26 Indicator Testing &amp; Culture Media (Q2 10-Q)</t>
      </text>
    </comment>
    <comment ref="B138" authorId="0">
      <text>
        <t>Full label: 6M FY25 Indicator Testing &amp; Culture Media (Q2 10-Q)</t>
      </text>
    </comment>
    <comment ref="B140" authorId="0">
      <text>
        <t>Full label: 9M FY25 segment operating income (Q3 10-Q)</t>
      </text>
    </comment>
    <comment ref="D132" authorId="0">
      <text>
        <t>n/m — year-ago Food Safety operating income includes goodwill impairment (2Q25 $461.4M; FY25 $1,046.2M, so 4Q25 ≈ $584.8M; S6, S10), so this bps change is not meaningful. Underlying data unchanged.</t>
      </text>
    </comment>
    <comment ref="F132" authorId="0">
      <text>
        <t>n/m — year-ago Food Safety operating income includes goodwill impairment (2Q25 $461.4M; FY25 $1,046.2M, so 4Q25 ≈ $584.8M; S6, S10), so this bps change is not meaningful. Underlying data unchanged.</t>
      </text>
    </comment>
    <comment ref="G132" authorId="0">
      <text>
        <t>n/m — year-ago Food Safety operating income includes goodwill impairment (2Q25 $461.4M; FY25 $1,046.2M, so 4Q25 ≈ $584.8M; S6, S10), so this bps change is not meaningful. Underlying data unchanged.</t>
      </text>
    </comment>
  </commentList>
</comments>
</file>

<file path=xl/comments4.xml><?xml version="1.0" encoding="utf-8"?>
<comments xmlns="http://schemas.openxmlformats.org/spreadsheetml/2006/main">
  <authors>
    <author>Shortcut</author>
  </authors>
  <commentList>
    <comment ref="B15" authorId="0">
      <text>
        <t>No divestiture in this line per management (only C&amp;D called out for FY27 bridge, S11); explicit assumption, not a missing-data zero. | Full label: Less: divested / discontinued in year-ago</t>
      </text>
    </comment>
    <comment ref="B23" authorId="0">
      <text>
        <t>Full label: Organic growth % = (1+Y/Y)/((1+M&amp;A)(1+FX))-1</t>
      </text>
    </comment>
    <comment ref="B31" authorId="0">
      <text>
        <t>No divestiture in this line per management (only C&amp;D called out for FY27 bridge, S11); explicit assumption, not a missing-data zero. | Full label: Less: divested / discontinued in year-ago</t>
      </text>
    </comment>
    <comment ref="B39" authorId="0">
      <text>
        <t>Full label: Organic growth % = (1+Y/Y)/((1+M&amp;A)(1+FX))-1</t>
      </text>
    </comment>
    <comment ref="B45" authorId="0">
      <text>
        <t>2Q26 = Animal Care 8.874 + unlabeled Other 0.017 (Q2 10-Q disaggregation table); other quarters reported combined as Animal Care &amp; Other.</t>
      </text>
    </comment>
    <comment ref="B47" authorId="0">
      <text>
        <t>No divestiture in this line per management (only C&amp;D called out for FY27 bridge, S11); explicit assumption, not a missing-data zero. | Full label: Less: divested / discontinued in year-ago</t>
      </text>
    </comment>
    <comment ref="B55" authorId="0">
      <text>
        <t>Full label: Organic growth % = (1+Y/Y)/((1+M&amp;A)(1+FX))-1</t>
      </text>
    </comment>
    <comment ref="B61" authorId="0">
      <text>
        <t>Biosecurity products. C&amp;D divested 2025-07-17. NWS (New World screwworm) topical products: management expected only a modest Q1 FY27 contribution (S11).</t>
      </text>
    </comment>
    <comment ref="B63" authorId="0">
      <text>
        <t>Year-ago C&amp;D revenue removed from the base. CFO: Q1 FY26 included ~$6M of C&amp;D revenue (S11). Allocation $2.0M Food Safety / $4.0M Animal Safety is a Shortcut assumption. | Full label: Less: divested / discontinued in year-ago</t>
      </text>
    </comment>
    <comment ref="B71" authorId="0">
      <text>
        <t>Full label: Organic growth % = (1+Y/Y)/((1+M&amp;A)(1+FX))-1</t>
      </text>
    </comment>
    <comment ref="B79" authorId="0">
      <text>
        <t>No divestiture in this line per management (only C&amp;D called out for FY27 bridge, S11); explicit assumption, not a missing-data zero. | Full label: Less: divested / discontinued in year-ago</t>
      </text>
    </comment>
    <comment ref="B87" authorId="0">
      <text>
        <t>Full label: Organic growth % = (1+Y/Y)/((1+M&amp;A)(1+FX))-1</t>
      </text>
    </comment>
    <comment ref="B94" authorId="0">
      <text>
        <t>Full label: Animal Safety revenue (sum of categories)</t>
      </text>
    </comment>
    <comment ref="B96" authorId="0">
      <text>
        <t>Full label: Check: categories − reported (should be 0)</t>
      </text>
    </comment>
    <comment ref="B98" authorId="0">
      <text>
        <t>Full label: Check: FY − Σ quarters within rounding (±0.15)</t>
      </text>
    </comment>
    <comment ref="B101" authorId="0">
      <text>
        <t>Historical FX/divestiture/core % from the company core-growth reconciliations. 1Q27E FX assumption from Fed G.5 Jun-Aug 2026 vs Jun-Aug 2025 rates (S12): EUR -0.9%, GBP -0.6%, BRL/MXN/CNY +5-9%, INR/JPY -7-8%; broad USD index -1.4% Y/Y in Aug-26. Mgmt FY27 plan assumed -1% FX at late-July rates (S11). | Full label: FX impact % (company-disclosed; 1Q27E = Shortcut FX assumption)</t>
      </text>
    </comment>
    <comment ref="B102" authorId="0">
      <text>
        <t>Full label: Divestiture / discontinued impact % (company-disclosed)</t>
      </text>
    </comment>
    <comment ref="B103" authorId="0">
      <text>
        <t>Full label: Core growth % (company-disclosed; additive method)</t>
      </text>
    </comment>
    <comment ref="B104" authorId="0">
      <text>
        <t>Full label: Organic growth % = (1+Y/Y)/((1+M&amp;A)(1+FX))-1</t>
      </text>
    </comment>
    <comment ref="B106" authorId="0">
      <text>
        <t>Full label: Divestiture impact, $ (= % × year-ago)</t>
      </text>
    </comment>
    <comment ref="B113" authorId="0">
      <text>
        <t>4Q26 = FY26 (10-K MD&amp;A) less 9M (Q1-Q3 10-Q segment notes). Segment OI is after segment D&amp;A including acquisition amortization.</t>
      </text>
    </comment>
    <comment ref="B114" authorId="0">
      <text>
        <t>1Q27E margin is a Shortcut assumption: lower Petrifilm duplicate and sample-collection costs vs 1Q26, partly offset by R&amp;D and commercial investment (S9, S11).</t>
      </text>
    </comment>
    <comment ref="B115" authorId="0">
      <text>
        <t>FY25 quarters include goodwill impairment in Food Safety (Q2 FY25 $461.4M; Q4 FY25 $597.9M).</t>
      </text>
    </comment>
    <comment ref="B121" authorId="0">
      <text>
        <t>Full label: 2Q26 Animal Safety Other, unlabeled row (Q2 10-Q)</t>
      </text>
    </comment>
    <comment ref="B123" authorId="0">
      <text>
        <t>Full label: 2Q25 Animal Safety Other, unlabeled row (Q2 10-Q)</t>
      </text>
    </comment>
    <comment ref="B124" authorId="0">
      <text>
        <t>Full label: 9M FY25 segment operating income (Q3 10-Q)</t>
      </text>
    </comment>
    <comment ref="C101" authorId="0">
      <text>
        <t>3Q26 and FY26 Animal Safety FX % not legible in the release table; derived as reported total % less divestiture % less core % (company additive method). 3Q26 ≈ +0.5%, FY26 ≈ +0.2% (10-K: +$0.6M FX).</t>
      </text>
    </comment>
    <comment ref="G101" authorId="0">
      <text>
        <t>Implied additive residual (total % − divestiture % − core %) = 0.16%. 10-K MD&amp;A (S10) text gives a favorable currency impact of $0.6 million (≈0.23% of 256.6); the gap reflects rounding of the disclosed % components.</t>
      </text>
    </comment>
    <comment ref="F116" authorId="0">
      <text>
        <t>n/m — year-ago 4Q25 Animal Safety operating income includes the segment's $13.1M FY25 goodwill impairment (S10 MD&amp;A), so this bps change is not meaningful. Underlying data unchanged.</t>
      </text>
    </comment>
    <comment ref="G116" authorId="0">
      <text>
        <t>n/m — year-ago FY25 Animal Safety operating income includes a $13.1M goodwill impairment (S10 MD&amp;A), so this bps change is not meaningful. Underlying data unchanged.</t>
      </text>
    </comment>
    <comment ref="E101" authorId="0">
      <text>
        <t>Implied additive residual (total % − divestiture % − core %) = 0.51%, not company-disclosed as a %. The S7 release table FX % is not legible; the S8 10-Q MD&amp;A gives a $0.4 million favorable foreign currency impact (≈0.59% of 68.2). The gap reflects rounding of the disclosed % components; historical display only.</t>
      </text>
    </comment>
  </commentList>
</comments>
</file>

<file path=xl/comments5.xml><?xml version="1.0" encoding="utf-8"?>
<comments xmlns="http://schemas.openxmlformats.org/spreadsheetml/2006/main">
  <authors>
    <author>Shortcut</author>
  </authors>
  <commentList>
    <comment ref="B15" authorId="0">
      <text>
        <t>Neogen does not split FX or divestiture effects between product and service revenue; see Revenue summary for the disclosed company/segment decomposition.</t>
      </text>
    </comment>
    <comment ref="B28" authorId="0">
      <text>
        <t>Full label: Check: FY revenue − Σ quarters within rounding (±0.15)</t>
      </text>
    </comment>
    <comment ref="B29" authorId="0">
      <text>
        <t>1Q27E service mix assumption ~ FY26 average (11.7%) — mostly Genomics lab services.</t>
      </text>
    </comment>
    <comment ref="B53" authorId="0">
      <text>
        <t>1Q27E S&amp;M assumption: Q1 includes the global sales meeting and commercial investments (S11).</t>
      </text>
    </comment>
    <comment ref="B56" authorId="0">
      <text>
        <t>1Q27E G&amp;A is the balancing line: total GAAP opex (adjusted opex + amortization + non-GAAP opex items) less S&amp;M, R&amp;D and impairment.</t>
      </text>
    </comment>
    <comment ref="B59" authorId="0">
      <text>
        <t>Reported as nil (—) in every FY26 quarter. 1Q27E: no impairment assumed.</t>
      </text>
    </comment>
    <comment ref="B60" authorId="0">
      <text>
        <t>Management plans ~50% higher R&amp;D in FY27 (S11): FY26 $18.4M × 1.5 ≈ $27.6M, ~$6.5-7M per quarter.</t>
      </text>
    </comment>
    <comment ref="B76" authorId="0">
      <text>
        <t>1Q27E: $20M term-loan prepayment in late June 2026 (S11) on ~$800M gross debt; 4Q26/3Q26 ran at $13.9M.</t>
      </text>
    </comment>
    <comment ref="B79" authorId="0">
      <text>
        <t>C&amp;D divestiture gain in 1Q26. Genomics sale to Zoetis not expected to close before 2Q27 (ACCC/NZCC phase-2 review) — no gain assumed in 1Q27E.</t>
      </text>
    </comment>
    <comment ref="B87" authorId="0">
      <text>
        <t>1Q27E GAAP tax = adjusted tax on adjusted pre-tax income + tax effect of non-GAAP adjustments.</t>
      </text>
    </comment>
    <comment ref="B97" authorId="0">
      <text>
        <t>Full label: Check: FY net income − Σ quarters within rounding (±0.15)</t>
      </text>
    </comment>
    <comment ref="B102" authorId="0">
      <text>
        <t>Full label: GAAP diluted EPS (= net income / diluted shares)</t>
      </text>
    </comment>
    <comment ref="B103" authorId="0">
      <text>
        <t>Full label: GAAP basic EPS (= net income / basic shares)</t>
      </text>
    </comment>
    <comment ref="B104" authorId="0">
      <text>
        <t>Full label: GAAP diluted EPS, reporting basis ($0.01)</t>
      </text>
    </comment>
    <comment ref="B109" authorId="0">
      <text>
        <t>Full label: Check: ROUND(NI / diluted shares, 2) = reported</t>
      </text>
    </comment>
    <comment ref="B114" authorId="0">
      <text>
        <t>Run-rate amortization ~$22.0-22.4M/quarter, drifting lower; 1Q27E $21.9M. | Full label: + Amortization of acquisition-related intangibles</t>
      </text>
    </comment>
    <comment ref="B117" authorId="0">
      <text>
        <t>Q1 carries annual grants (1Q26 $5.0M, 1Q25 $4.0M).</t>
      </text>
    </comment>
    <comment ref="B120" authorId="0">
      <text>
        <t>Not forecastable; explicit assumption of nil (affects GAAP only, excluded from adjusted). | Full label: + FX transaction loss (gain) on intercompany loans</t>
      </text>
    </comment>
    <comment ref="B123" authorId="0">
      <text>
        <t>Genomics divestiture to Zoetis pending (S9).</t>
      </text>
    </comment>
    <comment ref="B129" authorId="0">
      <text>
        <t>Sample-collection margin losses at their lowest point in 4Q26 (S11). | Full label: + Sample collection transition and ramp-up costs</t>
      </text>
    </comment>
    <comment ref="B132" authorId="0">
      <text>
        <t>Duplicate costs continue until the multi-quarter Petrifilm transfer starts in Nov-2026 (S9). | Full label: + Petrifilm duplicate manufacturing costs</t>
      </text>
    </comment>
    <comment ref="B135" authorId="0">
      <text>
        <t>FY27 transformation investment ~$25M vs ~$22M in FY26, excluded from adjusted results (S11). | Full label: + Transformation initiatives and related costs</t>
      </text>
    </comment>
    <comment ref="B142" authorId="0">
      <text>
        <t>Explicit assumption of nil.</t>
      </text>
    </comment>
    <comment ref="B145" authorId="0">
      <text>
        <t>4Q26 release presents ERP within transformation initiatives; 1Q27E included in transformation. | Full label: + ERP expense (shown within transformation from 4Q26)</t>
      </text>
    </comment>
    <comment ref="B149" authorId="0">
      <text>
        <t>Explicit assumption of nil. | Full label: + Discontinued product line (inventory write-offs)</t>
      </text>
    </comment>
    <comment ref="B152" authorId="0">
      <text>
        <t>Ongoing securities litigation and the Hycoat recall/FDA warning letter (S15) — legal costs assumed $1.5M. | Full label: + Other (shareholder litigation, legal, recall)</t>
      </text>
    </comment>
    <comment ref="B164" authorId="0">
      <text>
        <t>Consensus basis: S&amp;P Capital IQ "normalized diluted EPS" equals the company-reported Adjusted EPS in all six history rows (Inputs). Neogen reports to the cent. | Full label: Adjusted diluted EPS — consensus basis ($0.01, as reported)</t>
      </text>
    </comment>
    <comment ref="B166" authorId="0">
      <text>
        <t>Full label: Check: ROUND(adjusted NI / shares, 2) = reported</t>
      </text>
    </comment>
    <comment ref="B173" authorId="0">
      <text>
        <t>Adjusted gross profit reconciliation first published with 3Q26; 1Q26/2Q26 not disclosed (1Q26 release: GM ex-integration costs 49.5%).</t>
      </text>
    </comment>
    <comment ref="B176" authorId="0">
      <text>
        <t>1Q27E: 49.8% vs 49.7% in 4Q26 and 50.3% FY26; Q1 seasonally weaker mix, Iran-war freight/material inflation (S11) offset by pricing and lower write-offs.</t>
      </text>
    </comment>
    <comment ref="B177" authorId="0">
      <text>
        <t>Full label: Adjusted gross margin change, bps Y/Y</t>
      </text>
    </comment>
    <comment ref="B178" authorId="0">
      <text>
        <t>Full label: Adjusted gross margin change, bps Q/Q</t>
      </text>
    </comment>
    <comment ref="B180" authorId="0">
      <text>
        <t>1Q27E: 4Q26 $72.8M + R&amp;D step-up (~$1.6M) + global sales meeting/commercial investment, partly offset by cost discipline. Guidance-implied ~$73.4M at $208M revenue and $37M adj. EBITDA.</t>
      </text>
    </comment>
    <comment ref="B187" authorId="0">
      <text>
        <t>Full label: Adjusted operating margin change, bps Y/Y</t>
      </text>
    </comment>
    <comment ref="B188" authorId="0">
      <text>
        <t>Full label: Adjusted operating margin change, bps Q/Q</t>
      </text>
    </comment>
    <comment ref="B189" authorId="0">
      <text>
        <t>Historical quarterly D&amp;A linked to the Cash Flow Statement (reported YTD less prior YTD); 3Q26 = 28.918 vs 28.9 in the release table (rounding).</t>
      </text>
    </comment>
    <comment ref="B190" authorId="0">
      <text>
        <t>1Q27E $7.3M vs $7.2M in 4Q26; Petrifilm building placed in service in FY26 (building &amp; improvements up $125M). | Full label: Depreciation &amp; non-acquisition amortization (driver)</t>
      </text>
    </comment>
    <comment ref="B193" authorId="0">
      <text>
        <t>Recurring other expense retained in adjusted results; 1Q26-4Q26 range -$0.6M to -$1.2M. | Full label: Other, net excl. FX loan revaluation (driver)</t>
      </text>
    </comment>
    <comment ref="B196" authorId="0">
      <text>
        <t>Full label: EBITDA (= NI + tax + D&amp;A + net interest)</t>
      </text>
    </comment>
    <comment ref="B199" authorId="0">
      <text>
        <t>Full label: Adjusted EBITDA (= EBITDA + adjustments excl. amortization)</t>
      </text>
    </comment>
    <comment ref="B202" authorId="0">
      <text>
        <t>Full label: Adjusted EBITDA from driver build (adj. OI + dep. + other)</t>
      </text>
    </comment>
    <comment ref="B207" authorId="0">
      <text>
        <t>Full label: Adjusted EBITDA margin change, bps Y/Y</t>
      </text>
    </comment>
    <comment ref="B210" authorId="0">
      <text>
        <t>Implied adjusted tax rate: 1Q26 29.4%, 2Q26 19.0%, 3Q26 29.2%, 4Q26 23.0%, FY26 24.5%. 1Q27E 26% (between FY26 and prior Q1 levels).</t>
      </text>
    </comment>
    <comment ref="B211" authorId="0">
      <text>
        <t>Year-ago adjusted tax rate = 1 − adjusted NI / (adjusted EBITDA − non-acquisition D&amp;A + net interest), from year-ago reported figures.</t>
      </text>
    </comment>
    <comment ref="B213" authorId="0">
      <text>
        <t>Company uses projected effective rates per item. 2Q26 20.2%, 3Q26 23.7%, 4Q26 17.6%, FY26 ex-gain ~23%. 1Q26 distorted by the C&amp;D gain. | Full label: Tax rate on non-GAAP adjustments % (driver)</t>
      </text>
    </comment>
    <comment ref="B216" authorId="0">
      <text>
        <t>Full label: Adjusted net income (= adj. pre-tax − adj. tax)</t>
      </text>
    </comment>
    <comment ref="B222" authorId="0">
      <text>
        <t>1Q27E corporate is derived (consolidated GAAP OI less segment OI); history -$25M to -$31M per quarter.</t>
      </text>
    </comment>
    <comment ref="B223" authorId="0">
      <text>
        <t>Full label: Total operating income (sum of segments)</t>
      </text>
    </comment>
    <comment ref="B224" authorId="0">
      <text>
        <t>Full label: Check: equals consolidated operating income (±0.15)</t>
      </text>
    </comment>
    <comment ref="B239" authorId="0">
      <text>
        <t>Full label: FX loss (gain) on intercompany loans (non-GAAP item)</t>
      </text>
    </comment>
    <comment ref="B241" authorId="0">
      <text>
        <t>Full label: Amortization of acquisition-related intangibles</t>
      </text>
    </comment>
    <comment ref="E79" authorId="0">
      <text>
        <t>S7 neog-ex99_1.htm (8-K 2026-04-09) | Condensed Consolidated Statements of Operations, three months ended Feb 28, 2026 | Gain on sale of business: no three-month amount; 76.4 appears in the nine-month column only</t>
      </text>
    </comment>
    <comment ref="B217" authorId="0">
      <text>
        <t>Algebraic identity in every column: adjusted tax (row 209) is defined from GAAP tax and the tax effect (row 156), so adj. pre-tax − adj. tax equals the bridge by construction. Excluded from Cover!C30.</t>
      </text>
    </comment>
    <comment ref="H224" authorId="0">
      <text>
        <t>1Q27E identity: corporate &amp; eliminations (H222) is the implied plug H69 − H220 − H221, so this check cannot fail. Excluded from Cover!C30. Implied corporate −30.8 vs history −25.3 to −30.8.</t>
      </text>
    </comment>
    <comment ref="H56" authorId="0">
      <text>
        <t>1Q27E G&amp;A is a residual (H63 − S&amp;M − R&amp;D − impairment); an assumption, not an independent forecast.</t>
      </text>
    </comment>
    <comment ref="D65" authorId="0">
      <text>
        <t>n/m — the year-ago period includes consolidated goodwill impairment (2Q25 $461.4M; 4Q25 $597.9M; FY25 $1,059.3M), so this bps change is not meaningful. Underlying data unchanged.</t>
      </text>
    </comment>
    <comment ref="F65" authorId="0">
      <text>
        <t>n/m — the year-ago period includes consolidated goodwill impairment (2Q25 $461.4M; 4Q25 $597.9M; FY25 $1,059.3M), so this bps change is not meaningful. Underlying data unchanged.</t>
      </text>
    </comment>
    <comment ref="G65" authorId="0">
      <text>
        <t>n/m — the year-ago period includes consolidated goodwill impairment (2Q25 $461.4M; 4Q25 $597.9M; FY25 $1,059.3M), so this bps change is not meaningful. Underlying data unchanged.</t>
      </text>
    </comment>
    <comment ref="D73" authorId="0">
      <text>
        <t>n/m — the year-ago period includes consolidated goodwill impairment (2Q25 $461.4M; 4Q25 $597.9M; FY25 $1,059.3M), so this bps change is not meaningful. Underlying data unchanged.</t>
      </text>
    </comment>
    <comment ref="F73" authorId="0">
      <text>
        <t>n/m — the year-ago period includes consolidated goodwill impairment (2Q25 $461.4M; 4Q25 $597.9M; FY25 $1,059.3M), so this bps change is not meaningful. Underlying data unchanged.</t>
      </text>
    </comment>
    <comment ref="G73" authorId="0">
      <text>
        <t>n/m — the year-ago period includes consolidated goodwill impairment (2Q25 $461.4M; 4Q25 $597.9M; FY25 $1,059.3M), so this bps change is not meaningful. Underlying data unchanged.</t>
      </text>
    </comment>
    <comment ref="D96" authorId="0">
      <text>
        <t>n/m — the year-ago period includes consolidated goodwill impairment (2Q25 $461.4M; 4Q25 $597.9M; FY25 $1,059.3M), so this bps change is not meaningful. Underlying data unchanged.</t>
      </text>
    </comment>
    <comment ref="F96" authorId="0">
      <text>
        <t>n/m — the year-ago period includes consolidated goodwill impairment (2Q25 $461.4M; 4Q25 $597.9M; FY25 $1,059.3M), so this bps change is not meaningful. Underlying data unchanged.</t>
      </text>
    </comment>
    <comment ref="G96" authorId="0">
      <text>
        <t>n/m — the year-ago period includes consolidated goodwill impairment (2Q25 $461.4M; 4Q25 $597.9M; FY25 $1,059.3M), so this bps change is not meaningful. Underlying data unchanged.</t>
      </text>
    </comment>
    <comment ref="B179" authorId="0">
      <text>
        <t>1Q27E assumes Petrifilm duplicate, sample-collection and 3M integration costs, and any discontinued product line write-offs (H149, nil in 1Q27E), sit in cost of revenues (4Q26 adjusted gross profit reconciliation: Discontinued Product line 2.4).</t>
      </text>
    </comment>
    <comment ref="H203" authorId="0">
      <text>
        <t>1Q27E identity (by construction): H199 = H196 + H155 - H114 reduces algebraically to H183 + H190 + H193 because H46 = H173 - H179, H63 = H180 + opex adjustments, H80 = H193 - H120, H148 = -H79 and H189 = H114 + H190. It cannot fail, so it is excluded from Cover!C30.</t>
      </text>
    </comment>
  </commentList>
</comments>
</file>

<file path=xl/comments6.xml><?xml version="1.0" encoding="utf-8"?>
<comments xmlns="http://schemas.openxmlformats.org/spreadsheetml/2006/main">
  <authors>
    <author>Shortcut</author>
  </authors>
  <commentList>
    <comment ref="B10" authorId="0">
      <text>
        <t>1Q27E cash from the Cash Flow Statement.</t>
      </text>
    </comment>
    <comment ref="B13" authorId="0">
      <text>
        <t>Full label: Prepaid expenses and other current assets</t>
      </text>
    </comment>
    <comment ref="B14" authorId="0">
      <text>
        <t>Genomics business classified held for sale from 2Q26; sale to Zoetis expected by end of 1H FY27 — assumed not closed at 2026-08-31.</t>
      </text>
    </comment>
    <comment ref="B35" authorId="0">
      <text>
        <t>1Q27E: $20M term-loan prepayment in late June 2026 (S11) plus debt-issuance-cost amortization.</t>
      </text>
    </comment>
    <comment ref="B42" authorId="0">
      <text>
        <t>1Q27E: FX translation not forecast — AOCI held flat (explicit assumption).</t>
      </text>
    </comment>
    <comment ref="B45" authorId="0">
      <text>
        <t>Full label: Total liabilities and stockholders' equity</t>
      </text>
    </comment>
    <comment ref="B46" authorId="0">
      <text>
        <t>Full label: Check: assets − liabilities − equity (should be 0)</t>
      </text>
    </comment>
  </commentList>
</comments>
</file>

<file path=xl/comments7.xml><?xml version="1.0" encoding="utf-8"?>
<comments xmlns="http://schemas.openxmlformats.org/spreadsheetml/2006/main">
  <authors>
    <author>Shortcut</author>
  </authors>
  <commentList>
    <comment ref="B16" authorId="0">
      <text>
        <t>1Q27E assumption: deferred tax benefit consistent with 2Q26-4Q26 (-$4M to -$9M).</t>
      </text>
    </comment>
    <comment ref="B22" authorId="0">
      <text>
        <t>Full label: Loss on disposal of property and equipment</t>
      </text>
    </comment>
    <comment ref="B25" authorId="0">
      <text>
        <t>1Q27E assumption ~$0.5M per quarter (FY26 $2.0M). | Full label: Amortization of debt issuance costs</t>
      </text>
    </comment>
    <comment ref="B28" authorId="0">
      <text>
        <t>Full label: Loss on refinancing and extinguishment of debt</t>
      </text>
    </comment>
    <comment ref="B31" authorId="0">
      <text>
        <t>Presented only in the FY26 statement (S9/S10); interim statements include it in other lines — shown as nil for 3M/6M/9M, so 4Q26 carries the full-year amount. | Full label: Right of use asset amortization (FY statement only)</t>
      </text>
    </comment>
    <comment ref="B40" authorId="0">
      <text>
        <t>1Q27E working-capital assumptions (Shortcut): AR release on seasonally lower Q1 sales; inventory build modest; liabilities fall on bonus and semi-annual interest payments (accrued interest dropped $7.5M in 1Q26).</t>
      </text>
    </comment>
    <comment ref="B46" authorId="0">
      <text>
        <t>Full label: Change in prepaid expenses and other current assets</t>
      </text>
    </comment>
    <comment ref="B49" authorId="0">
      <text>
        <t>Full label: Change in accounts payable and accrued liabilities</t>
      </text>
    </comment>
    <comment ref="B52" authorId="0">
      <text>
        <t>FY26 statement combines the interest accrual with accounts payable and accrued liabilities; nil shown for 12M, so 4Q26 = −(9M accrual). | Full label: Change in interest expense accrual</t>
      </text>
    </comment>
    <comment ref="B55" authorId="0">
      <text>
        <t>Full label: Change in other non-current assets and liabilities</t>
      </text>
    </comment>
    <comment ref="B58" authorId="0">
      <text>
        <t>Full label: Net cash provided by operating activities</t>
      </text>
    </comment>
    <comment ref="B60" authorId="0">
      <text>
        <t>1Q27E capex assumption $10M (FY26 $51.3M, 4Q26 $4.0M as Petrifilm build-out completed). | Full label: Purchases of property, equipment and intangibles</t>
      </text>
    </comment>
    <comment ref="B63" authorId="0">
      <text>
        <t>Full label: Proceeds from sale of business, net of cash divested</t>
      </text>
    </comment>
    <comment ref="B66" authorId="0">
      <text>
        <t>Full label: Proceeds from sale of PP&amp;E and other</t>
      </text>
    </comment>
    <comment ref="B69" authorId="0">
      <text>
        <t>Full label: Net cash provided by (used for) investing activities</t>
      </text>
    </comment>
    <comment ref="B71" authorId="0">
      <text>
        <t>Full label: Issuance of shares (equity compensation, ESPP)</t>
      </text>
    </comment>
    <comment ref="B74" authorId="0">
      <text>
        <t>Full label: Tax payments related to share-based awards</t>
      </text>
    </comment>
    <comment ref="B77" authorId="0">
      <text>
        <t>$20M term-loan prepayment in late June 2026 (S11).</t>
      </text>
    </comment>
    <comment ref="B80" authorId="0">
      <text>
        <t>Full label: Repayment of finance lease and other</t>
      </text>
    </comment>
    <comment ref="B85" authorId="0">
      <text>
        <t>1Q27E: FX effect on cash not forecast (explicit nil assumption).</t>
      </text>
    </comment>
    <comment ref="B86" authorId="0">
      <text>
        <t>Full label: Net change in cash and cash equivalents</t>
      </text>
    </comment>
    <comment ref="B87" authorId="0">
      <text>
        <t>Opening cash at 2025-05-31 (1Q26 statement).</t>
      </text>
    </comment>
    <comment ref="B90" authorId="0">
      <text>
        <t>3Q26/4Q26/FY26 cash flows are reported in $0.1M; the 9M less 6M derivation leaves a $0.004M rounding residual vs the Balance Sheet, so the tie is tested at reporting precision. | Full label: Check: ending cash − Balance Sheet cash (rounded to $0.1M, reporting precision)</t>
      </text>
    </comment>
    <comment ref="B91" authorId="0">
      <text>
        <t>Full label: Check passes: change in cash ties to Balance Sheet (±0.05 rounding)</t>
      </text>
    </comment>
    <comment ref="B97" authorId="0">
      <text>
        <t>Balance Sheet change; 1Q27E assumption nil.</t>
      </text>
    </comment>
    <comment ref="B100" authorId="0">
      <text>
        <t>Annual incentive payout in Q1 (accrued compensation rose to $26.8M at May-26 from $14.1M a year earlier).</t>
      </text>
    </comment>
    <comment ref="B103" authorId="0">
      <text>
        <t>Semi-annual note interest paid in Q1/Q3 (accrued interest $11.0M at May-26; $3.6M at Aug-25).</t>
      </text>
    </comment>
    <comment ref="B112" authorId="0">
      <text>
        <t>Full label: Loss on disposal of property and equipment (YTD)</t>
      </text>
    </comment>
    <comment ref="B113" authorId="0">
      <text>
        <t>Full label: Amortization of debt issuance costs (YTD)</t>
      </text>
    </comment>
    <comment ref="B114" authorId="0">
      <text>
        <t>Full label: Loss on refinancing and extinguishment of debt (YTD)</t>
      </text>
    </comment>
    <comment ref="B115" authorId="0">
      <text>
        <t>Full label: Right of use asset amortization (FY statement only) (YTD)</t>
      </text>
    </comment>
    <comment ref="B120" authorId="0">
      <text>
        <t>Full label: Change in prepaid expenses and other current assets (YTD)</t>
      </text>
    </comment>
    <comment ref="B121" authorId="0">
      <text>
        <t>Full label: Change in accounts payable and accrued liabilities (YTD)</t>
      </text>
    </comment>
    <comment ref="B122" authorId="0">
      <text>
        <t>Full label: Change in interest expense accrual (YTD)</t>
      </text>
    </comment>
    <comment ref="B123" authorId="0">
      <text>
        <t>Full label: Change in other non-current assets and liabilities (YTD)</t>
      </text>
    </comment>
    <comment ref="B124" authorId="0">
      <text>
        <t>Full label: Purchases of property, equipment and intangibles (YTD)</t>
      </text>
    </comment>
    <comment ref="B125" authorId="0">
      <text>
        <t>Full label: Proceeds from sale of business, net of cash divested (YTD)</t>
      </text>
    </comment>
    <comment ref="B126" authorId="0">
      <text>
        <t>Full label: Proceeds from sale of PP&amp;E and other (YTD)</t>
      </text>
    </comment>
    <comment ref="B127" authorId="0">
      <text>
        <t>Full label: Issuance of shares (equity compensation, ESPP) (YTD)</t>
      </text>
    </comment>
    <comment ref="B128" authorId="0">
      <text>
        <t>Full label: Tax payments related to share-based awards (YTD)</t>
      </text>
    </comment>
    <comment ref="B130" authorId="0">
      <text>
        <t>Full label: Repayment of finance lease and other (YTD)</t>
      </text>
    </comment>
    <comment ref="B132" authorId="0">
      <text>
        <t>Full label: Net cash from operating activities, as reported (YTD)</t>
      </text>
    </comment>
    <comment ref="B133" authorId="0">
      <text>
        <t>Full label: Net cash from investing activities, as reported (YTD)</t>
      </text>
    </comment>
    <comment ref="B134" authorId="0">
      <text>
        <t>Full label: Net cash from financing activities, as reported (YTD)</t>
      </text>
    </comment>
    <comment ref="B135" authorId="0">
      <text>
        <t>Full label: Check: YTD line items sum to reported subtotals</t>
      </text>
    </comment>
    <comment ref="H91" authorId="0">
      <text>
        <t>1Q27E identity: Balance Sheet!H10 links to this sheet's H88. Excluded from Cover!C30; the 1Q27E rollforward is tested by Balance Sheet!H47.</t>
      </text>
    </comment>
    <comment ref="E10" authorId="0">
      <text>
        <t>Rounding-limited: 9M YTD (S7, $0.1M precision) less 6M YTD (S5, $0.001M precision) = −17.014 vs the 3Q26 income statement −17.0. The difference is rounding, not a transaction.</t>
      </text>
    </comment>
    <comment ref="E28" authorId="0">
      <text>
        <t>Rounding-limited: 9M 0.4 (rounded) less 6M 0.393. The difference is rounding, not a transaction.</t>
      </text>
    </comment>
    <comment ref="E34" authorId="0">
      <text>
        <t>Rounding-limited: 9M −76.4 (rounded) less 6M −76.39. 3Q26 had no gain on sale (S7 three-month column blank); kept here so YTD lines tie to reported CFO.</t>
      </text>
    </comment>
    <comment ref="E63" authorId="0">
      <text>
        <t>Rounding-limited: 9M 121.7 (rounded) less 6M 121.724. The difference is rounding, not a transaction.</t>
      </text>
    </comment>
  </commentList>
</comments>
</file>

<file path=xl/comments8.xml><?xml version="1.0" encoding="utf-8"?>
<comments xmlns="http://schemas.openxmlformats.org/spreadsheetml/2006/main">
  <authors>
    <author>Shortcut</author>
  </authors>
  <commentList>
    <comment ref="B19" authorId="0">
      <text>
        <t>Neogen does not disclose FX or divestiture effects by geography; organic growth by geography is unavailable.</t>
      </text>
    </comment>
    <comment ref="B26" authorId="0">
      <text>
        <t>1Q27E international share 51.3% (1Q26 51.2%, FY26 51.2%); slight FX tailwind in EM currencies (S12).</t>
      </text>
    </comment>
    <comment ref="B35" authorId="0">
      <text>
        <t>Tolerance ±0.05 for rounding in the millions-denominated 3Q26/4Q26 tables. | Full label: Check: geographies sum to total revenue</t>
      </text>
    </comment>
    <comment ref="B36" authorId="0">
      <text>
        <t>Full label: Check: FY − Σ quarters within rounding (±0.15)</t>
      </text>
    </comment>
    <comment ref="H10" authorId="0">
      <text>
        <t>1Q27E domestic revenue is an implied plug: total revenue (H34) − international (H21). Assumption, not a disclosed or independently forecast value.</t>
      </text>
    </comment>
    <comment ref="H35" authorId="0">
      <text>
        <t>1Q27E identity: domestic (H10) is total less international, so geographies always equal total. Excluded from Cover!C30.</t>
      </text>
    </comment>
  </commentList>
</comments>
</file>

<file path=xl/comments9.xml><?xml version="1.0" encoding="utf-8"?>
<comments xmlns="http://schemas.openxmlformats.org/spreadsheetml/2006/main">
  <authors>
    <author>Shortcut</author>
  </authors>
  <commentList>
    <comment ref="B14" authorId="0">
      <text>
        <t>Full label: Dilutive securities (options, RSUs) included</t>
      </text>
    </comment>
    <comment ref="B15" authorId="0">
      <text>
        <t>Excluded when GAAP net loss (anti-dilutive), as in 2Q26-4Q26. | Full label: Potential dilution if profitable (1Q27E assumption)</t>
      </text>
    </comment>
    <comment ref="B17" authorId="0">
      <text>
        <t>2Q26 3-month count not disclosed (6M: 3.06M); 4Q26/FY26 count not extracted from the 10-K.</t>
      </text>
    </comment>
    <comment ref="B18" authorId="0">
      <text>
        <t>Adjusted EPS = adjusted net income / diluted weighted shares; in loss quarters the company divides by the basic (= diluted) count (e.g. 4Q26 $18.7M / 217.7M = $0.09). | Full label: Shares used for Adjusted EPS (company practice = GAAP diluted count)</t>
      </text>
    </comment>
    <comment ref="B19" authorId="0">
      <text>
        <t>Full label: Share count behind forecast EPS (1Q27E)</t>
      </text>
    </comment>
    <comment ref="B23" authorId="0">
      <text>
        <t>Full label: Shares outstanding, beginning of period</t>
      </text>
    </comment>
    <comment ref="B24" authorId="0">
      <text>
        <t>Full label: Net shares issued (equity compensation, ESPP)</t>
      </text>
    </comment>
    <comment ref="B25" authorId="0">
      <text>
        <t>No share repurchases in FY26 (no repurchase line in any FY26 cash flow statement); none assumed in 1Q27E given deleveraging priority.</t>
      </text>
    </comment>
    <comment ref="B27" authorId="0">
      <text>
        <t>Full label: Memo: shares outstanding at 2026-06-30 (10-K cover)</t>
      </text>
    </comment>
    <comment ref="B28" authorId="0">
      <text>
        <t>Full label: Average incremental vesting/ESPP in quarter, weighted (assumption)</t>
      </text>
    </comment>
    <comment ref="B29" authorId="0">
      <text>
        <t>Period-end count = 2026-06-30 count + assumed vesting/ESPP issuance in July-August; the weighted average uses about half of that. | Full label: Shares issued Jul-Aug 2026 to period end (assumption)</t>
      </text>
    </comment>
    <comment ref="H10" authorId="0">
      <text>
        <t>Timing assumption: the 2026-06-30 count (H27) is applied to the full quarter (June increase from 217.7 treated as at June 1), plus half of the assumed Jul-Aug issuance (H28). Not time-weighted for June because the vesting date is undisclosed. A time-weighted alternative (≈218.17M) gives $0.0565; rounded EPS is unchanged at $0.06.</t>
      </text>
    </comment>
  </commentList>
</comments>
</file>

<file path=xl/comments10.xml><?xml version="1.0" encoding="utf-8"?>
<comments xmlns="http://schemas.openxmlformats.org/spreadsheetml/2006/main">
  <authors>
    <author>Shortcut</author>
  </authors>
  <commentList>
    <comment ref="B32" authorId="0">
      <text>
        <t>Full label: Less: depreciation &amp; non-acquisition amortization</t>
      </text>
    </comment>
    <comment ref="B36" authorId="0">
      <text>
        <t>Full label: Adjusted net income implied by guidance</t>
      </text>
    </comment>
    <comment ref="B37" authorId="0">
      <text>
        <t>Full label: Adjusted EPS implied by guidance (unrounded)</t>
      </text>
    </comment>
    <comment ref="B9" authorId="0">
      <text>
        <t>Track record: under CEO Nassif (from Aug-2025) every FY26 revenue and adj. EBITDA guide was beaten or raised; implied 4Q26 revenue/EBITDA beaten by ~$10M/$2.8M. CFO: "Our guidance reflects our philosophy of setting targets as we focus on restoring investor credibility" (S11).</t>
      </text>
    </comment>
    <comment ref="C10" authorId="0">
      <text>
        <t>C10:C12 date of FY26 initial guidance (2025-07-30) is unverified: the initial release was not captured, and CapIQ S1 lists the 4Q25 report date as 2025-07-29. The values are corroborated by the 2025-10-09 reaffirmation (S3/S20). Retained as originally modelled; no effect on the forecast.</t>
      </text>
    </comment>
  </commentList>
</comments>
</file>

<file path=xl/comments11.xml><?xml version="1.0" encoding="utf-8"?>
<comments xmlns="http://schemas.openxmlformats.org/spreadsheetml/2006/main">
  <authors>
    <author>Shortcut</author>
  </authors>
  <commentList>
    <comment ref="B9" authorId="0">
      <text>
        <t>Raw rows from NEOG_history.csv (SHA256 9b7e4a76…afd5). Values preserved; no target-quarter actuals present. Normalized EPS = company Adjusted EPS (verified vs releases S3-S9).</t>
      </text>
    </comment>
    <comment ref="B43" authorId="0">
      <text>
        <t>market_cap_usd_m is blank in the CapIQ export; researched value is in section D (S13).</t>
      </text>
    </comment>
    <comment ref="B111" authorId="0">
      <text>
        <t>S13: StockAnalysis.com and TipRanks both $2.65B (Oct 2-4, 2026). | Full label: Market capitalization at cutoff ($ billions; Oct 2, 2026 close $12.15)</t>
      </text>
    </comment>
    <comment ref="B112" authorId="0">
      <text>
        <t>Full label: Size bucket (small $0.3-2B / mid $2-10B / large &gt;$10B)</t>
      </text>
    </comment>
    <comment ref="B113" authorId="0">
      <text>
        <t>Index membership is a separate attribute from size.</t>
      </text>
    </comment>
    <comment ref="B115" authorId="0">
      <text>
        <t>Pragmatic interpolation per playbook, not an empirical estimate.</t>
      </text>
    </comment>
    <comment ref="B118" authorId="0">
      <text>
        <t>Beats: Nov-25, Feb-26, May-26. Aug-25 in line (0.04 vs 0.04) is not a strict beat; Feb-25 and May-25 misses. No row excluded (all on the same normalized basis). | Full label: b = strict normalized beats in six supplied history rows</t>
      </text>
    </comment>
    <comment ref="B120" authorId="0">
      <text>
        <t>Full label: Pseudo-count (fixed regularization weight)</t>
      </text>
    </comment>
    <comment ref="B121" authorId="0">
      <text>
        <t>Full label: Starting probability = (k × prior + b) / (k + n)</t>
      </text>
    </comment>
    <comment ref="B122" authorId="0">
      <text>
        <t>Upside: management beat or raised every FY26 guide; Street revenue sits at guide midpoint; easy 1Q26 comp (core +0.3%); FX tailwind vs plan. Downside: guide-midpoint EBITDA ($37M) implies ~$0.054 adjusted EPS — rounds to $0.05 (in line, not a beat); R&amp;D +50% and Q1 sales meeting; adjusted tax rate volatile (19-29%). A strict beat needs reported EPS &gt;= $0.06. | Full label: Final P(beat consensus EPS) after quarter-specific evidence</t>
      </text>
    </comment>
    <comment ref="B124" authorId="0">
      <text>
        <t>Dollar surprises: -0.02, -0.04, 0.00, +0.03, +0.04, +0.03. Not transferred to the forecast. | Full label: Mean historical normalized surprise, $ per share (six rows)</t>
      </text>
    </comment>
    <comment ref="B125" authorId="0">
      <text>
        <t>Thin coverage (3 normalized contributors) and a knife-edge: the point estimate ($0.0565 unrounded) is only ~$0.0015 above the $0.055 rounding threshold.</t>
      </text>
    </comment>
  </commentList>
</comments>
</file>

<file path=xl/comments12.xml><?xml version="1.0" encoding="utf-8"?>
<comments xmlns="http://schemas.openxmlformats.org/spreadsheetml/2006/main">
  <authors>
    <author>Shortcut</author>
  </authors>
  <commentList>
    <comment ref="F29" authorId="0">
      <text>
        <t>URL is the 2025-10-09 1Q26 release (same document as S3). It states: "The Company is reaffirming its full-year outlook for fiscal year 2026. Revenue is anticipated to be in the range of $820 million to $840 million and Adjusted EBITDA is expected to be in the range of $165 million to $175 million. Capital expenditures are expected to total approximately $50 million." The original 2025-07-30 release URL and the third-party publisher items in E29 were not captured in the cached evidence.</t>
      </text>
    </comment>
    <comment ref="D20" authorId="0">
      <text>
        <t>Cached copy (web_fetch/www_fool_com_..._ec40636f.md) shows call DATE 'Thursday, July 30, 2026'; the URL path is /2026/08/07/ and the fetch metadata shows 'Published: 2026-09-24'. All dates are before the 2026-10-04 22:22 UTC cutoff. Previously listed as 2026-07-30 (the call date).</t>
      </text>
    </comment>
    <comment ref="D29" authorId="0">
      <text>
        <t>Corrected to the date of the cited document. The F29 URL (accession 0001193125-25-235081) is the 2025-10-09 1Q26 release that reaffirms the FY26 guidance ($820-840M revenue, $165-175M adj. EBITDA, ~$50M capex). The original FY26 initial-guidance release was not captured in the cached evidence, so its URL is not available; the previous value 2025-07-30 was the assumed initial-guidance date. CapIQ S1 lists the 4Q25 report date as 2025-07-29. Previous E29 publisher list (RTTNews / William Blair via TipRanks) did not describe the cited URL; only an undated TipRanks/The Fly headline ('Neogen sees FY26 revenue $820M-$840M') is in the cached search results.</t>
      </text>
    </comment>
  </commentList>
</comments>
</file>

<file path=xl/sharedStrings.xml><?xml version="1.0" encoding="utf-8"?>
<sst xmlns="http://schemas.openxmlformats.org/spreadsheetml/2006/main" count="2013" uniqueCount="721">
  <si>
    <t>Company Model — built by Shortcut</t>
  </si>
  <si>
    <t>Neogen Corporation (NasdaqGS: NEOG)</t>
  </si>
  <si>
    <t>$ millions, except per share</t>
  </si>
  <si>
    <t>Forecast period</t>
  </si>
  <si>
    <t>1Q27E</t>
  </si>
  <si>
    <t>Period end</t>
  </si>
  <si>
    <t>Days in period</t>
  </si>
  <si>
    <t>Company</t>
  </si>
  <si>
    <t>Neogen Corporation</t>
  </si>
  <si>
    <t>Ticker</t>
  </si>
  <si>
    <t>NEOG</t>
  </si>
  <si>
    <t>Exchange</t>
  </si>
  <si>
    <t>Nasdaq Global Select (NasdaqGS)</t>
  </si>
  <si>
    <t>Fiscal year end</t>
  </si>
  <si>
    <t>May 31</t>
  </si>
  <si>
    <t>Reporting currency</t>
  </si>
  <si>
    <t>USD</t>
  </si>
  <si>
    <t>EPS basis</t>
  </si>
  <si>
    <t>Adjusted (normalized) diluted EPS — CapIQ normalized = company Adjusted EPS</t>
  </si>
  <si>
    <t>Information cutoff</t>
  </si>
  <si>
    <t>2026-10-04 22:22 UTC</t>
  </si>
  <si>
    <t>Expected report date</t>
  </si>
  <si>
    <t>2026-10-06 (after market close)</t>
  </si>
  <si>
    <t>Market cap / S&amp;P 500</t>
  </si>
  <si>
    <t>Author</t>
  </si>
  <si>
    <t>Shortcut</t>
  </si>
  <si>
    <t>Headline estimates (1Q27E)</t>
  </si>
  <si>
    <t>Shortcut est.</t>
  </si>
  <si>
    <t>Consensus</t>
  </si>
  <si>
    <t>Var. $</t>
  </si>
  <si>
    <t>Var. %</t>
  </si>
  <si>
    <t>Guide mid</t>
  </si>
  <si>
    <t>Est. vs guide</t>
  </si>
  <si>
    <t># est.</t>
  </si>
  <si>
    <t>Revenue ($M)</t>
  </si>
  <si>
    <t>Adj. net income, cons. basis ($M)</t>
  </si>
  <si>
    <t>Adj. diluted EPS, cons. basis ($)</t>
  </si>
  <si>
    <t>Adjusted EBITDA ($M)</t>
  </si>
  <si>
    <t>GAAP net income ($M)</t>
  </si>
  <si>
    <t>not guided</t>
  </si>
  <si>
    <t>n/a</t>
  </si>
  <si>
    <t>GAAP diluted EPS ($)</t>
  </si>
  <si>
    <t>P(beat consensus EPS)</t>
  </si>
  <si>
    <t>Confidence</t>
  </si>
  <si>
    <t>Identity: Cover = statements</t>
  </si>
  <si>
    <t>Model check (excl. identities)</t>
  </si>
  <si>
    <t>Key drivers</t>
  </si>
  <si>
    <t>* G22:H23 = guide-implied model values (Shortcut calculation), not issuer guidance; the company gives no NI/EPS guidance.</t>
  </si>
  <si>
    <t xml:space="preserve">  Method: ~$37M adj. EBITDA guide less model D&amp;A, interest and tax, over model shares (Guidance!B30:G37). G21, G24 = issuer guidance (S9).</t>
  </si>
  <si>
    <t>Revenue summary</t>
  </si>
  <si>
    <t>Period</t>
  </si>
  <si>
    <t>1Q26A</t>
  </si>
  <si>
    <t>2Q26A</t>
  </si>
  <si>
    <t>3Q26A</t>
  </si>
  <si>
    <t>4Q26A</t>
  </si>
  <si>
    <t>FY26A</t>
  </si>
  <si>
    <t>Src</t>
  </si>
  <si>
    <t>Revenue by segment</t>
  </si>
  <si>
    <t>Food Safety revenue</t>
  </si>
  <si>
    <t xml:space="preserve">  Year-ago period revenue</t>
  </si>
  <si>
    <t xml:space="preserve">  % Y/Y</t>
  </si>
  <si>
    <t xml:space="preserve">  $ Q/Q change</t>
  </si>
  <si>
    <t xml:space="preserve">  % Q/Q</t>
  </si>
  <si>
    <t xml:space="preserve">  % of total revenue</t>
  </si>
  <si>
    <t xml:space="preserve">  Mix change, bps Y/Y</t>
  </si>
  <si>
    <t xml:space="preserve">  FX impact %</t>
  </si>
  <si>
    <t xml:space="preserve">  M&amp;A / divestiture impact %</t>
  </si>
  <si>
    <t xml:space="preserve">  Organic growth %</t>
  </si>
  <si>
    <t xml:space="preserve">  Core growth % (company definition)</t>
  </si>
  <si>
    <t>Animal Safety revenue</t>
  </si>
  <si>
    <t>Total company</t>
  </si>
  <si>
    <t>Total revenue</t>
  </si>
  <si>
    <t>S3,S5,S7,S9</t>
  </si>
  <si>
    <t xml:space="preserve">  Core growth % (company basis)</t>
  </si>
  <si>
    <t>Check: segments = IS total revenue</t>
  </si>
  <si>
    <t>Guidance cross-check (1Q27)</t>
  </si>
  <si>
    <t>Company guidance — low</t>
  </si>
  <si>
    <t>Company guidance — high</t>
  </si>
  <si>
    <t>Company guidance — midpoint</t>
  </si>
  <si>
    <t xml:space="preserve">  Estimate vs guidance mid, %</t>
  </si>
  <si>
    <t>Geography: Neogen discloses domestic (U.S.) vs international revenue — see the Geo tab.</t>
  </si>
  <si>
    <t>Segment - Food Safety</t>
  </si>
  <si>
    <t>Food Safety revenue build by product category (driver ladder)</t>
  </si>
  <si>
    <t>Neogen does not disclose units, customers, price or volume. Ladder per line: year-ago revenue → less divested → comparable base → + core growth $ → + FX $ → revenue.</t>
  </si>
  <si>
    <t>“unavailable” = not disclosed by the company at this level; no zero is assumed.</t>
  </si>
  <si>
    <t>Natural Toxins &amp; Allergens</t>
  </si>
  <si>
    <t>S4,S6,S7,S9</t>
  </si>
  <si>
    <t xml:space="preserve">  Year-ago period revenue (opening)</t>
  </si>
  <si>
    <t xml:space="preserve">  Less: divested in year-ago</t>
  </si>
  <si>
    <t>unavailable</t>
  </si>
  <si>
    <t xml:space="preserve">  Comparable base</t>
  </si>
  <si>
    <t xml:space="preserve">  + Core (organic) growth, $</t>
  </si>
  <si>
    <t xml:space="preserve">  + FX translation, $</t>
  </si>
  <si>
    <t xml:space="preserve">  Core growth % (driver)</t>
  </si>
  <si>
    <t xml:space="preserve">  FX impact % (driver)</t>
  </si>
  <si>
    <t xml:space="preserve">  Total % Y/Y</t>
  </si>
  <si>
    <t xml:space="preserve">  % of segment revenue</t>
  </si>
  <si>
    <t>Bacterial &amp; General Sanitation</t>
  </si>
  <si>
    <t>Indicator Testing &amp; Culture Media</t>
  </si>
  <si>
    <t>Rodent, Insect Control &amp; Disinfectants</t>
  </si>
  <si>
    <t>Genomics Services</t>
  </si>
  <si>
    <t>Other</t>
  </si>
  <si>
    <t>Food Safety segment total</t>
  </si>
  <si>
    <t>Food Safety revenue (sum)</t>
  </si>
  <si>
    <t xml:space="preserve">  Food Safety revenue, as reported</t>
  </si>
  <si>
    <t xml:space="preserve">  Check: categories − reported</t>
  </si>
  <si>
    <t xml:space="preserve">  Check passes (TRUE/FALSE)</t>
  </si>
  <si>
    <t xml:space="preserve">  Check: FY = Σ quarters (±0.15)</t>
  </si>
  <si>
    <t xml:space="preserve">  Year-ago segment revenue</t>
  </si>
  <si>
    <t xml:space="preserve">  FX impact % (disclosed / assumed)</t>
  </si>
  <si>
    <t>S3,S5,S7,S9,S12</t>
  </si>
  <si>
    <t xml:space="preserve">  Divestiture impact % (disclosed)</t>
  </si>
  <si>
    <t xml:space="preserve">  FX impact, $ (= % × year-ago)</t>
  </si>
  <si>
    <t xml:space="preserve">  Divestiture impact, $</t>
  </si>
  <si>
    <t xml:space="preserve">  Core growth, $ (residual)</t>
  </si>
  <si>
    <t xml:space="preserve">  % of total company revenue</t>
  </si>
  <si>
    <t>Food Safety segment operating income (CODM measure)</t>
  </si>
  <si>
    <t>Food Safety operating income</t>
  </si>
  <si>
    <t>S4,S6,S8,S10</t>
  </si>
  <si>
    <t xml:space="preserve">  Segment operating margin %</t>
  </si>
  <si>
    <t xml:space="preserve">  Year-ago segment operating income</t>
  </si>
  <si>
    <t xml:space="preserve">  Margin change, bps Y/Y</t>
  </si>
  <si>
    <t>Memo: inputs used for derivations (as reported)</t>
  </si>
  <si>
    <t>6M FY26 Indicator &amp; Culture Media</t>
  </si>
  <si>
    <t>S6</t>
  </si>
  <si>
    <t>6M FY26 Other (Q2 10-Q)</t>
  </si>
  <si>
    <t>6M FY25 Indicator &amp; Culture Media</t>
  </si>
  <si>
    <t>6M FY25 Other (Q2 10-Q)</t>
  </si>
  <si>
    <t>9M FY25 segment op. income (10-Q)</t>
  </si>
  <si>
    <t>S8</t>
  </si>
  <si>
    <t>Segment - Animal Safety</t>
  </si>
  <si>
    <t>Animal Safety revenue build by product category (driver ladder)</t>
  </si>
  <si>
    <t>Life Sciences</t>
  </si>
  <si>
    <t>Veterinary Instruments &amp; Disposables</t>
  </si>
  <si>
    <t>Animal Care &amp; Other</t>
  </si>
  <si>
    <t>Animal Safety segment total</t>
  </si>
  <si>
    <t>Animal Safety revenue (sum)</t>
  </si>
  <si>
    <t xml:space="preserve">  Animal Safety revenue, as reported</t>
  </si>
  <si>
    <t>Animal Safety segment operating income (CODM measure)</t>
  </si>
  <si>
    <t>Animal Safety operating income</t>
  </si>
  <si>
    <t>2Q26 Animal Care (Q2 10-Q)</t>
  </si>
  <si>
    <t>2Q26 AS Other, unlabeled (10-Q)</t>
  </si>
  <si>
    <t>2Q25 Animal Care (Q2 10-Q)</t>
  </si>
  <si>
    <t>2Q25 AS Other, unlabeled (10-Q)</t>
  </si>
  <si>
    <t>Income Statement</t>
  </si>
  <si>
    <t>Revenue</t>
  </si>
  <si>
    <t>Product revenues</t>
  </si>
  <si>
    <t>Service revenues</t>
  </si>
  <si>
    <t>Total revenues</t>
  </si>
  <si>
    <t xml:space="preserve">  Check: FY revenue = Σ quarters</t>
  </si>
  <si>
    <t xml:space="preserve">  Service revenue % of total</t>
  </si>
  <si>
    <t xml:space="preserve">  Service mix change, bps Y/Y</t>
  </si>
  <si>
    <t xml:space="preserve">  Service mix change, bps Q/Q</t>
  </si>
  <si>
    <t>Cost of revenues and gross profit</t>
  </si>
  <si>
    <t>Cost of product revenues</t>
  </si>
  <si>
    <t>Cost of service revenues</t>
  </si>
  <si>
    <t>Total cost of revenues</t>
  </si>
  <si>
    <t xml:space="preserve">  Service cost ratio %</t>
  </si>
  <si>
    <t xml:space="preserve">  Service cost ratio change, bps Y/Y</t>
  </si>
  <si>
    <t xml:space="preserve">  Service cost ratio change, bps Q/Q</t>
  </si>
  <si>
    <t>Gross profit</t>
  </si>
  <si>
    <t xml:space="preserve">  Gross margin %</t>
  </si>
  <si>
    <t xml:space="preserve">  Gross margin change, bps Y/Y</t>
  </si>
  <si>
    <t>Operating expenses</t>
  </si>
  <si>
    <t>Sales and marketing</t>
  </si>
  <si>
    <t>General and administrative</t>
  </si>
  <si>
    <t>Goodwill impairment</t>
  </si>
  <si>
    <t>Research and development</t>
  </si>
  <si>
    <t>Total operating expenses</t>
  </si>
  <si>
    <t xml:space="preserve">  Opex % of revenue</t>
  </si>
  <si>
    <t xml:space="preserve">  Opex ratio change, bps Y/Y</t>
  </si>
  <si>
    <t xml:space="preserve">  R&amp;D % of revenue</t>
  </si>
  <si>
    <t xml:space="preserve">  R&amp;D ratio change, bps Y/Y</t>
  </si>
  <si>
    <t xml:space="preserve">  R&amp;D ratio change, bps Q/Q</t>
  </si>
  <si>
    <t>Operating income (loss)</t>
  </si>
  <si>
    <t xml:space="preserve">  $ change Y/Y</t>
  </si>
  <si>
    <t xml:space="preserve">  Operating margin %</t>
  </si>
  <si>
    <t xml:space="preserve">  Operating margin change, bps Y/Y</t>
  </si>
  <si>
    <t>Non-operating items, tax and net income</t>
  </si>
  <si>
    <t>Interest expense, net</t>
  </si>
  <si>
    <t>Gain on sale of business</t>
  </si>
  <si>
    <t>S3,S7,S9</t>
  </si>
  <si>
    <t>Other, net</t>
  </si>
  <si>
    <t>Total other income (expense)</t>
  </si>
  <si>
    <t>Income (loss) before taxes</t>
  </si>
  <si>
    <t>Income tax expense (benefit)</t>
  </si>
  <si>
    <t xml:space="preserve">  Effective tax rate %</t>
  </si>
  <si>
    <t xml:space="preserve">  Effective tax rate change, bps Y/Y</t>
  </si>
  <si>
    <t>Net income (loss) — GAAP</t>
  </si>
  <si>
    <t xml:space="preserve">  Net margin %</t>
  </si>
  <si>
    <t xml:space="preserve">  Net margin change, bps Y/Y</t>
  </si>
  <si>
    <t xml:space="preserve">  Check: FY net income = Σ quarters</t>
  </si>
  <si>
    <t>Per share — GAAP</t>
  </si>
  <si>
    <t>Weighted average shares — basic (m)</t>
  </si>
  <si>
    <t>Weighted average shares — diluted (m)</t>
  </si>
  <si>
    <t>GAAP diluted EPS (NI / diluted sh.)</t>
  </si>
  <si>
    <t>GAAP basic EPS (NI / basic sh.)</t>
  </si>
  <si>
    <t>GAAP diluted EPS, as-reported basis</t>
  </si>
  <si>
    <t xml:space="preserve">  GAAP diluted EPS, as reported</t>
  </si>
  <si>
    <t xml:space="preserve">  GAAP basic EPS, as reported</t>
  </si>
  <si>
    <t xml:space="preserve">  Check: ROUND(NI/sh.,2) = reported</t>
  </si>
  <si>
    <t>GAAP to non-GAAP bridge (net income → Adjusted net income)</t>
  </si>
  <si>
    <t>FY26A bridge items = Σ of reported quarters (FY release folded ERP into transformation; total is unchanged).</t>
  </si>
  <si>
    <t>+ Amort. of acquired intangibles</t>
  </si>
  <si>
    <t xml:space="preserve">  $ change Y/Y (1Q27E vs 1Q26A)</t>
  </si>
  <si>
    <t>+ Share-based compensation</t>
  </si>
  <si>
    <t>+ FX loss (gain) on interco. loans</t>
  </si>
  <si>
    <t>+ Transaction costs</t>
  </si>
  <si>
    <t>+ 3M integration costs</t>
  </si>
  <si>
    <t>+ Sample collection transition</t>
  </si>
  <si>
    <t>+ Petrifilm duplicate mfg. costs</t>
  </si>
  <si>
    <t>+ Transformation initiatives</t>
  </si>
  <si>
    <t>+ Restructuring</t>
  </si>
  <si>
    <t>+ Goodwill impairment</t>
  </si>
  <si>
    <t>+ Contingent consideration adjustments</t>
  </si>
  <si>
    <t>+ ERP expense</t>
  </si>
  <si>
    <t>+ Gain on sale of business</t>
  </si>
  <si>
    <t>+ Discontinued product line</t>
  </si>
  <si>
    <t>+ Other (litigation, legal, recall)</t>
  </si>
  <si>
    <t>Pre-tax non-GAAP adjustments</t>
  </si>
  <si>
    <t>+ Estimated tax effect of adjustments</t>
  </si>
  <si>
    <t>Adjusted net income (consensus basis)</t>
  </si>
  <si>
    <t xml:space="preserve">  Adjusted net income, as reported</t>
  </si>
  <si>
    <t xml:space="preserve">  Check: bridge = reported (±0.15)</t>
  </si>
  <si>
    <t>Shares used for Adjusted EPS (m)</t>
  </si>
  <si>
    <t>Adjusted EPS (unrounded)</t>
  </si>
  <si>
    <t>Adj. diluted EPS (consensus basis)</t>
  </si>
  <si>
    <t xml:space="preserve">  Adjusted EPS, as reported</t>
  </si>
  <si>
    <t xml:space="preserve">  Check: ROUND(adj NI/sh.,2) = rep.</t>
  </si>
  <si>
    <t xml:space="preserve">  CapIQ normalized EPS consensus</t>
  </si>
  <si>
    <t xml:space="preserve">  Estimate − consensus, $</t>
  </si>
  <si>
    <t>Adjusted profitability drivers</t>
  </si>
  <si>
    <t>Adjusted gross profit</t>
  </si>
  <si>
    <t>S7,S9</t>
  </si>
  <si>
    <t xml:space="preserve">  Adjusted gross margin % (driver)</t>
  </si>
  <si>
    <t xml:space="preserve">  Adj. gross margin chg, bps Y/Y</t>
  </si>
  <si>
    <t xml:space="preserve">  Adj. gross margin chg, bps Q/Q</t>
  </si>
  <si>
    <t>Non-GAAP items in cost of revenues</t>
  </si>
  <si>
    <t>Adjusted operating expenses (driver)</t>
  </si>
  <si>
    <t>S9</t>
  </si>
  <si>
    <t>Adjusted operating income</t>
  </si>
  <si>
    <t xml:space="preserve">  Adjusted operating margin %</t>
  </si>
  <si>
    <t xml:space="preserve">  Adj. op. margin chg, bps Y/Y</t>
  </si>
  <si>
    <t xml:space="preserve">  Adj. op. margin chg, bps Q/Q</t>
  </si>
  <si>
    <t>Depreciation and amortization (total)</t>
  </si>
  <si>
    <t xml:space="preserve">  Dep. &amp; non-acq. amort. (driver)</t>
  </si>
  <si>
    <t>Other, net ex FX reval. (driver)</t>
  </si>
  <si>
    <t>EBITDA (NI + tax + D&amp;A + interest)</t>
  </si>
  <si>
    <t>Adjusted EBITDA</t>
  </si>
  <si>
    <t xml:space="preserve">  Adjusted EBITDA, as reported</t>
  </si>
  <si>
    <t xml:space="preserve">  Adj. EBITDA, driver build</t>
  </si>
  <si>
    <t xml:space="preserve">  Identity: bridge = driver build (1Q27E)</t>
  </si>
  <si>
    <t xml:space="preserve">  Adjusted EBITDA margin %</t>
  </si>
  <si>
    <t xml:space="preserve">  Adj. EBITDA margin chg, bps Y/Y</t>
  </si>
  <si>
    <t>Adjusted pre-tax income</t>
  </si>
  <si>
    <t>Adjusted income tax</t>
  </si>
  <si>
    <t xml:space="preserve">  Adjusted tax rate % (driver)</t>
  </si>
  <si>
    <t xml:space="preserve">  Adjusted tax rate change, bps Y/Y</t>
  </si>
  <si>
    <t xml:space="preserve">  Adjusted tax rate change, bps Q/Q</t>
  </si>
  <si>
    <t xml:space="preserve">  Tax rate on adjustments % (driver)</t>
  </si>
  <si>
    <t xml:space="preserve">  Rate change, bps Y/Y</t>
  </si>
  <si>
    <t xml:space="preserve">  Rate change, bps Q/Q</t>
  </si>
  <si>
    <t>Adj. NI (adj. pre-tax − adj. tax)</t>
  </si>
  <si>
    <t xml:space="preserve">  Identity: equals bridge</t>
  </si>
  <si>
    <t>Segment operating income reconciliation</t>
  </si>
  <si>
    <t>Corporate &amp; eliminations</t>
  </si>
  <si>
    <t>Operating income (sum of segments)</t>
  </si>
  <si>
    <t xml:space="preserve">  Check: = consolidated op. income</t>
  </si>
  <si>
    <t>Year-ago comparatives (as reported; 1Q27E links to 1Q26A)</t>
  </si>
  <si>
    <t>FX loss (gain) on interco. loans</t>
  </si>
  <si>
    <t>Depreciation and amortization</t>
  </si>
  <si>
    <t>Amort. of acquired intangibles</t>
  </si>
  <si>
    <t>Tax effect of non-GAAP adjustments</t>
  </si>
  <si>
    <t>Net income (loss)</t>
  </si>
  <si>
    <t>Adjusted net income</t>
  </si>
  <si>
    <t>Adjusted EPS</t>
  </si>
  <si>
    <t>GAAP diluted EPS</t>
  </si>
  <si>
    <t>Balance Sheet</t>
  </si>
  <si>
    <t>Assets</t>
  </si>
  <si>
    <t>Cash and cash equivalents</t>
  </si>
  <si>
    <t>Accounts receivable, net</t>
  </si>
  <si>
    <t>Inventories, net</t>
  </si>
  <si>
    <t>Prepaid &amp; other current assets</t>
  </si>
  <si>
    <t>Assets held for sale</t>
  </si>
  <si>
    <t>Total current assets</t>
  </si>
  <si>
    <t>Property and equipment, net</t>
  </si>
  <si>
    <t>Right of use assets</t>
  </si>
  <si>
    <t>Goodwill</t>
  </si>
  <si>
    <t>Amortizable intangible assets, net</t>
  </si>
  <si>
    <t>Other non-current assets</t>
  </si>
  <si>
    <t>Total assets</t>
  </si>
  <si>
    <t xml:space="preserve">  Total assets, as reported</t>
  </si>
  <si>
    <t>Liabilities</t>
  </si>
  <si>
    <t>Current portion of debt</t>
  </si>
  <si>
    <t>Accounts payable</t>
  </si>
  <si>
    <t>Accrued compensation</t>
  </si>
  <si>
    <t>Income tax payable</t>
  </si>
  <si>
    <t>Accrued interest</t>
  </si>
  <si>
    <t>Deferred revenue</t>
  </si>
  <si>
    <t>Other current liabilities</t>
  </si>
  <si>
    <t>Liabilities held for sale</t>
  </si>
  <si>
    <t>Total current liabilities</t>
  </si>
  <si>
    <t>Deferred income tax liability</t>
  </si>
  <si>
    <t>Non-current debt</t>
  </si>
  <si>
    <t>Other non-current liabilities</t>
  </si>
  <si>
    <t>Total liabilities</t>
  </si>
  <si>
    <t>Stockholders' equity</t>
  </si>
  <si>
    <t>Common stock</t>
  </si>
  <si>
    <t>Additional paid-in capital</t>
  </si>
  <si>
    <t>Accumulated other comprehensive loss</t>
  </si>
  <si>
    <t>Accumulated deficit</t>
  </si>
  <si>
    <t>Total stockholders' equity</t>
  </si>
  <si>
    <t>Total liabilities &amp; equity</t>
  </si>
  <si>
    <t>Check: assets − liab. − equity</t>
  </si>
  <si>
    <t xml:space="preserve">  Check: total assets = reported</t>
  </si>
  <si>
    <t>Leverage</t>
  </si>
  <si>
    <t>Total debt (carrying value)</t>
  </si>
  <si>
    <t>Net debt</t>
  </si>
  <si>
    <t>LTM adjusted EBITDA</t>
  </si>
  <si>
    <t>Net debt / LTM adjusted EBITDA</t>
  </si>
  <si>
    <t xml:space="preserve">  Change vs prior quarter (x)</t>
  </si>
  <si>
    <t>Memo: balances at 2025-05-31 (prior fiscal year end, as reported in 1Q26 comparative)</t>
  </si>
  <si>
    <t>Accounts payable at 2025-05-31</t>
  </si>
  <si>
    <t>S3</t>
  </si>
  <si>
    <t>Accrued compensation at 2025-05-31</t>
  </si>
  <si>
    <t>Accrued interest at 2025-05-31</t>
  </si>
  <si>
    <t>Cash Flow Statement</t>
  </si>
  <si>
    <t>Quarterly cash flow (1Q26 as reported; 2Q-4Q = year-to-date less prior year-to-date; FY = 12M as reported)</t>
  </si>
  <si>
    <t>Deferred income taxes</t>
  </si>
  <si>
    <t>Share-based compensation</t>
  </si>
  <si>
    <t>Loss on disposal of PP&amp;E</t>
  </si>
  <si>
    <t>Amort. of debt issuance costs</t>
  </si>
  <si>
    <t>Loss on debt extinguishment</t>
  </si>
  <si>
    <t>ROU asset amortization (FY only)</t>
  </si>
  <si>
    <t>Other non-cash items</t>
  </si>
  <si>
    <t>Change in accounts receivable</t>
  </si>
  <si>
    <t>Change in inventories</t>
  </si>
  <si>
    <t>Change in prepaid &amp; other current</t>
  </si>
  <si>
    <t>Change in AP &amp; accrued liabilities</t>
  </si>
  <si>
    <t>Change in interest accrual</t>
  </si>
  <si>
    <t>Change in other non-current items</t>
  </si>
  <si>
    <t>Cash from operating activities</t>
  </si>
  <si>
    <t>Capex (PP&amp;E and intangibles)</t>
  </si>
  <si>
    <t>Proceeds from sale of business</t>
  </si>
  <si>
    <t>Proceeds from sale of PP&amp;E, other</t>
  </si>
  <si>
    <t>Cash from investing activities</t>
  </si>
  <si>
    <t>Share issuance (equity comp, ESPP)</t>
  </si>
  <si>
    <t>Tax paid on share-based awards</t>
  </si>
  <si>
    <t>Repayment of debt</t>
  </si>
  <si>
    <t>Finance lease repayment &amp; other</t>
  </si>
  <si>
    <t>Net cash used for financing activities</t>
  </si>
  <si>
    <t>Effect of exchange rates on cash</t>
  </si>
  <si>
    <t>Net change in cash</t>
  </si>
  <si>
    <t>Cash at beginning of period</t>
  </si>
  <si>
    <t>Cash at end of period</t>
  </si>
  <si>
    <t xml:space="preserve">  Balance Sheet cash</t>
  </si>
  <si>
    <t>Check: end cash − BS cash ($0.1M)</t>
  </si>
  <si>
    <t xml:space="preserve">  Check: cash ties to BS (±0.05)</t>
  </si>
  <si>
    <t>Free cash flow (CFO + capex)</t>
  </si>
  <si>
    <t xml:space="preserve">  Free cash flow, as reported</t>
  </si>
  <si>
    <t xml:space="preserve">  Check: = reported (±0.1)</t>
  </si>
  <si>
    <t>1Q27E liability working-capital assumptions (feed Balance Sheet)</t>
  </si>
  <si>
    <t>Change in accounts payable</t>
  </si>
  <si>
    <t>Change in accrued compensation</t>
  </si>
  <si>
    <t>Change in accrued interest</t>
  </si>
  <si>
    <t>Memo: as-reported year-to-date cash flows (C = 3M, D = 6M, E = 9M, F = 12M)</t>
  </si>
  <si>
    <t>Net income (loss) YTD</t>
  </si>
  <si>
    <t>Depreciation and amortization YTD</t>
  </si>
  <si>
    <t>Deferred income taxes YTD</t>
  </si>
  <si>
    <t>Share-based compensation YTD</t>
  </si>
  <si>
    <t>Loss on disposal of PP&amp;E YTD</t>
  </si>
  <si>
    <t>Amort. of debt issuance costs YTD</t>
  </si>
  <si>
    <t>Loss on debt extinguishment YTD</t>
  </si>
  <si>
    <t>ROU asset amortization (FY only) YTD</t>
  </si>
  <si>
    <t>Gain on sale of business YTD</t>
  </si>
  <si>
    <t>Other non-cash items YTD</t>
  </si>
  <si>
    <t>Change in accounts receivable YTD</t>
  </si>
  <si>
    <t>Change in inventories YTD</t>
  </si>
  <si>
    <t>Change in prepaid &amp; other current YTD</t>
  </si>
  <si>
    <t>Change in AP &amp; accrued liabilities YTD</t>
  </si>
  <si>
    <t>Change in interest accrual YTD</t>
  </si>
  <si>
    <t>Change in other non-current items YTD</t>
  </si>
  <si>
    <t>Capex (PP&amp;E and intangibles) YTD</t>
  </si>
  <si>
    <t>Proceeds from sale of business YTD</t>
  </si>
  <si>
    <t>Proceeds from sale of PP&amp;E, other YTD</t>
  </si>
  <si>
    <t>Share issuance (equity comp, ESPP) YTD</t>
  </si>
  <si>
    <t>Tax paid on share-based awards YTD</t>
  </si>
  <si>
    <t>Repayment of debt YTD</t>
  </si>
  <si>
    <t>Finance lease repayment &amp; other YTD</t>
  </si>
  <si>
    <t>Effect of exchange rates on cash YTD</t>
  </si>
  <si>
    <t>CFO as reported YTD</t>
  </si>
  <si>
    <t>CFI as reported YTD</t>
  </si>
  <si>
    <t>CFF as reported YTD</t>
  </si>
  <si>
    <t>Check: YTD lines = reported subtotals</t>
  </si>
  <si>
    <t>Geo — revenue by geography</t>
  </si>
  <si>
    <t>Revenue by geography (company-disclosed: domestic = United States)</t>
  </si>
  <si>
    <t>Domestic revenue</t>
  </si>
  <si>
    <t>S4,S6,S8,S9</t>
  </si>
  <si>
    <t>International revenue</t>
  </si>
  <si>
    <t xml:space="preserve">  % of total revenue (1Q27E driver)</t>
  </si>
  <si>
    <t>Total revenue (sum of geographies)</t>
  </si>
  <si>
    <t xml:space="preserve">  Total revenue per Revenue summary</t>
  </si>
  <si>
    <t>Check: geographies = total revenue</t>
  </si>
  <si>
    <t>Share Count</t>
  </si>
  <si>
    <t>Shares in millions; $ in millions</t>
  </si>
  <si>
    <t>Weighted average shares (millions)</t>
  </si>
  <si>
    <t>Weighted average shares — basic</t>
  </si>
  <si>
    <t xml:space="preserve">  Year-ago basic shares</t>
  </si>
  <si>
    <t xml:space="preserve">  Change Q/Q (m)</t>
  </si>
  <si>
    <t>Dilutive options/RSUs included</t>
  </si>
  <si>
    <t xml:space="preserve">  Potential dilution if profitable</t>
  </si>
  <si>
    <t>Weighted average shares — diluted</t>
  </si>
  <si>
    <t>Anti-dilutive options/RSUs excluded</t>
  </si>
  <si>
    <t>S4,S8</t>
  </si>
  <si>
    <t>Shares used for Adjusted EPS</t>
  </si>
  <si>
    <t>Share count behind 1Q27E EPS</t>
  </si>
  <si>
    <t>Shares outstanding and capital returns</t>
  </si>
  <si>
    <t>Shares outstanding, end of period</t>
  </si>
  <si>
    <t xml:space="preserve">  Shares outstanding, beginning</t>
  </si>
  <si>
    <t xml:space="preserve">  Net shares issued (equity comp)</t>
  </si>
  <si>
    <t xml:space="preserve">  Shares repurchased</t>
  </si>
  <si>
    <t xml:space="preserve">  Share repurchases, $</t>
  </si>
  <si>
    <t>Memo: shares out. 2026-06-30</t>
  </si>
  <si>
    <t>S10</t>
  </si>
  <si>
    <t xml:space="preserve">  Avg. incremental shares (weighted)</t>
  </si>
  <si>
    <t xml:space="preserve">  Shares issued Jul-Aug 2026</t>
  </si>
  <si>
    <t>Guidance</t>
  </si>
  <si>
    <t>Metric</t>
  </si>
  <si>
    <t>Date given</t>
  </si>
  <si>
    <t>Low</t>
  </si>
  <si>
    <t>High</t>
  </si>
  <si>
    <t>Midpoint</t>
  </si>
  <si>
    <t>Actual</t>
  </si>
  <si>
    <t>Beat / miss</t>
  </si>
  <si>
    <t>FY26</t>
  </si>
  <si>
    <t>S20</t>
  </si>
  <si>
    <t>Capital expenditures</t>
  </si>
  <si>
    <t>Revenue (reaffirmed)</t>
  </si>
  <si>
    <t>Adjusted EBITDA (reaffirmed)</t>
  </si>
  <si>
    <t>Revenue (raised)</t>
  </si>
  <si>
    <t>S5</t>
  </si>
  <si>
    <t>Adjusted EBITDA (raised)</t>
  </si>
  <si>
    <t>S7</t>
  </si>
  <si>
    <t>Adjusted EBITDA (maintained)</t>
  </si>
  <si>
    <t>Revenue = FY guide − 9M actual</t>
  </si>
  <si>
    <t>4Q26 impl.</t>
  </si>
  <si>
    <t>Adj. EBITDA = FY guide − 9M actual</t>
  </si>
  <si>
    <t>FY27</t>
  </si>
  <si>
    <t>pending</t>
  </si>
  <si>
    <t>Genomics revenue included in guide</t>
  </si>
  <si>
    <t>Genomics adj. EBITDA included in guide</t>
  </si>
  <si>
    <t>Core growth % (approx.)</t>
  </si>
  <si>
    <t>FX impact on revenue % (approx.)</t>
  </si>
  <si>
    <t>1Q27</t>
  </si>
  <si>
    <t>Adjusted EBITDA (approx.)</t>
  </si>
  <si>
    <t>Guidance-implied 1Q27 adjusted EPS (Shortcut calculation using model D&amp;A, interest, tax and shares)</t>
  </si>
  <si>
    <t>Adjusted EBITDA — guidance midpoint</t>
  </si>
  <si>
    <t>Less: dep. &amp; non-acq. amortization</t>
  </si>
  <si>
    <t>Less: net interest expense</t>
  </si>
  <si>
    <t>Adjusted pre-tax income implied</t>
  </si>
  <si>
    <t>Less: adjusted tax at model rate</t>
  </si>
  <si>
    <t>Guidance-implied adj. net income</t>
  </si>
  <si>
    <t>Guidance-implied adj. EPS</t>
  </si>
  <si>
    <t>Shortcut 1Q27E adjusted EBITDA</t>
  </si>
  <si>
    <t>Shortcut 1Q27E revenue</t>
  </si>
  <si>
    <t>Sources</t>
  </si>
  <si>
    <t>Title / description</t>
  </si>
  <si>
    <t>ID</t>
  </si>
  <si>
    <t>Published</t>
  </si>
  <si>
    <t>Publisher</t>
  </si>
  <si>
    <t>URL or file</t>
  </si>
  <si>
    <t>Feeds</t>
  </si>
  <si>
    <t>NEOG_history.csv — six quarters of normalized/GAAP EPS and revenue consensus vs actual</t>
  </si>
  <si>
    <t>S1</t>
  </si>
  <si>
    <t>2026-10-04</t>
  </si>
  <si>
    <t>S&amp;P Capital IQ (supplied file)</t>
  </si>
  <si>
    <t>workspace/NEOG_history.csv</t>
  </si>
  <si>
    <t>Inputs history; beat-rate prior; Cover history check</t>
  </si>
  <si>
    <t>NEOG_consensus.json — frozen 1Q27 consensus (EPS 0.05, revenue 208.18)</t>
  </si>
  <si>
    <t>S2</t>
  </si>
  <si>
    <t>workspace/NEOG_consensus.json</t>
  </si>
  <si>
    <t>Cover consensus columns; Inputs summary row</t>
  </si>
  <si>
    <t>Neogen Announces First-Quarter 2026 Results</t>
  </si>
  <si>
    <t>2025-10-09</t>
  </si>
  <si>
    <t>Neogen / SEC (8-K EX-99.1)</t>
  </si>
  <si>
    <t>https://www.sec.gov/Archives/edgar/data/711377/000119312525235081/neog-ex99_1.htm</t>
  </si>
  <si>
    <t>1Q26 IS, BS, CF, non-GAAP bridge, core growth</t>
  </si>
  <si>
    <t>10-Q for quarter ended 2025-08-31</t>
  </si>
  <si>
    <t>S4</t>
  </si>
  <si>
    <t>Neogen / SEC (10-Q)</t>
  </si>
  <si>
    <t>https://www.sec.gov/Archives/edgar/data/711377/000119312525235720/neog-20250831.htm</t>
  </si>
  <si>
    <t>1Q26 product lines, geography, segment OI, shares</t>
  </si>
  <si>
    <t>Neogen Announces Second-Quarter 2026 Results</t>
  </si>
  <si>
    <t>2026-01-08</t>
  </si>
  <si>
    <t>https://www.sec.gov/Archives/edgar/data/711377/000119312526006990/neog-ex99_1.htm</t>
  </si>
  <si>
    <t>2Q26 IS, BS, 6M CF, non-GAAP bridge, guidance raise</t>
  </si>
  <si>
    <t>10-Q for quarter ended 2025-11-30</t>
  </si>
  <si>
    <t>https://www.sec.gov/Archives/edgar/data/711377/000119312526007682/neog-20251130.htm</t>
  </si>
  <si>
    <t>2Q26 product lines (3M and 6M), geography, segment OI, product/service split</t>
  </si>
  <si>
    <t>Neogen Reports Third Quarter Fiscal Year 2026 Financial Results</t>
  </si>
  <si>
    <t>2026-04-09</t>
  </si>
  <si>
    <t>https://www.sec.gov/Archives/edgar/data/711377/000119312526148851/neog-ex99_1.htm</t>
  </si>
  <si>
    <t>3Q26 IS, BS, 9M CF, product lines, adj. GP/OI, guidance</t>
  </si>
  <si>
    <t>10-Q for quarter ended 2026-02-28</t>
  </si>
  <si>
    <t>https://www.sec.gov/Archives/edgar/data/711377/000119312526149599/neog-20260228.htm</t>
  </si>
  <si>
    <t>3Q26 segment OI, 9M FY25 segment OI, anti-dilutive shares, geography</t>
  </si>
  <si>
    <t>Neogen Reports Fourth Quarter and Full Fiscal Year 2026 Financial Results</t>
  </si>
  <si>
    <t>2026-07-30</t>
  </si>
  <si>
    <t>https://www.sec.gov/Archives/edgar/data/711377/000119312526324860/neog-ex99_1.htm</t>
  </si>
  <si>
    <t>4Q26/FY26 IS, BS, FY CF, product lines, bridges, 1Q27 and FY27 guidance</t>
  </si>
  <si>
    <t>Form 10-K for fiscal year ended 2026-05-31</t>
  </si>
  <si>
    <t>Neogen / SEC (10-K)</t>
  </si>
  <si>
    <t>https://www.sec.gov/Archives/edgar/data/711377/000119312526326092/neog-20260531.htm</t>
  </si>
  <si>
    <t>FY26 segment OI, shares outstanding (May-26 and 2026-06-30), Genomics sale status</t>
  </si>
  <si>
    <t>Neogen (NEOG) Q4 2026 Earnings Call Transcript</t>
  </si>
  <si>
    <t>S11</t>
  </si>
  <si>
    <t>Call 2026-07-30; page 2026-08-07 (URL path)</t>
  </si>
  <si>
    <t>The Motley Fool (transcript)</t>
  </si>
  <si>
    <t>https://www.fool.com/earnings/call-transcripts/2026/08/07/neogen-neog-q4-2026-earnings-call-transcript/</t>
  </si>
  <si>
    <t>Guidance assumptions: C&amp;D ~$6M in 1Q26, FX -1%, R&amp;D +50%, $20M term-loan paydown, NWS, Iran-war cost pressure</t>
  </si>
  <si>
    <t>G.5 Foreign Exchange Rates — August 2026 monthly averages</t>
  </si>
  <si>
    <t>S12</t>
  </si>
  <si>
    <t>2026-09-01</t>
  </si>
  <si>
    <t>Federal Reserve Board</t>
  </si>
  <si>
    <t>https://www.federalreserve.gov/releases/g5/20260901/</t>
  </si>
  <si>
    <t>1Q27E FX assumption</t>
  </si>
  <si>
    <t>Neogen market cap $2.65B as of Oct 2, 2026</t>
  </si>
  <si>
    <t>S13</t>
  </si>
  <si>
    <t>2026-10-02</t>
  </si>
  <si>
    <t>StockAnalysis.com / TipRanks</t>
  </si>
  <si>
    <t>https://stockanalysis.com/stocks/neog/market-cap/</t>
  </si>
  <si>
    <t>Size bucket (mid-cap) for beat prior</t>
  </si>
  <si>
    <t>Neogen's Rally Puts Its Reinvestment Plan to the Test in a Seasonally Soft First Quarter</t>
  </si>
  <si>
    <t>S14</t>
  </si>
  <si>
    <t>2026-09-28</t>
  </si>
  <si>
    <t>Earnings Whispers</t>
  </si>
  <si>
    <t>https://beta.earningswhispers.com/article/NEOG/20293</t>
  </si>
  <si>
    <t>Pre-report context (whisper $0.06; Street revenue at guide midpoint)</t>
  </si>
  <si>
    <t>Neogen gets FDA warning letter over Hycoat (horse deaths); recall initiated Jan-2026</t>
  </si>
  <si>
    <t>S15</t>
  </si>
  <si>
    <t>2026-09-29</t>
  </si>
  <si>
    <t>MarketScreener / Seeking Alpha</t>
  </si>
  <si>
    <t>https://www.marketscreener.com/news/neogen-gets-fda-warning-after-probe-links-vet-product-to-horse-deaths-ce785addd18ef520</t>
  </si>
  <si>
    <t>Animal Care line assumption; legal cost assumption</t>
  </si>
  <si>
    <t>APHIS approves release of NWS infested zones in Texas (47 U.S. cases)</t>
  </si>
  <si>
    <t>S16</t>
  </si>
  <si>
    <t>2026-08-31</t>
  </si>
  <si>
    <t>USDA APHIS</t>
  </si>
  <si>
    <t>https://direct.aphis.usda.gov/news/agency-announcements/aphis-approves-release-new-world-screwworm-infested-zones-texas</t>
  </si>
  <si>
    <t>Biosecurity (insect control) assumption</t>
  </si>
  <si>
    <t>Neogen to Host Investor Day on October 7, 2026</t>
  </si>
  <si>
    <t>S17</t>
  </si>
  <si>
    <t>2026-09-08</t>
  </si>
  <si>
    <t>Business Wire (Neogen)</t>
  </si>
  <si>
    <t>https://investor.wedbush.com/wedbush/article/bizwire-2026-9-8-neogen-to-host-investor-day-on-october-7-2026</t>
  </si>
  <si>
    <t>Event context</t>
  </si>
  <si>
    <t>Neogen upgraded at Piper Sandler (Overweight, $14 PT)</t>
  </si>
  <si>
    <t>S18</t>
  </si>
  <si>
    <t>2026-08-26</t>
  </si>
  <si>
    <t>Seeking Alpha</t>
  </si>
  <si>
    <t>https://seekingalpha.com/news/4637034-neogen-stock-upgraded-piper-sandler</t>
  </si>
  <si>
    <t>Sell-side sentiment</t>
  </si>
  <si>
    <t>Neogen Announces First Quarter Earnings Release Date (Oct 6, 2026, after close)</t>
  </si>
  <si>
    <t>S19</t>
  </si>
  <si>
    <t>Sep-2026 (exact day not shown)</t>
  </si>
  <si>
    <t>Neogen IR</t>
  </si>
  <si>
    <t>https://investors.neogen.com/news/news-details/2026/Neogen-Announces-First-Quarter-Earnings-Release-Date/default.aspx</t>
  </si>
  <si>
    <t>FY26 initial guidance: revenue $820-840M, adj. EBITDA $165-175M, capex ~$50M (reaffirmed 2025-10-09)</t>
  </si>
  <si>
    <t>2025-10-09 (cited URL)</t>
  </si>
  <si>
    <t>Neogen / SEC (8-K EX-99.1, 1Q26 release)</t>
  </si>
  <si>
    <t>Guidance tab FY26 initial rows</t>
  </si>
  <si>
    <t>Neogen set to post quarterly earnings — consensus $0.0533 EPS, $207.9M revenue</t>
  </si>
  <si>
    <t>S21</t>
  </si>
  <si>
    <t>American Banking News (MarketBeat data)</t>
  </si>
  <si>
    <t>https://www.americanbankingnews.com/2026/09/29/neogen-neog-set-to-post-quarterly-earnings-on-tuesday.html</t>
  </si>
  <si>
    <t>Alternative consensus reference only (not the scoring baseline)</t>
  </si>
  <si>
    <t>Retrieval: web sources were retrieved live on 2026-10-04 between 23:30 and 23:55 UTC, after the 22:22 UTC information cutoff (live retrievals, not frozen pre-cutoff snapshots). Only content with a publication date on or before the cutoff was used. No 1Q27 actual results were seen. CapIQ files S1-S2 carry date-only capture precision (2026-10-04).</t>
  </si>
  <si>
    <t>Tabs: all standard tabs carry content — two reported segments (Food Safety, Animal Safety) and two disclosed geographies (domestic, international) per the FY26 10-K (S10); no tab omitted.</t>
  </si>
  <si>
    <t>Segment driver ladders: the FY26 10-K and FY26 10-Qs disclose no units, customers, price or volume, so ladders run year-ago base → divestiture → core growth → FX by product category.</t>
  </si>
  <si>
    <t>Retrieval timestamps (UTC): S3-S11 2026-10-04T23:3x; S12-S21 2026-10-04T23:4x; files S1-S2 read 2026-10-04T23:4x. Exact timestamps are in artifacts/input-usage.json and artifacts/prior-calibration.json.</t>
  </si>
  <si>
    <t>Inputs — S&amp;P Capital IQ raw data and beat-probability calibration</t>
  </si>
  <si>
    <t>A. NEOG_history.csv — raw (header + 6 rows, columns preserved; S1)</t>
  </si>
  <si>
    <t>period_end_date</t>
  </si>
  <si>
    <t>report_date</t>
  </si>
  <si>
    <t>eps_normalized_consensus</t>
  </si>
  <si>
    <t>eps_normalized_actual</t>
  </si>
  <si>
    <t>eps_gaap_consensus</t>
  </si>
  <si>
    <t>eps_gaap_actual</t>
  </si>
  <si>
    <t>revenue_m_consensus</t>
  </si>
  <si>
    <t>revenue_m_actual</t>
  </si>
  <si>
    <t>normalized beat (strict)</t>
  </si>
  <si>
    <t>normalized surprise $</t>
  </si>
  <si>
    <t>period label</t>
  </si>
  <si>
    <t>2025-02-28</t>
  </si>
  <si>
    <t>2025-04-09</t>
  </si>
  <si>
    <t>3Q25A</t>
  </si>
  <si>
    <t>2025-05-31</t>
  </si>
  <si>
    <t>2025-07-29</t>
  </si>
  <si>
    <t>4Q25A</t>
  </si>
  <si>
    <t>2025-08-31</t>
  </si>
  <si>
    <t>2025-11-30</t>
  </si>
  <si>
    <t>2026-02-28</t>
  </si>
  <si>
    <t>2026-05-31</t>
  </si>
  <si>
    <t>Normalized history check: CapIQ actual = company Adjusted EPS (4Q26A, 3Q26A, 2Q26A, 1Q26A)</t>
  </si>
  <si>
    <t>B. NEOG_consensus.json — top-level fields (S2)</t>
  </si>
  <si>
    <t>source</t>
  </si>
  <si>
    <t>S&amp;P Capital IQ</t>
  </si>
  <si>
    <t>ticker</t>
  </si>
  <si>
    <t>company</t>
  </si>
  <si>
    <t>fiscal_period</t>
  </si>
  <si>
    <t>Q1 FY2027</t>
  </si>
  <si>
    <t>as_of_date</t>
  </si>
  <si>
    <t>analyst_count</t>
  </si>
  <si>
    <t>consensus_eps</t>
  </si>
  <si>
    <t>eps_basis</t>
  </si>
  <si>
    <t>Normalized diluted EPS per common share, USD; verify issuer adjustments</t>
  </si>
  <si>
    <t>consensus_revenue_m</t>
  </si>
  <si>
    <t>currency</t>
  </si>
  <si>
    <t>summary_sha256</t>
  </si>
  <si>
    <t>dcd0ceefcbfabc05b4b93dc4d870480edb653ec275c18d538b8e064442f96004</t>
  </si>
  <si>
    <t>captured_precision</t>
  </si>
  <si>
    <t>date only, user confirmed</t>
  </si>
  <si>
    <t>currency_units_status</t>
  </si>
  <si>
    <t>USD per common share inferred; verify filings</t>
  </si>
  <si>
    <t>C. NEOG_consensus.json — summary_row, full raw (blank source values left empty; numeric strings stored as numbers)</t>
  </si>
  <si>
    <t>field</t>
  </si>
  <si>
    <t>value</t>
  </si>
  <si>
    <t>company_name</t>
  </si>
  <si>
    <t>exchange_ticker</t>
  </si>
  <si>
    <t>NasdaqGS:NEOG</t>
  </si>
  <si>
    <t>capiq_company_id</t>
  </si>
  <si>
    <t>339683</t>
  </si>
  <si>
    <t>sp500_member</t>
  </si>
  <si>
    <t>N</t>
  </si>
  <si>
    <t>market_cap_usd_m</t>
  </si>
  <si>
    <t>fiscal_quarter</t>
  </si>
  <si>
    <t>FQ1 2027 - Aug 2026</t>
  </si>
  <si>
    <t>quarter_end_date</t>
  </si>
  <si>
    <t>expected_report_date</t>
  </si>
  <si>
    <t>2026-10-06</t>
  </si>
  <si>
    <t>fiscal_year_end</t>
  </si>
  <si>
    <t>May-31</t>
  </si>
  <si>
    <t>analysts_covering</t>
  </si>
  <si>
    <t>eps_normalized_mean</t>
  </si>
  <si>
    <t>eps_normalized_median</t>
  </si>
  <si>
    <t>eps_normalized_high</t>
  </si>
  <si>
    <t>eps_normalized_low</t>
  </si>
  <si>
    <t>eps_normalized_std_dev</t>
  </si>
  <si>
    <t>eps_normalized_n_est</t>
  </si>
  <si>
    <t>eps_normalized_guidance</t>
  </si>
  <si>
    <t>eps_normalized_guidance_low</t>
  </si>
  <si>
    <t>eps_normalized_guidance_high</t>
  </si>
  <si>
    <t>eps_gaap_mean</t>
  </si>
  <si>
    <t>eps_gaap_median</t>
  </si>
  <si>
    <t>eps_gaap_high</t>
  </si>
  <si>
    <t>eps_gaap_low</t>
  </si>
  <si>
    <t>eps_gaap_std_dev</t>
  </si>
  <si>
    <t>eps_gaap_n_est</t>
  </si>
  <si>
    <t>eps_gaap_guidance</t>
  </si>
  <si>
    <t>revenue_m_mean</t>
  </si>
  <si>
    <t>revenue_m_median</t>
  </si>
  <si>
    <t>revenue_m_high</t>
  </si>
  <si>
    <t>revenue_m_low</t>
  </si>
  <si>
    <t>revenue_m_std_dev</t>
  </si>
  <si>
    <t>revenue_m_n_est</t>
  </si>
  <si>
    <t>revenue_m_guidance</t>
  </si>
  <si>
    <t>revenue_m_guidance_low</t>
  </si>
  <si>
    <t>revenue_m_guidance_high</t>
  </si>
  <si>
    <t>ebitda_m</t>
  </si>
  <si>
    <t>ebit_m</t>
  </si>
  <si>
    <t>ebt_excl_excep_m</t>
  </si>
  <si>
    <t>ebt_gaap_m</t>
  </si>
  <si>
    <t>net_income_excl_excep_m</t>
  </si>
  <si>
    <t>net_income_gaap_m</t>
  </si>
  <si>
    <t>gross_margin_pct</t>
  </si>
  <si>
    <t>effective_tax_rate_pct</t>
  </si>
  <si>
    <t>d_and_a_m</t>
  </si>
  <si>
    <t>capex_m</t>
  </si>
  <si>
    <t>cfo_m</t>
  </si>
  <si>
    <t>fcf_m</t>
  </si>
  <si>
    <t>interest_expense_m</t>
  </si>
  <si>
    <t>net_debt_m</t>
  </si>
  <si>
    <t>cfps</t>
  </si>
  <si>
    <t>bvps</t>
  </si>
  <si>
    <t>dps</t>
  </si>
  <si>
    <t>nav_m</t>
  </si>
  <si>
    <t>navps</t>
  </si>
  <si>
    <t>roe_pct</t>
  </si>
  <si>
    <t>adj_nii_per_share_consensus</t>
  </si>
  <si>
    <t>target_price_mean</t>
  </si>
  <si>
    <t>target_price_median</t>
  </si>
  <si>
    <t>target_price_high</t>
  </si>
  <si>
    <t>target_price_low</t>
  </si>
  <si>
    <t>target_price_std_dev</t>
  </si>
  <si>
    <t>target_price_n_est</t>
  </si>
  <si>
    <t>recommendation</t>
  </si>
  <si>
    <t>Outperform</t>
  </si>
  <si>
    <t>recommendation_score</t>
  </si>
  <si>
    <t>last_close_price</t>
  </si>
  <si>
    <t>wk52_high_low</t>
  </si>
  <si>
    <t>units</t>
  </si>
  <si>
    <t>per-share in USD; revenue and income in USD millions</t>
  </si>
  <si>
    <t>estimates_captured_at</t>
  </si>
  <si>
    <t>notes</t>
  </si>
  <si>
    <t>Only 4 contributors. May-2025 GAAP actual (2.82) reflects a large impairment. CapIQ also carries a 37.00 guidance figure on the revenue block that appears to be adjusted EBITDA guidance, not revenue; excluded.</t>
  </si>
  <si>
    <t>D. Beat-probability calibration (playbook v2, size-aware prior)</t>
  </si>
  <si>
    <t>Market cap at cutoff ($B)</t>
  </si>
  <si>
    <t>Size bucket (small/mid/large)</t>
  </si>
  <si>
    <t>S&amp;P 500 member (CapIQ sp500_member)</t>
  </si>
  <si>
    <t>Cohort prior — small</t>
  </si>
  <si>
    <t>Cohort prior — mid</t>
  </si>
  <si>
    <t>Cohort prior — large or S&amp;P 500</t>
  </si>
  <si>
    <t>Cohort prior applied</t>
  </si>
  <si>
    <t>b = strict beats (six CapIQ rows)</t>
  </si>
  <si>
    <t>n = valid pairs</t>
  </si>
  <si>
    <t>Pseudo-count k (fixed weight)</t>
  </si>
  <si>
    <t>Starting p = (k·prior + b)/(k + n)</t>
  </si>
  <si>
    <t>Final P(beat consensus EPS)</t>
  </si>
  <si>
    <t>Evidence update (final − starting), pp</t>
  </si>
  <si>
    <t>Mean normalized surprise, $/share</t>
  </si>
  <si>
    <t>low</t>
  </si>
</sst>
</file>

<file path=xl/styles.xml><?xml version="1.0" encoding="utf-8"?>
<styleSheet xmlns="http://schemas.openxmlformats.org/spreadsheetml/2006/main">
  <numFmts count="12">
    <numFmt numFmtId="164" formatCode="#,##0.0_);(#,##0.0);–_)"/>
    <numFmt numFmtId="165" formatCode="0.0%_);(0.0%);–_)"/>
    <numFmt numFmtId="166" formatCode="$0.00_);($0.00);–_)"/>
    <numFmt numFmtId="167" formatCode="yyyy-mm-dd"/>
    <numFmt numFmtId="168" formatCode="#,##0_);(#,##0);–_)"/>
    <numFmt numFmtId="169" formatCode="General"/>
    <numFmt numFmtId="170" formatCode="0.0%"/>
    <numFmt numFmtId="171" formatCode="0"/>
    <numFmt numFmtId="172" formatCode="0.0x"/>
    <numFmt numFmtId="173" formatCode="0.00"/>
    <numFmt numFmtId="174" formatCode="$0.00&quot;*&quot;_);($0.00&quot;*&quot;);–_)"/>
    <numFmt numFmtId="175" formatCode="#,##0.0&quot;*&quot;_);(#,##0.0&quot;*&quot;);–_)"/>
  </numFmts>
  <fonts count="20">
    <font>
      <sz val="11"/>
      <color theme="1"/>
      <name val="Calibri"/>
      <family val="2"/>
      <scheme val="minor"/>
    </font>
    <font>
      <b val="0"/>
      <i val="0"/>
      <strike val="0"/>
      <sz val="10"/>
      <color rgb="FF000000"/>
      <name val="Arial"/>
    </font>
    <font>
      <b/>
      <i val="0"/>
      <strike val="0"/>
      <sz val="10"/>
      <color rgb="FF000000"/>
      <name val="Arial"/>
    </font>
    <font>
      <b val="0"/>
      <i val="0"/>
      <strike val="0"/>
      <sz val="10"/>
      <color rgb="FF0000FF"/>
      <name val="Arial"/>
    </font>
    <font>
      <b val="0"/>
      <i/>
      <strike val="0"/>
      <sz val="10"/>
      <color rgb="FF000000"/>
      <name val="Arial"/>
    </font>
    <font>
      <b/>
      <i val="0"/>
      <strike val="0"/>
      <sz val="10"/>
      <color rgb="FF006100"/>
      <name val="Arial"/>
    </font>
    <font>
      <b val="0"/>
      <i val="0"/>
      <strike val="0"/>
      <sz val="10"/>
      <color rgb="FF006100"/>
      <name val="Arial"/>
    </font>
    <font>
      <b/>
      <i val="0"/>
      <strike val="0"/>
      <u/>
      <sz val="10"/>
      <color rgb="FF000000"/>
      <name val="Arial"/>
    </font>
    <font>
      <b/>
      <i val="0"/>
      <strike val="0"/>
      <sz val="10"/>
      <color rgb="FF0000FF"/>
      <name val="Arial"/>
    </font>
    <font>
      <b/>
      <i val="0"/>
      <strike val="0"/>
      <sz val="14"/>
      <color rgb="FF000000"/>
      <name val="Arial"/>
    </font>
    <font>
      <b/>
      <i/>
      <strike val="0"/>
      <sz val="10"/>
      <color rgb="FF006100"/>
      <name val="Arial"/>
    </font>
    <font>
      <b val="0"/>
      <i/>
      <strike val="0"/>
      <sz val="10"/>
      <color rgb="FF0000FF"/>
      <name val="Arial"/>
    </font>
    <font>
      <b/>
      <i val="0"/>
      <strike val="0"/>
      <sz val="12"/>
      <color rgb="FF000000"/>
      <name val="Arial"/>
    </font>
    <font>
      <b val="0"/>
      <i/>
      <strike val="0"/>
      <sz val="10"/>
      <color rgb="FF006100"/>
      <name val="Arial"/>
    </font>
    <font>
      <b/>
      <i val="0"/>
      <strike val="0"/>
      <sz val="10"/>
      <color rgb="FF000000"/>
      <name val="Arial"/>
      <family val="2"/>
      <scheme val="minor"/>
    </font>
    <font>
      <b val="0"/>
      <i val="0"/>
      <strike val="0"/>
      <sz val="10"/>
      <color rgb="FF0000FF"/>
      <name val="Arial"/>
      <family val="2"/>
      <scheme val="minor"/>
    </font>
    <font>
      <b val="0"/>
      <i val="0"/>
      <strike val="0"/>
      <sz val="10"/>
      <color rgb="FF006100"/>
      <name val="Arial"/>
      <family val="2"/>
      <scheme val="none"/>
    </font>
    <font>
      <b val="0"/>
      <i/>
      <strike val="0"/>
      <sz val="10"/>
      <color rgb="FF000000"/>
      <name val="Arial"/>
      <family val="2"/>
      <scheme val="none"/>
    </font>
    <font>
      <b val="0"/>
      <i val="0"/>
      <strike val="0"/>
      <sz val="10"/>
      <color rgb="FF000000"/>
      <name val="Arial"/>
      <family val="2"/>
      <scheme val="none"/>
    </font>
    <font>
      <b/>
      <i val="0"/>
      <strike val="0"/>
      <sz val="10"/>
      <color rgb="FF000000"/>
      <name val="Arial"/>
      <family val="2"/>
      <scheme val="none"/>
    </font>
  </fonts>
  <fills count="5">
    <fill>
      <patternFill patternType="none"/>
    </fill>
    <fill>
      <patternFill patternType="gray125"/>
    </fill>
    <fill>
      <patternFill patternType="none"/>
    </fill>
    <fill>
      <patternFill patternType="solid">
        <fgColor rgb="FFF2F2F2"/>
      </patternFill>
    </fill>
    <fill>
      <patternFill patternType="solid">
        <fgColor rgb="FFEAF1FB"/>
      </patternFill>
    </fill>
  </fills>
  <borders count="4">
    <border/>
    <border>
      <top style="thin">
        <color rgb="FF000000"/>
      </top>
    </border>
    <border>
      <bottom style="thin">
        <color rgb="FF000000"/>
      </bottom>
    </border>
    <border>
      <top style="thin">
        <color rgb="FF000000"/>
      </top>
      <bottom style="thin">
        <color rgb="FF000000"/>
      </bottom>
    </border>
  </borders>
  <cellStyleXfs count="1">
    <xf numFmtId="0" fontId="0" fillId="0" borderId="0"/>
  </cellStyleXfs>
  <cellXfs count="94">
    <xf numFmtId="0" fontId="0" fillId="0" borderId="0" xfId="0"/>
    <xf numFmtId="0" fontId="1" fillId="2" borderId="0" xfId="0" applyFont="1" applyFill="1" applyAlignment="1" applyProtection="1">
      <alignment horizontal="general" vertical="bottom"/>
      <protection locked="1" hidden="0"/>
    </xf>
    <xf numFmtId="0" fontId="2" fillId="3" borderId="1" xfId="0" applyFont="1" applyFill="1" applyBorder="1" applyAlignment="1" applyProtection="1">
      <alignment horizontal="right" vertical="bottom"/>
      <protection locked="1" hidden="0"/>
    </xf>
    <xf numFmtId="164" fontId="3" fillId="2" borderId="0" xfId="0" applyNumberFormat="1" applyFont="1" applyFill="1" applyAlignment="1" applyProtection="1">
      <alignment horizontal="right" vertical="bottom"/>
      <protection locked="1" hidden="0"/>
    </xf>
    <xf numFmtId="0" fontId="1" fillId="4" borderId="0" xfId="0" applyFont="1" applyFill="1" applyAlignment="1" applyProtection="1">
      <alignment horizontal="general" vertical="bottom"/>
      <protection locked="1" hidden="0"/>
    </xf>
    <xf numFmtId="164" fontId="4" fillId="2" borderId="0" xfId="0" applyNumberFormat="1" applyFont="1" applyFill="1" applyAlignment="1" applyProtection="1">
      <alignment horizontal="right" vertical="bottom"/>
      <protection locked="1" hidden="0"/>
    </xf>
    <xf numFmtId="164" fontId="5" fillId="4" borderId="0" xfId="0" applyNumberFormat="1" applyFont="1" applyFill="1" applyAlignment="1" applyProtection="1">
      <alignment horizontal="right" vertical="bottom"/>
      <protection locked="1" hidden="0"/>
    </xf>
    <xf numFmtId="164" fontId="2" fillId="2" borderId="1" xfId="0" applyNumberFormat="1" applyFont="1" applyFill="1" applyBorder="1" applyAlignment="1" applyProtection="1">
      <alignment horizontal="right" vertical="bottom"/>
      <protection locked="1" hidden="0"/>
    </xf>
    <xf numFmtId="164" fontId="1" fillId="2" borderId="0" xfId="0" applyNumberFormat="1" applyFont="1" applyFill="1" applyAlignment="1" applyProtection="1">
      <alignment horizontal="right" vertical="bottom"/>
      <protection locked="1" hidden="0"/>
    </xf>
    <xf numFmtId="165" fontId="4" fillId="2" borderId="0" xfId="0" applyNumberFormat="1" applyFont="1" applyFill="1" applyAlignment="1" applyProtection="1">
      <alignment horizontal="right" vertical="bottom"/>
      <protection locked="1" hidden="0"/>
    </xf>
    <xf numFmtId="164" fontId="1" fillId="4" borderId="0" xfId="0" applyNumberFormat="1" applyFont="1" applyFill="1" applyAlignment="1" applyProtection="1">
      <alignment horizontal="right" vertical="bottom"/>
      <protection locked="1" hidden="0"/>
    </xf>
    <xf numFmtId="166" fontId="1" fillId="2" borderId="0" xfId="0" applyNumberFormat="1" applyFont="1" applyFill="1" applyAlignment="1" applyProtection="1">
      <alignment horizontal="right" vertical="bottom"/>
      <protection locked="1" hidden="0"/>
    </xf>
    <xf numFmtId="164" fontId="3" fillId="4" borderId="0" xfId="0" applyNumberFormat="1" applyFont="1" applyFill="1" applyAlignment="1" applyProtection="1">
      <alignment horizontal="right" vertical="bottom"/>
      <protection locked="1" hidden="0"/>
    </xf>
    <xf numFmtId="0" fontId="6" fillId="2" borderId="0" xfId="0" applyFont="1" applyFill="1" applyAlignment="1" applyProtection="1">
      <alignment horizontal="general" vertical="bottom"/>
      <protection locked="1" hidden="0"/>
    </xf>
    <xf numFmtId="0" fontId="1" fillId="3" borderId="2" xfId="0" applyFont="1" applyFill="1" applyBorder="1" applyAlignment="1" applyProtection="1">
      <alignment horizontal="general" vertical="bottom"/>
      <protection locked="1" hidden="0"/>
    </xf>
    <xf numFmtId="0" fontId="2" fillId="2" borderId="0" xfId="0" applyFont="1" applyFill="1" applyAlignment="1" applyProtection="1">
      <alignment horizontal="general" vertical="bottom"/>
      <protection locked="1" hidden="0"/>
    </xf>
    <xf numFmtId="0" fontId="7" fillId="2" borderId="0" xfId="0" applyFont="1" applyFill="1" applyAlignment="1" applyProtection="1">
      <alignment horizontal="general" vertical="bottom"/>
      <protection locked="1" hidden="0"/>
    </xf>
    <xf numFmtId="167" fontId="3" fillId="3" borderId="0" xfId="0" applyNumberFormat="1" applyFont="1" applyFill="1" applyAlignment="1" applyProtection="1">
      <alignment horizontal="right" vertical="bottom"/>
      <protection locked="1" hidden="0"/>
    </xf>
    <xf numFmtId="0" fontId="1" fillId="2" borderId="0" xfId="0" applyFont="1" applyFill="1" applyAlignment="1" applyProtection="1">
      <alignment horizontal="left" vertical="bottom"/>
      <protection locked="1" hidden="0"/>
    </xf>
    <xf numFmtId="0" fontId="2" fillId="3" borderId="0" xfId="0" applyFont="1" applyFill="1" applyAlignment="1" applyProtection="1">
      <alignment horizontal="right" vertical="bottom"/>
      <protection locked="1" hidden="0"/>
    </xf>
    <xf numFmtId="165" fontId="4" fillId="4" borderId="0" xfId="0" applyNumberFormat="1" applyFont="1" applyFill="1" applyAlignment="1" applyProtection="1">
      <alignment horizontal="right" vertical="bottom"/>
      <protection locked="1" hidden="0"/>
    </xf>
    <xf numFmtId="164" fontId="6" fillId="2" borderId="0" xfId="0" applyNumberFormat="1" applyFont="1" applyFill="1" applyAlignment="1" applyProtection="1">
      <alignment horizontal="right" vertical="bottom"/>
      <protection locked="1" hidden="0"/>
    </xf>
    <xf numFmtId="166" fontId="5" fillId="4" borderId="0" xfId="0" applyNumberFormat="1" applyFont="1" applyFill="1" applyAlignment="1" applyProtection="1">
      <alignment horizontal="right" vertical="bottom"/>
      <protection locked="1" hidden="0"/>
    </xf>
    <xf numFmtId="0" fontId="2" fillId="3" borderId="1" xfId="0" applyFont="1" applyFill="1" applyBorder="1" applyAlignment="1" applyProtection="1">
      <alignment horizontal="left" vertical="bottom"/>
      <protection locked="1" hidden="0"/>
    </xf>
    <xf numFmtId="168" fontId="4" fillId="2" borderId="0" xfId="0" applyNumberFormat="1" applyFont="1" applyFill="1" applyAlignment="1" applyProtection="1">
      <alignment horizontal="right" vertical="bottom"/>
      <protection locked="1" hidden="0"/>
    </xf>
    <xf numFmtId="0" fontId="4" fillId="2" borderId="0" xfId="0" applyFont="1" applyFill="1" applyAlignment="1" applyProtection="1">
      <alignment horizontal="general" vertical="bottom"/>
      <protection locked="1" hidden="0"/>
    </xf>
    <xf numFmtId="0" fontId="4" fillId="2" borderId="0" xfId="0" applyFont="1" applyFill="1" applyAlignment="1" applyProtection="1">
      <alignment horizontal="right" vertical="bottom"/>
      <protection locked="1" hidden="0"/>
    </xf>
    <xf numFmtId="0" fontId="6" fillId="2" borderId="0" xfId="0" applyFont="1" applyFill="1" applyAlignment="1" applyProtection="1">
      <alignment horizontal="right" vertical="bottom"/>
      <protection locked="1" hidden="0"/>
    </xf>
    <xf numFmtId="0" fontId="1" fillId="3" borderId="1" xfId="0" applyFont="1" applyFill="1" applyBorder="1" applyAlignment="1" applyProtection="1">
      <alignment horizontal="general" vertical="bottom"/>
      <protection locked="1" hidden="0"/>
    </xf>
    <xf numFmtId="0" fontId="3" fillId="2" borderId="0" xfId="0" applyFont="1" applyFill="1" applyAlignment="1" applyProtection="1">
      <alignment horizontal="general" vertical="bottom"/>
      <protection locked="1" hidden="0"/>
    </xf>
    <xf numFmtId="164" fontId="8" fillId="2" borderId="1" xfId="0" applyNumberFormat="1" applyFont="1" applyFill="1" applyBorder="1" applyAlignment="1" applyProtection="1">
      <alignment horizontal="right" vertical="bottom"/>
      <protection locked="1" hidden="0"/>
    </xf>
    <xf numFmtId="0" fontId="5" fillId="2" borderId="0" xfId="0" applyFont="1" applyFill="1" applyAlignment="1" applyProtection="1">
      <alignment horizontal="right" vertical="bottom"/>
      <protection locked="1" hidden="0"/>
    </xf>
    <xf numFmtId="168" fontId="4" fillId="4" borderId="0" xfId="0" applyNumberFormat="1" applyFont="1" applyFill="1" applyAlignment="1" applyProtection="1">
      <alignment horizontal="right" vertical="bottom"/>
      <protection locked="1" hidden="0"/>
    </xf>
    <xf numFmtId="169" fontId="1" fillId="2" borderId="0" xfId="0" applyNumberFormat="1" applyFont="1" applyFill="1" applyAlignment="1" applyProtection="1">
      <alignment horizontal="right" vertical="bottom"/>
      <protection locked="1" hidden="0"/>
    </xf>
    <xf numFmtId="164" fontId="2" fillId="4" borderId="1" xfId="0" applyNumberFormat="1" applyFont="1" applyFill="1" applyBorder="1" applyAlignment="1" applyProtection="1">
      <alignment horizontal="right" vertical="bottom"/>
      <protection locked="1" hidden="0"/>
    </xf>
    <xf numFmtId="0" fontId="9" fillId="2" borderId="0" xfId="0" applyFont="1" applyFill="1" applyAlignment="1" applyProtection="1">
      <alignment horizontal="general" vertical="bottom"/>
      <protection locked="1" hidden="0"/>
    </xf>
    <xf numFmtId="170" fontId="10" fillId="2" borderId="0" xfId="0" applyNumberFormat="1" applyFont="1" applyFill="1" applyAlignment="1" applyProtection="1">
      <alignment horizontal="right" vertical="bottom"/>
      <protection locked="1" hidden="0"/>
    </xf>
    <xf numFmtId="164" fontId="4" fillId="4" borderId="0" xfId="0" applyNumberFormat="1" applyFont="1" applyFill="1" applyAlignment="1" applyProtection="1">
      <alignment horizontal="right" vertical="bottom"/>
      <protection locked="1" hidden="0"/>
    </xf>
    <xf numFmtId="165" fontId="11" fillId="4" borderId="0" xfId="0" applyNumberFormat="1" applyFont="1" applyFill="1" applyAlignment="1" applyProtection="1">
      <alignment horizontal="right" vertical="bottom"/>
      <protection locked="1" hidden="0"/>
    </xf>
    <xf numFmtId="166" fontId="6" fillId="2" borderId="0" xfId="0" applyNumberFormat="1" applyFont="1" applyFill="1" applyAlignment="1" applyProtection="1">
      <alignment horizontal="right" vertical="bottom"/>
      <protection locked="1" hidden="0"/>
    </xf>
    <xf numFmtId="171" fontId="3" fillId="3" borderId="2" xfId="0" applyNumberFormat="1" applyFont="1" applyFill="1" applyBorder="1" applyAlignment="1" applyProtection="1">
      <alignment horizontal="right" vertical="bottom"/>
      <protection locked="1" hidden="0"/>
    </xf>
    <xf numFmtId="0" fontId="1" fillId="3" borderId="0" xfId="0" applyFont="1" applyFill="1" applyAlignment="1" applyProtection="1">
      <alignment horizontal="general" vertical="bottom"/>
      <protection locked="1" hidden="0"/>
    </xf>
    <xf numFmtId="167" fontId="3" fillId="2" borderId="0" xfId="0" applyNumberFormat="1" applyFont="1" applyFill="1" applyAlignment="1" applyProtection="1">
      <alignment horizontal="right" vertical="bottom"/>
      <protection locked="1" hidden="0"/>
    </xf>
    <xf numFmtId="0" fontId="1" fillId="2" borderId="0" xfId="0" applyFont="1" applyFill="1" applyAlignment="1" applyProtection="1">
      <alignment horizontal="right" vertical="bottom"/>
      <protection locked="1" hidden="0"/>
    </xf>
    <xf numFmtId="165" fontId="11" fillId="2" borderId="0" xfId="0" applyNumberFormat="1" applyFont="1" applyFill="1" applyAlignment="1" applyProtection="1">
      <alignment horizontal="right" vertical="bottom"/>
      <protection locked="1" hidden="0"/>
    </xf>
    <xf numFmtId="0" fontId="2" fillId="3" borderId="3" xfId="0" applyFont="1" applyFill="1" applyBorder="1" applyAlignment="1" applyProtection="1">
      <alignment horizontal="right" vertical="bottom"/>
      <protection locked="1" hidden="0"/>
    </xf>
    <xf numFmtId="0" fontId="12" fillId="2" borderId="0" xfId="0" applyFont="1" applyFill="1" applyAlignment="1" applyProtection="1">
      <alignment horizontal="general" vertical="bottom"/>
      <protection locked="1" hidden="0"/>
    </xf>
    <xf numFmtId="164" fontId="2" fillId="4" borderId="0" xfId="0" applyNumberFormat="1" applyFont="1" applyFill="1" applyAlignment="1" applyProtection="1">
      <alignment horizontal="right" vertical="bottom"/>
      <protection locked="1" hidden="0"/>
    </xf>
    <xf numFmtId="164" fontId="6" fillId="4" borderId="0" xfId="0" applyNumberFormat="1" applyFont="1" applyFill="1" applyAlignment="1" applyProtection="1">
      <alignment horizontal="right" vertical="bottom"/>
      <protection locked="1" hidden="0"/>
    </xf>
    <xf numFmtId="172" fontId="1" fillId="2" borderId="0" xfId="0" applyNumberFormat="1" applyFont="1" applyFill="1" applyAlignment="1" applyProtection="1">
      <alignment horizontal="right" vertical="bottom"/>
      <protection locked="1" hidden="0"/>
    </xf>
    <xf numFmtId="171" fontId="6" fillId="2" borderId="0" xfId="0" applyNumberFormat="1" applyFont="1" applyFill="1" applyAlignment="1" applyProtection="1">
      <alignment horizontal="right" vertical="bottom"/>
      <protection locked="1" hidden="0"/>
    </xf>
    <xf numFmtId="0" fontId="2" fillId="3" borderId="0" xfId="0" applyFont="1" applyFill="1" applyAlignment="1" applyProtection="1">
      <alignment horizontal="left" vertical="bottom"/>
      <protection locked="1" hidden="0"/>
    </xf>
    <xf numFmtId="166" fontId="5" fillId="2" borderId="0" xfId="0" applyNumberFormat="1" applyFont="1" applyFill="1" applyAlignment="1" applyProtection="1">
      <alignment horizontal="right" vertical="bottom"/>
      <protection locked="1" hidden="0"/>
    </xf>
    <xf numFmtId="172" fontId="4" fillId="2" borderId="0" xfId="0" applyNumberFormat="1" applyFont="1" applyFill="1" applyAlignment="1" applyProtection="1">
      <alignment horizontal="right" vertical="bottom"/>
      <protection locked="1" hidden="0"/>
    </xf>
    <xf numFmtId="169" fontId="1" fillId="4" borderId="0" xfId="0" applyNumberFormat="1" applyFont="1" applyFill="1" applyAlignment="1" applyProtection="1">
      <alignment horizontal="right" vertical="bottom"/>
      <protection locked="1" hidden="0"/>
    </xf>
    <xf numFmtId="0" fontId="2" fillId="3" borderId="3" xfId="0" applyFont="1" applyFill="1" applyBorder="1" applyAlignment="1" applyProtection="1">
      <alignment horizontal="left" vertical="bottom"/>
      <protection locked="1" hidden="0"/>
    </xf>
    <xf numFmtId="172" fontId="4" fillId="4" borderId="0" xfId="0" applyNumberFormat="1" applyFont="1" applyFill="1" applyAlignment="1" applyProtection="1">
      <alignment horizontal="right" vertical="bottom"/>
      <protection locked="1" hidden="0"/>
    </xf>
    <xf numFmtId="0" fontId="1" fillId="2" borderId="0" xfId="0" applyFont="1" applyFill="1" applyAlignment="1" applyProtection="1">
      <alignment horizontal="general" vertical="top" wrapText="1"/>
      <protection locked="1" hidden="0"/>
    </xf>
    <xf numFmtId="0" fontId="2" fillId="3" borderId="3" xfId="0" applyFont="1" applyFill="1" applyBorder="1" applyAlignment="1" applyProtection="1">
      <alignment horizontal="general" vertical="bottom"/>
      <protection locked="1" hidden="0"/>
    </xf>
    <xf numFmtId="0" fontId="4" fillId="2" borderId="0" xfId="0" applyFont="1" applyFill="1" applyAlignment="1" applyProtection="1">
      <alignment horizontal="general" vertical="top" wrapText="1"/>
      <protection locked="1" hidden="0"/>
    </xf>
    <xf numFmtId="165" fontId="13" fillId="2" borderId="0" xfId="0" applyNumberFormat="1" applyFont="1" applyFill="1" applyAlignment="1" applyProtection="1">
      <alignment horizontal="right" vertical="bottom"/>
      <protection locked="1" hidden="0"/>
    </xf>
    <xf numFmtId="172" fontId="1" fillId="4" borderId="0" xfId="0" applyNumberFormat="1" applyFont="1" applyFill="1" applyAlignment="1" applyProtection="1">
      <alignment horizontal="right" vertical="bottom"/>
      <protection locked="1" hidden="0"/>
    </xf>
    <xf numFmtId="169" fontId="6" fillId="2" borderId="0" xfId="0" applyNumberFormat="1" applyFont="1" applyFill="1" applyAlignment="1" applyProtection="1">
      <alignment horizontal="right" vertical="bottom"/>
      <protection locked="1" hidden="0"/>
    </xf>
    <xf numFmtId="165" fontId="13" fillId="4" borderId="0" xfId="0" applyNumberFormat="1" applyFont="1" applyFill="1" applyAlignment="1" applyProtection="1">
      <alignment horizontal="right" vertical="bottom"/>
      <protection locked="1" hidden="0"/>
    </xf>
    <xf numFmtId="169" fontId="6" fillId="4" borderId="0" xfId="0" applyNumberFormat="1" applyFont="1" applyFill="1" applyAlignment="1" applyProtection="1">
      <alignment horizontal="right" vertical="bottom"/>
      <protection locked="1" hidden="0"/>
    </xf>
    <xf numFmtId="0" fontId="3" fillId="2" borderId="0" xfId="0" applyFont="1" applyFill="1" applyAlignment="1" applyProtection="1">
      <alignment horizontal="right" vertical="bottom"/>
      <protection locked="1" hidden="0"/>
    </xf>
    <xf numFmtId="166" fontId="3" fillId="2" borderId="0" xfId="0" applyNumberFormat="1" applyFont="1" applyFill="1" applyAlignment="1" applyProtection="1">
      <alignment horizontal="right" vertical="bottom"/>
      <protection locked="1" hidden="0"/>
    </xf>
    <xf numFmtId="0" fontId="2" fillId="3" borderId="3" xfId="0" applyFont="1" applyFill="1" applyBorder="1" applyAlignment="1" applyProtection="1">
      <alignment horizontal="general" vertical="bottom" wrapText="1"/>
      <protection locked="1" hidden="0"/>
    </xf>
    <xf numFmtId="164" fontId="8" fillId="2" borderId="0" xfId="0" applyNumberFormat="1" applyFont="1" applyFill="1" applyAlignment="1" applyProtection="1">
      <alignment horizontal="right" vertical="bottom"/>
      <protection locked="1" hidden="0"/>
    </xf>
    <xf numFmtId="171" fontId="1" fillId="2" borderId="0" xfId="0" applyNumberFormat="1" applyFont="1" applyFill="1" applyAlignment="1" applyProtection="1">
      <alignment horizontal="right" vertical="bottom"/>
      <protection locked="1" hidden="0"/>
    </xf>
    <xf numFmtId="171" fontId="3" fillId="2" borderId="0" xfId="0" applyNumberFormat="1" applyFont="1" applyFill="1" applyAlignment="1" applyProtection="1">
      <alignment horizontal="right" vertical="bottom"/>
      <protection locked="1" hidden="0"/>
    </xf>
    <xf numFmtId="173" fontId="3" fillId="2" borderId="0" xfId="0" applyNumberFormat="1" applyFont="1" applyFill="1" applyAlignment="1" applyProtection="1">
      <alignment horizontal="right" vertical="bottom"/>
      <protection locked="1" hidden="0"/>
    </xf>
    <xf numFmtId="169" fontId="3" fillId="2" borderId="0" xfId="0" applyNumberFormat="1" applyFont="1" applyFill="1" applyAlignment="1" applyProtection="1">
      <alignment horizontal="right" vertical="bottom"/>
      <protection locked="1" hidden="0"/>
    </xf>
    <xf numFmtId="166" fontId="1" fillId="4" borderId="0" xfId="0" applyNumberFormat="1" applyFont="1" applyFill="1" applyAlignment="1" applyProtection="1">
      <alignment horizontal="right" vertical="bottom"/>
      <protection locked="1" hidden="0"/>
    </xf>
    <xf numFmtId="166" fontId="4" fillId="2" borderId="0" xfId="0" applyNumberFormat="1" applyFont="1" applyFill="1" applyAlignment="1" applyProtection="1">
      <alignment horizontal="right" vertical="bottom"/>
      <protection locked="1" hidden="0"/>
    </xf>
    <xf numFmtId="166" fontId="6" fillId="4" borderId="0" xfId="0" applyNumberFormat="1" applyFont="1" applyFill="1" applyAlignment="1" applyProtection="1">
      <alignment horizontal="right" vertical="bottom"/>
      <protection locked="1" hidden="0"/>
    </xf>
    <xf numFmtId="164" fontId="2" fillId="2" borderId="0" xfId="0" applyNumberFormat="1" applyFont="1" applyFill="1" applyAlignment="1" applyProtection="1">
      <alignment horizontal="right" vertical="bottom"/>
      <protection locked="1" hidden="0"/>
    </xf>
    <xf numFmtId="166" fontId="4" fillId="4" borderId="0" xfId="0" applyNumberFormat="1" applyFont="1" applyFill="1" applyAlignment="1" applyProtection="1">
      <alignment horizontal="right" vertical="bottom"/>
      <protection locked="1" hidden="0"/>
    </xf>
    <xf numFmtId="166" fontId="2" fillId="4" borderId="1" xfId="0" applyNumberFormat="1" applyFont="1" applyFill="1" applyBorder="1" applyAlignment="1" applyProtection="1">
      <alignment horizontal="right" vertical="bottom"/>
      <protection locked="1" hidden="0"/>
    </xf>
    <xf numFmtId="164" fontId="5" fillId="4" borderId="1" xfId="0" applyNumberFormat="1" applyFont="1" applyFill="1" applyBorder="1" applyAlignment="1" applyProtection="1">
      <alignment horizontal="right" vertical="bottom"/>
      <protection locked="1" hidden="0"/>
    </xf>
    <xf numFmtId="166" fontId="2" fillId="2" borderId="1" xfId="0" applyNumberFormat="1" applyFont="1" applyFill="1" applyBorder="1" applyAlignment="1" applyProtection="1">
      <alignment horizontal="right" vertical="bottom"/>
      <protection locked="1" hidden="0"/>
    </xf>
    <xf numFmtId="169" fontId="14" fillId="3" borderId="3" xfId="0" applyNumberFormat="1" applyFont="1" applyFill="1" applyBorder="1" applyAlignment="1" applyProtection="1">
      <alignment horizontal="right" vertical="bottom" textRotation="0" wrapText="1" indent="0" readingOrder="0"/>
      <protection locked="1" hidden="0"/>
    </xf>
    <xf numFmtId="164" fontId="15" fillId="0" borderId="0" xfId="0" applyNumberFormat="1" applyFont="1" applyFill="1" applyAlignment="1" applyProtection="1">
      <alignment horizontal="right" vertical="bottom" textRotation="0" indent="0" readingOrder="0"/>
      <protection locked="1" hidden="0"/>
    </xf>
    <xf numFmtId="174" fontId="16" fillId="0" borderId="0" xfId="0" applyNumberFormat="1" applyFont="1" applyFill="1" applyAlignment="1" applyProtection="1">
      <alignment horizontal="right" vertical="bottom" textRotation="0" indent="0" readingOrder="0"/>
      <protection locked="1" hidden="0"/>
    </xf>
    <xf numFmtId="175" fontId="16" fillId="0" borderId="0" xfId="0" applyNumberFormat="1" applyFont="1" applyFill="1" applyAlignment="1" applyProtection="1">
      <alignment horizontal="right" vertical="bottom" textRotation="0" indent="0" readingOrder="0"/>
      <protection locked="1" hidden="0"/>
    </xf>
    <xf numFmtId="0" fontId="17" fillId="0" borderId="0" xfId="0" applyFont="1" applyFill="1" applyAlignment="1" applyProtection="1">
      <alignment horizontal="general" vertical="bottom"/>
      <protection locked="1" hidden="0"/>
    </xf>
    <xf numFmtId="169" fontId="17" fillId="0" borderId="0" xfId="0" applyNumberFormat="1" applyFont="1" applyFill="1" applyAlignment="1" applyProtection="1">
      <alignment horizontal="general" vertical="bottom" textRotation="0" indent="0" readingOrder="0"/>
      <protection locked="1" hidden="0"/>
    </xf>
    <xf numFmtId="174" fontId="18" fillId="0" borderId="0" xfId="0" applyNumberFormat="1" applyFont="1" applyFill="1" applyAlignment="1" applyProtection="1">
      <alignment horizontal="right" vertical="bottom" textRotation="0" indent="0" readingOrder="0"/>
      <protection locked="1" hidden="0"/>
    </xf>
    <xf numFmtId="175" fontId="18" fillId="0" borderId="0" xfId="0" applyNumberFormat="1" applyFont="1" applyFill="1" applyAlignment="1" applyProtection="1">
      <alignment horizontal="right" vertical="bottom" textRotation="0" indent="0" readingOrder="0"/>
      <protection locked="1" hidden="0"/>
    </xf>
    <xf numFmtId="169" fontId="18" fillId="0" borderId="0" xfId="0" applyNumberFormat="1" applyFont="1" applyFill="1" applyAlignment="1" applyProtection="1">
      <alignment horizontal="left" vertical="bottom" textRotation="0" indent="1" readingOrder="0"/>
      <protection locked="1" hidden="0"/>
    </xf>
    <xf numFmtId="169" fontId="19" fillId="3" borderId="1" xfId="0" applyNumberFormat="1" applyFont="1" applyFill="1" applyBorder="1" applyAlignment="1" applyProtection="1">
      <alignment horizontal="left" vertical="bottom" textRotation="0" indent="1" readingOrder="0"/>
      <protection locked="1" hidden="0"/>
    </xf>
    <xf numFmtId="169" fontId="18" fillId="3" borderId="2" xfId="0" applyNumberFormat="1" applyFont="1" applyFill="1" applyBorder="1" applyAlignment="1" applyProtection="1">
      <alignment horizontal="left" vertical="bottom" textRotation="0" indent="1" readingOrder="0"/>
      <protection locked="1" hidden="0"/>
    </xf>
    <xf numFmtId="169" fontId="18" fillId="3" borderId="0" xfId="0" applyNumberFormat="1" applyFont="1" applyFill="1" applyAlignment="1" applyProtection="1">
      <alignment horizontal="left" vertical="bottom" textRotation="0" indent="1" readingOrder="0"/>
      <protection locked="1" hidden="0"/>
    </xf>
    <xf numFmtId="169" fontId="19" fillId="3" borderId="3" xfId="0" applyNumberFormat="1" applyFont="1" applyFill="1" applyBorder="1" applyAlignment="1" applyProtection="1">
      <alignment horizontal="left" vertical="bottom" textRotation="0" indent="1" readingOrder="0"/>
      <protection locked="1" hidden="0"/>
    </xf>
  </cellXfs>
  <cellStyles count="1">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styles" Target="styles.xml"/><Relationship Id="rId14" Type="http://schemas.openxmlformats.org/officeDocument/2006/relationships/theme" Target="theme/theme1.xml"/><Relationship Id="rId15"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1</xdr:col>
      <xdr:colOff>38100</xdr:colOff>
      <xdr:row>1</xdr:row>
      <xdr:rowOff>19050</xdr:rowOff>
    </xdr:from>
    <xdr:ext cx="571500" cy="571500"/>
    <xdr:pic>
      <xdr:nvPicPr>
        <xdr:cNvPr id="2" name="Shortcut logo"/>
        <xdr:cNvPicPr>
          <a:picLocks noChangeAspect="1"/>
        </xdr:cNvPicPr>
      </xdr:nvPicPr>
      <xdr:blipFill>
        <a:blip r:embed="rId1"/>
      </xdr:blipFill>
      <xdr:spPr>
        <a:xfrm>
          <a:off x="0" y="0"/>
          <a:ext cx="571500" cy="571500"/>
        </a:xfrm>
        <a:prstGeom prst="rect">
          <a:avLst/>
        </a:prstGeom>
      </xdr:spPr>
    </xdr:pic>
    <xdr:clientData/>
  </xdr:oneCellAnchor>
</xdr:wsDr>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Malgun Gothic"/>
        <a:font script="Hans" typeface="DengXian Light"/>
        <a:font script="Hant" typeface="Microsoft JhengHei Light"/>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majorFont>
      <a:minorFont>
        <a:latin typeface="Calibri" panose="020F0502020204030204"/>
        <a:ea typeface=""/>
        <a:cs typeface=""/>
        <a:font script="Jpan" typeface="Yu Gothic"/>
        <a:font script="Hang" typeface="Malgun Gothic"/>
        <a:font script="Hans" typeface="DengXian"/>
        <a:font script="Hant" typeface="Microsoft JhengHei"/>
        <a:font script="Arab" typeface="Arial"/>
        <a:font script="Hebr" typeface="Arial"/>
        <a:font script="Thai" typeface="Cordia New"/>
        <a:font script="Ethi" typeface="Nyala"/>
        <a:font script="Beng" typeface="Vrinda"/>
        <a:font script="Gujr" typeface="Shruti"/>
        <a:font script="Khmr" typeface="DaunPenh"/>
        <a:font script="Knda" typeface="Tunga"/>
      </a:minorFont>
    </a:fontScheme>
    <a:fmtScheme name="Office">
      <a:fillStyleLst>
        <a:solidFill>
          <a:schemeClr val="phClr"/>
        </a:solidFill>
        <a:solidFill>
          <a:schemeClr val="phClr"/>
        </a:solidFill>
        <a:solidFill>
          <a:schemeClr val="phClr"/>
        </a:solidFill>
      </a:fillStyleLst>
      <a:lnStyleLst>
        <a:ln w="6350">
          <a:solidFill>
            <a:schemeClr val="phClr"/>
          </a:solidFill>
        </a:ln>
        <a:ln w="12700">
          <a:solidFill>
            <a:schemeClr val="phClr"/>
          </a:solidFill>
        </a:ln>
        <a:ln w="19050">
          <a:solidFill>
            <a:schemeClr val="phClr"/>
          </a:solidFill>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2" Type="http://schemas.openxmlformats.org/officeDocument/2006/relationships/comments" Target="../comments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1" Type="http://schemas.openxmlformats.org/officeDocument/2006/relationships/comments" Target="../comments6.xml"/><Relationship Id="rId2"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1" Type="http://schemas.openxmlformats.org/officeDocument/2006/relationships/comments" Target="../comments7.xml"/><Relationship Id="rId2"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1" Type="http://schemas.openxmlformats.org/officeDocument/2006/relationships/comments" Target="../comments8.xml"/><Relationship Id="rId2" Type="http://schemas.openxmlformats.org/officeDocument/2006/relationships/vmlDrawing" Target="../drawings/vmlDrawing8.vml"/></Relationships>
</file>

<file path=xl/worksheets/_rels/sheet9.xml.rels><?xml version="1.0" encoding="UTF-8" standalone="yes"?>
<Relationships xmlns="http://schemas.openxmlformats.org/package/2006/relationships"><Relationship Id="rId1" Type="http://schemas.openxmlformats.org/officeDocument/2006/relationships/comments" Target="../comments9.xml"/><Relationship Id="rId2" Type="http://schemas.openxmlformats.org/officeDocument/2006/relationships/vmlDrawing" Target="../drawings/vmlDrawing9.vml"/></Relationships>
</file>

<file path=xl/worksheets/_rels/sheet10.xml.rels><?xml version="1.0" encoding="UTF-8" standalone="yes"?>
<Relationships xmlns="http://schemas.openxmlformats.org/package/2006/relationships"><Relationship Id="rId1" Type="http://schemas.openxmlformats.org/officeDocument/2006/relationships/comments" Target="../comments10.xml"/><Relationship Id="rId2" Type="http://schemas.openxmlformats.org/officeDocument/2006/relationships/vmlDrawing" Target="../drawings/vmlDrawing10.vml"/></Relationships>
</file>

<file path=xl/worksheets/_rels/sheet11.xml.rels><?xml version="1.0" encoding="UTF-8" standalone="yes"?>
<Relationships xmlns="http://schemas.openxmlformats.org/package/2006/relationships"><Relationship Id="rId1" Type="http://schemas.openxmlformats.org/officeDocument/2006/relationships/comments" Target="../comments12.xml"/><Relationship Id="rId2" Type="http://schemas.openxmlformats.org/officeDocument/2006/relationships/vmlDrawing" Target="../drawings/vmlDrawing12.vml"/></Relationships>
</file>

<file path=xl/worksheets/_rels/sheet12.xml.rels><?xml version="1.0" encoding="UTF-8" standalone="yes"?>
<Relationships xmlns="http://schemas.openxmlformats.org/package/2006/relationships"><Relationship Id="rId1" Type="http://schemas.openxmlformats.org/officeDocument/2006/relationships/comments" Target="../comments11.xml"/><Relationship Id="rId2" Type="http://schemas.openxmlformats.org/officeDocument/2006/relationships/vmlDrawing" Target="../drawings/vmlDrawing11.vml"/></Relationships>
</file>

<file path=xl/worksheets/sheet1.xml><?xml version="1.0" encoding="utf-8"?>
<worksheet xmlns="http://schemas.openxmlformats.org/spreadsheetml/2006/main" xmlns:r="http://schemas.openxmlformats.org/officeDocument/2006/relationships">
  <dimension ref="A1:J38"/>
  <sheetViews>
    <sheetView showGridLines="0" tabSelected="1" workbookViewId="0"/>
  </sheetViews>
  <sheetFormatPr defaultColWidth="8.42578125" defaultRowHeight="15"/>
  <cols>
    <col min="1" max="1" width="2" customWidth="1"/>
    <col min="2" max="2" width="32" customWidth="1"/>
    <col min="3" max="8" width="12" customWidth="1"/>
    <col min="9" max="9" width="10" customWidth="1"/>
  </cols>
  <sheetData>
    <row r="1">
      <c r="A1" s="1"/>
      <c r="B1" s="1"/>
      <c r="C1" s="1"/>
      <c r="D1" s="1"/>
      <c r="E1" s="1"/>
      <c r="F1" s="1"/>
      <c r="G1" s="1"/>
      <c r="H1" s="1"/>
      <c r="I1" s="1"/>
      <c r="J1" s="1"/>
    </row>
    <row r="2">
      <c r="A2" s="1"/>
      <c r="B2" s="1"/>
      <c r="C2" s="35" t="s">
        <v>0</v>
      </c>
      <c r="D2" s="1"/>
      <c r="E2" s="1"/>
      <c r="F2" s="1"/>
      <c r="G2" s="1"/>
      <c r="H2" s="1"/>
      <c r="I2" s="1"/>
      <c r="J2" s="1"/>
    </row>
    <row r="3">
      <c r="A3" s="1"/>
      <c r="B3" s="1"/>
      <c r="C3" s="46" t="s">
        <v>1</v>
      </c>
      <c r="D3" s="1"/>
      <c r="E3" s="1"/>
      <c r="F3" s="1"/>
      <c r="G3" s="1"/>
      <c r="H3" s="1"/>
      <c r="I3" s="1"/>
      <c r="J3" s="1"/>
    </row>
    <row r="4">
      <c r="A4" s="1"/>
      <c r="B4" s="1"/>
      <c r="C4" s="25" t="s">
        <v>2</v>
      </c>
      <c r="D4" s="1"/>
      <c r="E4" s="1"/>
      <c r="F4" s="1"/>
      <c r="G4" s="1"/>
      <c r="H4" s="1"/>
      <c r="I4" s="1"/>
      <c r="J4" s="1"/>
    </row>
    <row r="5">
      <c r="A5" s="1"/>
      <c r="B5" s="28" t="s">
        <v>3</v>
      </c>
      <c r="C5" s="2" t="s">
        <v>4</v>
      </c>
      <c r="D5" s="1"/>
      <c r="E5" s="1"/>
      <c r="F5" s="1"/>
      <c r="G5" s="1"/>
      <c r="H5" s="1"/>
      <c r="I5" s="1"/>
      <c r="J5" s="1"/>
    </row>
    <row r="6">
      <c r="A6" s="1"/>
      <c r="B6" s="41" t="s">
        <v>5</v>
      </c>
      <c r="C6" s="17">
        <v>46265</v>
      </c>
      <c r="D6" s="1"/>
      <c r="E6" s="1"/>
      <c r="F6" s="1"/>
      <c r="G6" s="1"/>
      <c r="H6" s="1"/>
      <c r="I6" s="1"/>
      <c r="J6" s="1"/>
    </row>
    <row r="7">
      <c r="A7" s="1"/>
      <c r="B7" s="14" t="s">
        <v>6</v>
      </c>
      <c r="C7" s="40">
        <v>92</v>
      </c>
      <c r="D7" s="1"/>
      <c r="E7" s="1"/>
      <c r="F7" s="1"/>
      <c r="G7" s="1"/>
      <c r="H7" s="1"/>
      <c r="I7" s="1"/>
      <c r="J7" s="1"/>
    </row>
    <row r="8">
      <c r="A8" s="1"/>
      <c r="B8" s="1"/>
      <c r="C8" s="1"/>
      <c r="D8" s="1"/>
      <c r="E8" s="1"/>
      <c r="F8" s="1"/>
      <c r="G8" s="1"/>
      <c r="H8" s="1"/>
      <c r="I8" s="1"/>
      <c r="J8" s="1"/>
    </row>
    <row r="9">
      <c r="A9" s="1"/>
      <c r="B9" s="15" t="s">
        <v>7</v>
      </c>
      <c r="C9" s="29" t="s">
        <v>8</v>
      </c>
      <c r="D9" s="1"/>
      <c r="E9" s="1"/>
      <c r="F9" s="1"/>
      <c r="G9" s="1"/>
      <c r="H9" s="1"/>
      <c r="I9" s="1"/>
      <c r="J9" s="1"/>
    </row>
    <row r="10">
      <c r="A10" s="1"/>
      <c r="B10" s="15" t="s">
        <v>9</v>
      </c>
      <c r="C10" s="29" t="s">
        <v>10</v>
      </c>
      <c r="D10" s="1"/>
      <c r="E10" s="1"/>
      <c r="F10" s="1"/>
      <c r="G10" s="1"/>
      <c r="H10" s="1"/>
      <c r="I10" s="1"/>
      <c r="J10" s="1"/>
    </row>
    <row r="11">
      <c r="A11" s="1"/>
      <c r="B11" s="15" t="s">
        <v>11</v>
      </c>
      <c r="C11" s="29" t="s">
        <v>12</v>
      </c>
      <c r="D11" s="1"/>
      <c r="E11" s="1"/>
      <c r="F11" s="1"/>
      <c r="G11" s="1"/>
      <c r="H11" s="1"/>
      <c r="I11" s="1"/>
      <c r="J11" s="1"/>
    </row>
    <row r="12">
      <c r="A12" s="1"/>
      <c r="B12" s="15" t="s">
        <v>13</v>
      </c>
      <c r="C12" s="29" t="s">
        <v>14</v>
      </c>
      <c r="D12" s="1"/>
      <c r="E12" s="1"/>
      <c r="F12" s="1"/>
      <c r="G12" s="1"/>
      <c r="H12" s="1"/>
      <c r="I12" s="1"/>
      <c r="J12" s="1"/>
    </row>
    <row r="13">
      <c r="A13" s="1"/>
      <c r="B13" s="15" t="s">
        <v>15</v>
      </c>
      <c r="C13" s="29" t="s">
        <v>16</v>
      </c>
      <c r="D13" s="1"/>
      <c r="E13" s="1"/>
      <c r="F13" s="1"/>
      <c r="G13" s="1"/>
      <c r="H13" s="1"/>
      <c r="I13" s="1"/>
      <c r="J13" s="1"/>
    </row>
    <row r="14">
      <c r="A14" s="1"/>
      <c r="B14" s="15" t="s">
        <v>17</v>
      </c>
      <c r="C14" s="29" t="s">
        <v>18</v>
      </c>
      <c r="D14" s="1"/>
      <c r="E14" s="1"/>
      <c r="F14" s="1"/>
      <c r="G14" s="1"/>
      <c r="H14" s="1"/>
      <c r="I14" s="1"/>
      <c r="J14" s="1"/>
    </row>
    <row r="15">
      <c r="A15" s="1"/>
      <c r="B15" s="15" t="s">
        <v>19</v>
      </c>
      <c r="C15" s="29" t="s">
        <v>20</v>
      </c>
      <c r="D15" s="1"/>
      <c r="E15" s="1"/>
      <c r="F15" s="1"/>
      <c r="G15" s="1"/>
      <c r="H15" s="1"/>
      <c r="I15" s="1"/>
      <c r="J15" s="1"/>
    </row>
    <row r="16">
      <c r="A16" s="1"/>
      <c r="B16" s="15" t="s">
        <v>21</v>
      </c>
      <c r="C16" s="29" t="s">
        <v>22</v>
      </c>
      <c r="D16" s="1"/>
      <c r="E16" s="1"/>
      <c r="F16" s="1"/>
      <c r="G16" s="1"/>
      <c r="H16" s="1"/>
      <c r="I16" s="1"/>
      <c r="J16" s="1"/>
    </row>
    <row r="17">
      <c r="A17" s="1"/>
      <c r="B17" s="15" t="s">
        <v>23</v>
      </c>
      <c r="C17" s="13" t="str">
        <f>"$"&amp;TEXT(Inputs!C111,"0.00")&amp;"B at Oct 2, 2026 close — "&amp;Inputs!C112&amp;"-cap; S&amp;P 500 member: "&amp;Inputs!C113</f>
        <v>$2.65B at Oct 2, 2026 close — mid-cap; S&amp;P 500 member: N</v>
      </c>
      <c r="D17" s="1"/>
      <c r="E17" s="1"/>
      <c r="F17" s="1"/>
      <c r="G17" s="1"/>
      <c r="H17" s="1"/>
      <c r="I17" s="1"/>
      <c r="J17" s="1"/>
    </row>
    <row r="18">
      <c r="A18" s="1"/>
      <c r="B18" s="15" t="s">
        <v>24</v>
      </c>
      <c r="C18" s="29" t="s">
        <v>25</v>
      </c>
      <c r="D18" s="1"/>
      <c r="E18" s="1"/>
      <c r="F18" s="1"/>
      <c r="G18" s="1"/>
      <c r="H18" s="1"/>
      <c r="I18" s="1"/>
      <c r="J18" s="1"/>
    </row>
    <row r="19">
      <c r="A19" s="1"/>
      <c r="B19" s="1"/>
      <c r="C19" s="1"/>
      <c r="D19" s="1"/>
      <c r="E19" s="1"/>
      <c r="F19" s="1"/>
      <c r="G19" s="1"/>
      <c r="H19" s="1"/>
      <c r="I19" s="1"/>
      <c r="J19" s="1"/>
    </row>
    <row r="20">
      <c r="A20" s="1"/>
      <c r="B20" s="51" t="s">
        <v>26</v>
      </c>
      <c r="C20" s="19" t="s">
        <v>27</v>
      </c>
      <c r="D20" s="19" t="s">
        <v>28</v>
      </c>
      <c r="E20" s="19" t="s">
        <v>29</v>
      </c>
      <c r="F20" s="19" t="s">
        <v>30</v>
      </c>
      <c r="G20" s="19" t="s">
        <v>31</v>
      </c>
      <c r="H20" s="19" t="s">
        <v>32</v>
      </c>
      <c r="I20" s="19" t="s">
        <v>33</v>
      </c>
      <c r="J20" s="1"/>
    </row>
    <row r="21">
      <c r="A21" s="1"/>
      <c r="B21" s="1" t="s">
        <v>34</v>
      </c>
      <c r="C21" s="6">
        <f>'Revenue summary'!H35</f>
        <v>212.162683095</v>
      </c>
      <c r="D21" s="21">
        <f>Inputs!C65</f>
        <v>208.18</v>
      </c>
      <c r="E21" s="8">
        <f>C21-D21</f>
        <v>3.9826830949999987</v>
      </c>
      <c r="F21" s="9">
        <f>IF(D21=0,"n/a",(C21-D21)/ABS(D21))</f>
        <v>0.019130959242002105</v>
      </c>
      <c r="G21" s="21">
        <f>Guidance!G27</f>
        <v>208</v>
      </c>
      <c r="H21" s="8">
        <f>C21-G21</f>
        <v>4.1626830950000056</v>
      </c>
      <c r="I21" s="50">
        <f>Inputs!C70</f>
        <v>4</v>
      </c>
      <c r="J21" s="1"/>
    </row>
    <row r="22">
      <c r="A22" s="1"/>
      <c r="B22" s="1" t="s">
        <v>35</v>
      </c>
      <c r="C22" s="6">
        <f>'Income Statement'!H157</f>
        <v>12.326191974169399</v>
      </c>
      <c r="D22" s="21">
        <f>Inputs!C78</f>
        <v>10.1</v>
      </c>
      <c r="E22" s="8">
        <f>C22-D22</f>
        <v>2.2261919741693994</v>
      </c>
      <c r="F22" s="9">
        <f>IF(D22=0,"n/a",(C22-D22)/ABS(D22))</f>
        <v>0.2204150469474653</v>
      </c>
      <c r="G22" s="84">
        <f>Guidance!G36</f>
        <v>11.84</v>
      </c>
      <c r="H22" s="88">
        <f>C22-G22</f>
        <v>0.4861919741693992</v>
      </c>
      <c r="I22" s="1"/>
      <c r="J22" s="1"/>
    </row>
    <row r="23">
      <c r="A23" s="1"/>
      <c r="B23" s="1" t="s">
        <v>36</v>
      </c>
      <c r="C23" s="22">
        <f>'Income Statement'!H164</f>
        <v>0.06</v>
      </c>
      <c r="D23" s="39">
        <f>Inputs!C49</f>
        <v>0.05</v>
      </c>
      <c r="E23" s="11">
        <f>C23-D23</f>
        <v>0.009999999999999995</v>
      </c>
      <c r="F23" s="9">
        <f>IF(D23=0,"n/a",(C23-D23)/ABS(D23))</f>
        <v>0.1999999999999999</v>
      </c>
      <c r="G23" s="83">
        <f>Guidance!G37</f>
        <v>0.05423579348358407</v>
      </c>
      <c r="H23" s="87">
        <f>C23-G23</f>
        <v>0.005764206516415925</v>
      </c>
      <c r="I23" s="50">
        <f>Inputs!C54</f>
        <v>3</v>
      </c>
      <c r="J23" s="1"/>
    </row>
    <row r="24">
      <c r="A24" s="1"/>
      <c r="B24" s="1" t="s">
        <v>37</v>
      </c>
      <c r="C24" s="6">
        <f>'Income Statement'!H199</f>
        <v>37.65701618131</v>
      </c>
      <c r="D24" s="21">
        <f>Inputs!C74</f>
        <v>36.67</v>
      </c>
      <c r="E24" s="8">
        <f>C24-D24</f>
        <v>0.9870161813099969</v>
      </c>
      <c r="F24" s="9">
        <f>IF(D24=0,"n/a",(C24-D24)/ABS(D24))</f>
        <v>0.02691617620152705</v>
      </c>
      <c r="G24" s="21">
        <f>Guidance!G28</f>
        <v>37</v>
      </c>
      <c r="H24" s="8">
        <f>C24-G24</f>
        <v>0.6570161813099986</v>
      </c>
      <c r="I24" s="1"/>
      <c r="J24" s="1"/>
    </row>
    <row r="25">
      <c r="A25" s="1"/>
      <c r="B25" s="1" t="s">
        <v>38</v>
      </c>
      <c r="C25" s="6">
        <f>'Income Statement'!H92</f>
        <v>-18.249808025830603</v>
      </c>
      <c r="D25" s="21">
        <f>Inputs!C79</f>
        <v>-15.37</v>
      </c>
      <c r="E25" s="8">
        <f>C25-D25</f>
        <v>-2.879808025830604</v>
      </c>
      <c r="F25" s="9">
        <f>IF(D25=0,"n/a",(C25-D25)/ABS(D25))</f>
        <v>-0.18736551892196515</v>
      </c>
      <c r="G25" s="26" t="s">
        <v>39</v>
      </c>
      <c r="H25" s="26" t="s">
        <v>40</v>
      </c>
      <c r="I25" s="1"/>
      <c r="J25" s="1"/>
    </row>
    <row r="26">
      <c r="A26" s="1"/>
      <c r="B26" s="1" t="s">
        <v>41</v>
      </c>
      <c r="C26" s="22">
        <f>'Income Statement'!H104</f>
        <v>-0.08</v>
      </c>
      <c r="D26" s="39">
        <f>Inputs!C58</f>
        <v>-0.07</v>
      </c>
      <c r="E26" s="11">
        <f>C26-D26</f>
        <v>-0.009999999999999995</v>
      </c>
      <c r="F26" s="9">
        <f>IF(D26=0,"n/a",(C26-D26)/ABS(D26))</f>
        <v>-0.14285714285714277</v>
      </c>
      <c r="G26" s="26" t="s">
        <v>39</v>
      </c>
      <c r="H26" s="26" t="s">
        <v>40</v>
      </c>
      <c r="I26" s="1"/>
      <c r="J26" s="1"/>
    </row>
    <row r="27">
      <c r="A27" s="1"/>
      <c r="B27" s="15" t="s">
        <v>42</v>
      </c>
      <c r="C27" s="36">
        <f>Inputs!C122</f>
        <v>0.62</v>
      </c>
      <c r="D27" s="1"/>
      <c r="E27" s="1"/>
      <c r="F27" s="1"/>
      <c r="G27" s="1"/>
      <c r="H27" s="1"/>
      <c r="I27" s="1"/>
      <c r="J27" s="1"/>
    </row>
    <row r="28">
      <c r="A28" s="1"/>
      <c r="B28" s="15" t="s">
        <v>43</v>
      </c>
      <c r="C28" s="31" t="str">
        <f>Inputs!C125</f>
        <v>low</v>
      </c>
      <c r="D28" s="1"/>
      <c r="E28" s="1"/>
      <c r="F28" s="1"/>
      <c r="G28" s="1"/>
      <c r="H28" s="1"/>
      <c r="I28" s="1"/>
      <c r="J28" s="1"/>
    </row>
    <row r="29">
      <c r="A29" s="1"/>
      <c r="B29" s="1" t="s">
        <v>44</v>
      </c>
      <c r="C29" s="27" t="b">
        <f>AND(C21='Revenue summary'!H35,C22='Income Statement'!H157,C23='Income Statement'!H164,C24='Income Statement'!H199,C25='Income Statement'!H92,C26='Income Statement'!H104,C27=Inputs!C122)</f>
        <v>1</v>
      </c>
      <c r="D29" s="1"/>
      <c r="E29" s="1"/>
      <c r="F29" s="1"/>
      <c r="G29" s="1"/>
      <c r="H29" s="1"/>
      <c r="I29" s="1"/>
      <c r="J29" s="1"/>
    </row>
    <row r="30">
      <c r="A30" s="1"/>
      <c r="B30" s="15" t="s">
        <v>45</v>
      </c>
      <c r="C30" s="31" t="str">
        <f>IF(AND('Revenue summary'!C45,'Revenue summary'!D45,'Revenue summary'!E45,'Revenue summary'!F45,'Revenue summary'!G45,'Segment - Food Safety'!C113,'Segment - Food Safety'!D113,'Segment - Food Safety'!E113,'Segment - Food Safety'!F113,'Segment - Food Safety'!G113,'Segment - Food Safety'!G114,'Segment - Animal Safety'!C97,'Segment - Animal Safety'!D97,'Segment - Animal Safety'!E97,'Segment - Animal Safety'!F97,'Segment - Animal Safety'!G97,'Segment - Animal Safety'!G98,'Income Statement'!G28,'Income Statement'!G97,'Income Statement'!C109,'Income Statement'!D109,'Income Statement'!E109,'Income Statement'!F109,'Income Statement'!G109,'Income Statement'!C159,'Income Statement'!D159,'Income Statement'!E159,'Income Statement'!F159,'Income Statement'!G159,'Income Statement'!C166,'Income Statement'!D166,'Income Statement'!E166,'Income Statement'!F166,'Income Statement'!G166,'Income Statement'!C201,'Income Statement'!D201,'Income Statement'!E201,'Income Statement'!F201,'Income Statement'!G201,'Income Statement'!C224,'Income Statement'!D224,'Income Statement'!E224,'Income Statement'!F224,'Income Statement'!G224,'Balance Sheet'!C47,'Balance Sheet'!D47,'Balance Sheet'!E47,'Balance Sheet'!F47,'Balance Sheet'!G47,'Balance Sheet'!H47,'Balance Sheet'!C48,'Balance Sheet'!D48,'Balance Sheet'!E48,'Balance Sheet'!F48,'Balance Sheet'!G48,'Cash Flow Statement'!C91,'Cash Flow Statement'!D91,'Cash Flow Statement'!E91,'Cash Flow Statement'!F91,'Cash Flow Statement'!G91,'Cash Flow Statement'!C94,'Cash Flow Statement'!D94,'Cash Flow Statement'!E94,'Cash Flow Statement'!F94,'Cash Flow Statement'!G94,'Cash Flow Statement'!C135,'Cash Flow Statement'!D135,'Cash Flow Statement'!E135,'Cash Flow Statement'!F135,Geo!C35,Geo!D35,Geo!E35,Geo!F35,Geo!G35,Geo!G36,Inputs!J18),"PASS","FAIL")</f>
        <v>PASS</v>
      </c>
      <c r="D30" s="1"/>
      <c r="E30" s="1"/>
      <c r="F30" s="1"/>
      <c r="G30" s="1"/>
      <c r="H30" s="1"/>
      <c r="I30" s="1"/>
      <c r="J30" s="1"/>
    </row>
    <row r="31">
      <c r="A31" s="1"/>
      <c r="B31" s="1"/>
      <c r="C31" s="1"/>
      <c r="D31" s="1"/>
      <c r="E31" s="1"/>
      <c r="F31" s="1"/>
      <c r="G31" s="1"/>
      <c r="H31" s="1"/>
      <c r="I31" s="1"/>
      <c r="J31" s="1"/>
    </row>
    <row r="32">
      <c r="A32" s="1"/>
      <c r="B32" s="16" t="s">
        <v>46</v>
      </c>
      <c r="C32" s="1"/>
      <c r="D32" s="1"/>
      <c r="E32" s="1"/>
      <c r="F32" s="1"/>
      <c r="G32" s="1"/>
      <c r="H32" s="1"/>
      <c r="I32" s="1"/>
      <c r="J32" s="1"/>
    </row>
    <row r="33">
      <c r="A33" s="1"/>
      <c r="B33" s="13" t="str">
        <f>"• Revenue built bottom-up by product category: Food Safety core growth "&amp;TEXT('Segment - Food Safety'!H119,"0.0%")&amp;" on an easy 1Q26 comp, Animal Safety core "&amp;TEXT('Segment - Animal Safety'!H103,"0.0%")&amp;", $"&amp;TEXT(-('Segment - Food Safety'!H122+'Segment - Animal Safety'!H106),"0.0")&amp;"M divested C&amp;D revenue removed from the base, FX "&amp;TEXT('Revenue summary'!H41,"0.0%")&amp;"."</f>
        <v>• Revenue built bottom-up by product category: Food Safety core growth 4.9% on an easy 1Q26 comp, Animal Safety core 2.0%, $6.0M divested C&amp;D revenue removed from the base, FX 0.2%.</v>
      </c>
      <c r="C33" s="1"/>
      <c r="D33" s="1"/>
      <c r="E33" s="1"/>
      <c r="F33" s="1"/>
      <c r="G33" s="1"/>
      <c r="H33" s="1"/>
      <c r="I33" s="1"/>
      <c r="J33" s="1"/>
    </row>
    <row r="34">
      <c r="A34" s="1"/>
      <c r="B34" s="13" t="str">
        <f>"• Adjusted EBITDA $"&amp;TEXT('Income Statement'!H199,"0.0")&amp;"M vs ~$"&amp;TEXT(Guidance!G28,"0")&amp;"M guide: management beat or raised every FY26 guide; revenue upside partly reinvested (FY27 plan: R&amp;D +50%; Q1 global sales meeting)."</f>
        <v>• Adjusted EBITDA $37.7M vs ~$37M guide: management beat or raised every FY26 guide; revenue upside partly reinvested (FY27 plan: R&amp;D +50%; Q1 global sales meeting).</v>
      </c>
      <c r="C34" s="1"/>
      <c r="D34" s="1"/>
      <c r="E34" s="1"/>
      <c r="F34" s="1"/>
      <c r="G34" s="1"/>
      <c r="H34" s="1"/>
      <c r="I34" s="1"/>
      <c r="J34" s="1"/>
    </row>
    <row r="35">
      <c r="A35" s="1"/>
      <c r="B35" s="13" t="str">
        <f>"• Adjusted EPS $"&amp;TEXT('Income Statement'!H163,"0.0000")&amp;" unrounded → $"&amp;TEXT('Income Statement'!H164,"0.00")&amp;" as reported; guide-midpoint EBITDA implies $"&amp;TEXT(Guidance!G37,"0.0000")&amp;" — a strict beat requires beating the EBITDA guide."</f>
        <v>• Adjusted EPS $0.0565 unrounded → $0.06 as reported; guide-midpoint EBITDA implies $0.0542 — a strict beat requires beating the EBITDA guide.</v>
      </c>
      <c r="C35" s="1"/>
      <c r="D35" s="1"/>
      <c r="E35" s="1"/>
      <c r="F35" s="1"/>
      <c r="G35" s="1"/>
      <c r="H35" s="1"/>
      <c r="I35" s="1"/>
      <c r="J35" s="1"/>
    </row>
    <row r="36">
      <c r="A36" s="1"/>
      <c r="B36" s="1"/>
      <c r="C36" s="1"/>
      <c r="D36" s="1"/>
      <c r="E36" s="1"/>
      <c r="F36" s="1"/>
      <c r="G36" s="1"/>
      <c r="H36" s="1"/>
      <c r="I36" s="1"/>
      <c r="J36" s="1"/>
    </row>
    <row r="37">
      <c r="A37" s="1"/>
      <c r="B37" s="86" t="s">
        <v>47</v>
      </c>
      <c r="C37" s="1"/>
      <c r="D37" s="1"/>
      <c r="E37" s="1"/>
      <c r="F37" s="1"/>
      <c r="G37" s="1"/>
      <c r="H37" s="1"/>
      <c r="I37" s="1"/>
      <c r="J37" s="1"/>
    </row>
    <row r="38">
      <c r="B38" s="85" t="s">
        <v>48</v>
      </c>
    </row>
  </sheetData>
  <drawing r:id="rId1"/>
  <legacyDrawing r:id="rId3"/>
</worksheet>
</file>

<file path=xl/worksheets/sheet2.xml><?xml version="1.0" encoding="utf-8"?>
<worksheet xmlns="http://schemas.openxmlformats.org/spreadsheetml/2006/main" xmlns:r="http://schemas.openxmlformats.org/officeDocument/2006/relationships">
  <dimension ref="A1:J55"/>
  <sheetViews>
    <sheetView showGridLines="0" workbookViewId="0"/>
  </sheetViews>
  <sheetFormatPr defaultColWidth="8.42578125" defaultRowHeight="15"/>
  <cols>
    <col min="1" max="1" width="2" customWidth="1"/>
    <col min="2" max="2" width="32" customWidth="1"/>
    <col min="3" max="8" width="12" customWidth="1"/>
    <col min="9" max="9" width="16" customWidth="1"/>
  </cols>
  <sheetData>
    <row r="1">
      <c r="A1" s="1"/>
      <c r="B1" s="1"/>
      <c r="C1" s="1"/>
      <c r="D1" s="1"/>
      <c r="E1" s="1"/>
      <c r="F1" s="1"/>
      <c r="G1" s="1"/>
      <c r="H1" s="1"/>
      <c r="I1" s="1"/>
      <c r="J1" s="1"/>
    </row>
    <row r="2">
      <c r="A2" s="1"/>
      <c r="B2" s="46" t="s">
        <v>1</v>
      </c>
      <c r="C2" s="1"/>
      <c r="D2" s="1"/>
      <c r="E2" s="1"/>
      <c r="F2" s="1"/>
      <c r="G2" s="1"/>
      <c r="H2" s="1"/>
      <c r="I2" s="1"/>
      <c r="J2" s="1"/>
    </row>
    <row r="3">
      <c r="A3" s="1"/>
      <c r="B3" s="15" t="s">
        <v>49</v>
      </c>
      <c r="C3" s="1"/>
      <c r="D3" s="1"/>
      <c r="E3" s="1"/>
      <c r="F3" s="1"/>
      <c r="G3" s="1"/>
      <c r="H3" s="1"/>
      <c r="I3" s="1"/>
      <c r="J3" s="1"/>
    </row>
    <row r="4">
      <c r="A4" s="1"/>
      <c r="B4" s="25" t="s">
        <v>2</v>
      </c>
      <c r="C4" s="1"/>
      <c r="D4" s="1"/>
      <c r="E4" s="1"/>
      <c r="F4" s="1"/>
      <c r="G4" s="1"/>
      <c r="H4" s="1"/>
      <c r="I4" s="1"/>
      <c r="J4" s="1"/>
    </row>
    <row r="5">
      <c r="A5" s="1"/>
      <c r="B5" s="28" t="s">
        <v>50</v>
      </c>
      <c r="C5" s="2" t="s">
        <v>51</v>
      </c>
      <c r="D5" s="2" t="s">
        <v>52</v>
      </c>
      <c r="E5" s="2" t="s">
        <v>53</v>
      </c>
      <c r="F5" s="2" t="s">
        <v>54</v>
      </c>
      <c r="G5" s="2" t="s">
        <v>55</v>
      </c>
      <c r="H5" s="2" t="s">
        <v>4</v>
      </c>
      <c r="I5" s="90" t="s">
        <v>56</v>
      </c>
      <c r="J5" s="1"/>
    </row>
    <row r="6">
      <c r="A6" s="1"/>
      <c r="B6" s="41" t="s">
        <v>5</v>
      </c>
      <c r="C6" s="17">
        <v>45900</v>
      </c>
      <c r="D6" s="17">
        <v>45991</v>
      </c>
      <c r="E6" s="17">
        <v>46081</v>
      </c>
      <c r="F6" s="17">
        <v>46173</v>
      </c>
      <c r="G6" s="17">
        <v>46173</v>
      </c>
      <c r="H6" s="17">
        <v>46265</v>
      </c>
      <c r="I6" s="92"/>
      <c r="J6" s="1"/>
    </row>
    <row r="7">
      <c r="A7" s="1"/>
      <c r="B7" s="14" t="s">
        <v>6</v>
      </c>
      <c r="C7" s="40">
        <v>92</v>
      </c>
      <c r="D7" s="40">
        <v>91</v>
      </c>
      <c r="E7" s="40">
        <v>90</v>
      </c>
      <c r="F7" s="40">
        <v>92</v>
      </c>
      <c r="G7" s="40">
        <v>365</v>
      </c>
      <c r="H7" s="40">
        <v>92</v>
      </c>
      <c r="I7" s="91"/>
      <c r="J7" s="1"/>
    </row>
    <row r="8">
      <c r="A8" s="1"/>
      <c r="B8" s="1"/>
      <c r="C8" s="1"/>
      <c r="D8" s="1"/>
      <c r="E8" s="1"/>
      <c r="F8" s="1"/>
      <c r="G8" s="1"/>
      <c r="H8" s="1"/>
      <c r="I8" s="89"/>
      <c r="J8" s="1"/>
    </row>
    <row r="9">
      <c r="A9" s="1"/>
      <c r="B9" s="16" t="s">
        <v>57</v>
      </c>
      <c r="C9" s="1"/>
      <c r="D9" s="1"/>
      <c r="E9" s="1"/>
      <c r="F9" s="1"/>
      <c r="G9" s="1"/>
      <c r="H9" s="4"/>
      <c r="I9" s="89"/>
      <c r="J9" s="1"/>
    </row>
    <row r="10">
      <c r="A10" s="1"/>
      <c r="B10" s="1" t="s">
        <v>58</v>
      </c>
      <c r="C10" s="21">
        <f>'Segment - Food Safety'!C110</f>
        <v>152.05</v>
      </c>
      <c r="D10" s="21">
        <f>'Segment - Food Safety'!D110</f>
        <v>165.554</v>
      </c>
      <c r="E10" s="21">
        <f>'Segment - Food Safety'!E110</f>
        <v>156.7</v>
      </c>
      <c r="F10" s="21">
        <f>'Segment - Food Safety'!F110</f>
        <v>166.79999999999998</v>
      </c>
      <c r="G10" s="21">
        <f>'Segment - Food Safety'!G110</f>
        <v>641.1000000000001</v>
      </c>
      <c r="H10" s="48">
        <f>'Segment - Food Safety'!H110</f>
        <v>157.941773095</v>
      </c>
      <c r="I10" s="89"/>
      <c r="J10" s="1"/>
    </row>
    <row r="11">
      <c r="A11" s="1"/>
      <c r="B11" s="1" t="s">
        <v>59</v>
      </c>
      <c r="C11" s="21">
        <f>'Segment - Food Safety'!C115</f>
        <v>159.345</v>
      </c>
      <c r="D11" s="21">
        <f>'Segment - Food Safety'!D115</f>
        <v>164.238</v>
      </c>
      <c r="E11" s="21">
        <f>'Segment - Food Safety'!E115</f>
        <v>152.8</v>
      </c>
      <c r="F11" s="21">
        <f>'Segment - Food Safety'!F115</f>
        <v>161.8</v>
      </c>
      <c r="G11" s="21">
        <f>'Segment - Food Safety'!G115</f>
        <v>638.1</v>
      </c>
      <c r="H11" s="48">
        <f>'Segment - Food Safety'!H115</f>
        <v>152.05</v>
      </c>
      <c r="I11" s="89"/>
      <c r="J11" s="1"/>
    </row>
    <row r="12">
      <c r="A12" s="1"/>
      <c r="B12" s="25" t="s">
        <v>60</v>
      </c>
      <c r="C12" s="9">
        <f>C10/C11-1</f>
        <v>-0.04578116665097731</v>
      </c>
      <c r="D12" s="9">
        <f>D10/D11-1</f>
        <v>0.00801276196738887</v>
      </c>
      <c r="E12" s="9">
        <f>E10/E11-1</f>
        <v>0.025523560209423923</v>
      </c>
      <c r="F12" s="9">
        <f>F10/F11-1</f>
        <v>0.030902348578491834</v>
      </c>
      <c r="G12" s="9">
        <f>G10/G11-1</f>
        <v>0.004701457451810276</v>
      </c>
      <c r="H12" s="20">
        <f>H10/H11-1</f>
        <v>0.038748918743834126</v>
      </c>
      <c r="I12" s="89"/>
      <c r="J12" s="1"/>
    </row>
    <row r="13">
      <c r="A13" s="1"/>
      <c r="B13" s="25" t="s">
        <v>61</v>
      </c>
      <c r="C13" s="5">
        <f>C10-F11</f>
        <v>-9.75</v>
      </c>
      <c r="D13" s="5">
        <f>D10-C10</f>
        <v>13.50399999999999</v>
      </c>
      <c r="E13" s="5">
        <f>E10-D10</f>
        <v>-8.854000000000013</v>
      </c>
      <c r="F13" s="5">
        <f>F10-E10</f>
        <v>10.099999999999994</v>
      </c>
      <c r="G13" s="1"/>
      <c r="H13" s="37">
        <f>H10-F10</f>
        <v>-8.858226904999981</v>
      </c>
      <c r="I13" s="89"/>
      <c r="J13" s="1"/>
    </row>
    <row r="14">
      <c r="A14" s="1"/>
      <c r="B14" s="25" t="s">
        <v>62</v>
      </c>
      <c r="C14" s="9">
        <f>C10/F11-1</f>
        <v>-0.06025957972805929</v>
      </c>
      <c r="D14" s="9">
        <f>D10/C10-1</f>
        <v>0.08881289049654706</v>
      </c>
      <c r="E14" s="9">
        <f>E10/D10-1</f>
        <v>-0.05348103941916238</v>
      </c>
      <c r="F14" s="9">
        <f>F10/E10-1</f>
        <v>0.06445437141033827</v>
      </c>
      <c r="G14" s="1"/>
      <c r="H14" s="20">
        <f>H10/F10-1</f>
        <v>-0.05310687592925645</v>
      </c>
      <c r="I14" s="89"/>
      <c r="J14" s="1"/>
    </row>
    <row r="15">
      <c r="A15" s="1"/>
      <c r="B15" s="25" t="s">
        <v>63</v>
      </c>
      <c r="C15" s="9">
        <f>C10/C35</f>
        <v>0.7268546625300565</v>
      </c>
      <c r="D15" s="9">
        <f>D10/D35</f>
        <v>0.7368074377700932</v>
      </c>
      <c r="E15" s="9">
        <f>E10/E35</f>
        <v>0.7419507575757576</v>
      </c>
      <c r="F15" s="9">
        <f>F10/F35</f>
        <v>0.7403462050599201</v>
      </c>
      <c r="G15" s="9">
        <f>G10/G35</f>
        <v>0.7365579044117648</v>
      </c>
      <c r="H15" s="20">
        <f>H10/H35</f>
        <v>0.7444371026561654</v>
      </c>
      <c r="I15" s="89"/>
      <c r="J15" s="1"/>
    </row>
    <row r="16">
      <c r="A16" s="1"/>
      <c r="B16" s="25" t="s">
        <v>64</v>
      </c>
      <c r="C16" s="24">
        <f>(C15-C11/C36)*10000</f>
        <v>-75.75934250976357</v>
      </c>
      <c r="D16" s="24">
        <f>(D15-D11/D36)*10000</f>
        <v>266.13628258638335</v>
      </c>
      <c r="E16" s="24">
        <f>(E15-E11/E36)*10000</f>
        <v>505.48042643630777</v>
      </c>
      <c r="F16" s="24">
        <f>(F15-F11/F36)*10000</f>
        <v>228.2957534816843</v>
      </c>
      <c r="G16" s="24">
        <f>(G15-G11/G36)*10000</f>
        <v>233.57949119488075</v>
      </c>
      <c r="H16" s="32">
        <f>(H15-H11/H36)*10000</f>
        <v>175.82440126108878</v>
      </c>
      <c r="I16" s="89"/>
      <c r="J16" s="1"/>
    </row>
    <row r="17">
      <c r="A17" s="1"/>
      <c r="B17" s="25" t="s">
        <v>65</v>
      </c>
      <c r="C17" s="60">
        <f>'Segment - Food Safety'!C117</f>
        <v>0.008</v>
      </c>
      <c r="D17" s="60">
        <f>'Segment - Food Safety'!D117</f>
        <v>0.013</v>
      </c>
      <c r="E17" s="60">
        <f>'Segment - Food Safety'!E117</f>
        <v>0.04</v>
      </c>
      <c r="F17" s="60">
        <f>'Segment - Food Safety'!F117</f>
        <v>0.023</v>
      </c>
      <c r="G17" s="60">
        <f>'Segment - Food Safety'!G117</f>
        <v>0.021</v>
      </c>
      <c r="H17" s="63">
        <f>'Segment - Food Safety'!H117</f>
        <v>0.003</v>
      </c>
      <c r="I17" s="89"/>
      <c r="J17" s="1"/>
    </row>
    <row r="18">
      <c r="A18" s="1"/>
      <c r="B18" s="25" t="s">
        <v>66</v>
      </c>
      <c r="C18" s="60">
        <f>'Segment - Food Safety'!C118</f>
        <v>-0.037</v>
      </c>
      <c r="D18" s="60">
        <f>'Segment - Food Safety'!D118</f>
        <v>-0.046</v>
      </c>
      <c r="E18" s="60">
        <f>'Segment - Food Safety'!E118</f>
        <v>-0.054</v>
      </c>
      <c r="F18" s="60">
        <f>'Segment - Food Safety'!F118</f>
        <v>-0.05</v>
      </c>
      <c r="G18" s="60">
        <f>'Segment - Food Safety'!G118</f>
        <v>-0.047</v>
      </c>
      <c r="H18" s="63">
        <f>'Segment - Food Safety'!H118</f>
        <v>-0.01315356790529431</v>
      </c>
      <c r="I18" s="89"/>
      <c r="J18" s="1"/>
    </row>
    <row r="19">
      <c r="A19" s="1"/>
      <c r="B19" s="25" t="s">
        <v>67</v>
      </c>
      <c r="C19" s="9">
        <f>(1+C12)/((1+C18)*(1+C17))-1</f>
        <v>-0.016982691583610765</v>
      </c>
      <c r="D19" s="9">
        <f>(1+D12)/((1+D18)*(1+D17))-1</f>
        <v>0.04305740464877861</v>
      </c>
      <c r="E19" s="9">
        <f>(1+E12)/((1+E18)*(1+E17))-1</f>
        <v>0.04236823081946661</v>
      </c>
      <c r="F19" s="9">
        <f>(1+F12)/((1+F18)*(1+F17))-1</f>
        <v>0.060762822018307405</v>
      </c>
      <c r="G19" s="9">
        <f>(1+G12)/((1+G18)*(1+G17))-1</f>
        <v>0.03256735259632748</v>
      </c>
      <c r="H19" s="20">
        <f>(1+H12)/((1+H18)*(1+H17))-1</f>
        <v>0.04944595134955021</v>
      </c>
      <c r="I19" s="89"/>
      <c r="J19" s="1"/>
    </row>
    <row r="20">
      <c r="A20" s="1"/>
      <c r="B20" s="25" t="s">
        <v>68</v>
      </c>
      <c r="C20" s="60">
        <f>'Segment - Food Safety'!C119</f>
        <v>-0.017</v>
      </c>
      <c r="D20" s="60">
        <f>'Segment - Food Safety'!D119</f>
        <v>0.041</v>
      </c>
      <c r="E20" s="60">
        <f>'Segment - Food Safety'!E119</f>
        <v>0.04</v>
      </c>
      <c r="F20" s="60">
        <f>'Segment - Food Safety'!F119</f>
        <v>0.058</v>
      </c>
      <c r="G20" s="60">
        <f>'Segment - Food Safety'!G119</f>
        <v>0.031</v>
      </c>
      <c r="H20" s="63">
        <f>'Segment - Food Safety'!H119</f>
        <v>0.049445951349550155</v>
      </c>
      <c r="I20" s="89"/>
      <c r="J20" s="1"/>
    </row>
    <row r="21">
      <c r="A21" s="1"/>
      <c r="B21" s="1"/>
      <c r="C21" s="1"/>
      <c r="D21" s="1"/>
      <c r="E21" s="1"/>
      <c r="F21" s="1"/>
      <c r="G21" s="1"/>
      <c r="H21" s="4"/>
      <c r="I21" s="89"/>
      <c r="J21" s="1"/>
    </row>
    <row r="22">
      <c r="A22" s="1"/>
      <c r="B22" s="1" t="s">
        <v>69</v>
      </c>
      <c r="C22" s="21">
        <f>'Segment - Animal Safety'!C94</f>
        <v>57.138999999999996</v>
      </c>
      <c r="D22" s="21">
        <f>'Segment - Animal Safety'!D94</f>
        <v>59.137</v>
      </c>
      <c r="E22" s="21">
        <f>'Segment - Animal Safety'!E94</f>
        <v>54.5</v>
      </c>
      <c r="F22" s="21">
        <f>'Segment - Animal Safety'!F94</f>
        <v>58.5</v>
      </c>
      <c r="G22" s="21">
        <f>'Segment - Animal Safety'!G94</f>
        <v>229.29999999999998</v>
      </c>
      <c r="H22" s="48">
        <f>'Segment - Animal Safety'!H94</f>
        <v>54.22091</v>
      </c>
      <c r="I22" s="89"/>
      <c r="J22" s="1"/>
    </row>
    <row r="23">
      <c r="A23" s="1"/>
      <c r="B23" s="1" t="s">
        <v>59</v>
      </c>
      <c r="C23" s="21">
        <f>'Segment - Animal Safety'!C99</f>
        <v>57.619</v>
      </c>
      <c r="D23" s="21">
        <f>'Segment - Animal Safety'!D99</f>
        <v>67.02</v>
      </c>
      <c r="E23" s="21">
        <f>'Segment - Animal Safety'!E99</f>
        <v>68.2</v>
      </c>
      <c r="F23" s="21">
        <f>'Segment - Animal Safety'!F99</f>
        <v>63.7</v>
      </c>
      <c r="G23" s="21">
        <f>'Segment - Animal Safety'!G99</f>
        <v>256.6</v>
      </c>
      <c r="H23" s="48">
        <f>'Segment - Animal Safety'!H99</f>
        <v>57.138999999999996</v>
      </c>
      <c r="I23" s="89"/>
      <c r="J23" s="1"/>
    </row>
    <row r="24">
      <c r="A24" s="1"/>
      <c r="B24" s="25" t="s">
        <v>60</v>
      </c>
      <c r="C24" s="9">
        <f>C22/C23-1</f>
        <v>-0.008330585397178125</v>
      </c>
      <c r="D24" s="9">
        <f>D22/D23-1</f>
        <v>-0.11762160549089817</v>
      </c>
      <c r="E24" s="9">
        <f>E22/E23-1</f>
        <v>-0.20087976539589447</v>
      </c>
      <c r="F24" s="9">
        <f>F22/F23-1</f>
        <v>-0.08163265306122458</v>
      </c>
      <c r="G24" s="9">
        <f>G22/G23-1</f>
        <v>-0.10639127045985985</v>
      </c>
      <c r="H24" s="20">
        <f>H22/H23-1</f>
        <v>-0.051070022226500145</v>
      </c>
      <c r="I24" s="89"/>
      <c r="J24" s="1"/>
    </row>
    <row r="25">
      <c r="A25" s="1"/>
      <c r="B25" s="25" t="s">
        <v>61</v>
      </c>
      <c r="C25" s="5">
        <f>C22-F23</f>
        <v>-6.561000000000007</v>
      </c>
      <c r="D25" s="5">
        <f>D22-C22</f>
        <v>1.9980000000000047</v>
      </c>
      <c r="E25" s="5">
        <f>E22-D22</f>
        <v>-4.6370000000000005</v>
      </c>
      <c r="F25" s="5">
        <f>F22-E22</f>
        <v>4</v>
      </c>
      <c r="G25" s="1"/>
      <c r="H25" s="37">
        <f>H22-F22</f>
        <v>-4.2790899999999965</v>
      </c>
      <c r="I25" s="89"/>
      <c r="J25" s="1"/>
    </row>
    <row r="26">
      <c r="A26" s="1"/>
      <c r="B26" s="25" t="s">
        <v>62</v>
      </c>
      <c r="C26" s="9">
        <f>C22/F23-1</f>
        <v>-0.1029984301412874</v>
      </c>
      <c r="D26" s="9">
        <f>D22/C22-1</f>
        <v>0.03496736029682013</v>
      </c>
      <c r="E26" s="9">
        <f>E22/D22-1</f>
        <v>-0.0784111469976495</v>
      </c>
      <c r="F26" s="9">
        <f>F22/E22-1</f>
        <v>0.07339449541284404</v>
      </c>
      <c r="G26" s="1"/>
      <c r="H26" s="20">
        <f>H22/F22-1</f>
        <v>-0.0731468376068376</v>
      </c>
      <c r="I26" s="89"/>
      <c r="J26" s="1"/>
    </row>
    <row r="27">
      <c r="A27" s="1"/>
      <c r="B27" s="25" t="s">
        <v>63</v>
      </c>
      <c r="C27" s="9">
        <f>C22/C35</f>
        <v>0.2731453374699434</v>
      </c>
      <c r="D27" s="9">
        <f>D22/D35</f>
        <v>0.26319256222990683</v>
      </c>
      <c r="E27" s="9">
        <f>E22/E35</f>
        <v>0.25804924242424243</v>
      </c>
      <c r="F27" s="9">
        <f>F22/F35</f>
        <v>0.2596537949400799</v>
      </c>
      <c r="G27" s="9">
        <f>G22/G35</f>
        <v>0.2634420955882352</v>
      </c>
      <c r="H27" s="20">
        <f>H22/H35</f>
        <v>0.25556289734383464</v>
      </c>
      <c r="I27" s="89"/>
      <c r="J27" s="1"/>
    </row>
    <row r="28">
      <c r="A28" s="1"/>
      <c r="B28" s="25" t="s">
        <v>64</v>
      </c>
      <c r="C28" s="24">
        <f>(C27-C23/C36)*10000</f>
        <v>75.75934250976191</v>
      </c>
      <c r="D28" s="24">
        <f>(D27-D23/D36)*10000</f>
        <v>-266.1362825863844</v>
      </c>
      <c r="E28" s="24">
        <f>(E27-E23/E36)*10000</f>
        <v>-505.48042643630885</v>
      </c>
      <c r="F28" s="24">
        <f>(F27-F23/F36)*10000</f>
        <v>-228.2957534816843</v>
      </c>
      <c r="G28" s="24">
        <f>(G27-G23/G36)*10000</f>
        <v>-233.5794911948802</v>
      </c>
      <c r="H28" s="32">
        <f>(H27-H23/H36)*10000</f>
        <v>-175.82440126108767</v>
      </c>
      <c r="I28" s="89"/>
      <c r="J28" s="1"/>
    </row>
    <row r="29">
      <c r="A29" s="1"/>
      <c r="B29" s="25" t="s">
        <v>65</v>
      </c>
      <c r="C29" s="60">
        <f>'Segment - Animal Safety'!C101</f>
        <v>-0.002</v>
      </c>
      <c r="D29" s="60">
        <f>'Segment - Animal Safety'!D101</f>
        <v>-0.002</v>
      </c>
      <c r="E29" s="60">
        <f>'Segment - Animal Safety'!E101</f>
        <v>0.005120234604105517</v>
      </c>
      <c r="F29" s="60">
        <f>'Segment - Animal Safety'!F101</f>
        <v>0.007</v>
      </c>
      <c r="G29" s="60">
        <f>'Segment - Animal Safety'!G101</f>
        <v>0.001608729540140151</v>
      </c>
      <c r="H29" s="63">
        <f>'Segment - Animal Safety'!H101</f>
        <v>0</v>
      </c>
      <c r="I29" s="89"/>
      <c r="J29" s="1"/>
    </row>
    <row r="30">
      <c r="A30" s="1"/>
      <c r="B30" s="25" t="s">
        <v>66</v>
      </c>
      <c r="C30" s="60">
        <f>'Segment - Animal Safety'!C102</f>
        <v>-0.064</v>
      </c>
      <c r="D30" s="60">
        <f>'Segment - Animal Safety'!D102</f>
        <v>-0.117</v>
      </c>
      <c r="E30" s="60">
        <f>'Segment - Animal Safety'!E102</f>
        <v>-0.119</v>
      </c>
      <c r="F30" s="60">
        <f>'Segment - Animal Safety'!F102</f>
        <v>-0.094</v>
      </c>
      <c r="G30" s="60">
        <f>'Segment - Animal Safety'!G102</f>
        <v>-0.1</v>
      </c>
      <c r="H30" s="63">
        <f>'Segment - Animal Safety'!H102</f>
        <v>-0.07000472531895903</v>
      </c>
      <c r="I30" s="89"/>
      <c r="J30" s="1"/>
    </row>
    <row r="31">
      <c r="A31" s="1"/>
      <c r="B31" s="25" t="s">
        <v>67</v>
      </c>
      <c r="C31" s="9">
        <f>(1+C24)/((1+C30)*(1+C29))-1</f>
        <v>0.061599068439038174</v>
      </c>
      <c r="D31" s="9">
        <f>(1+D24)/((1+D30)*(1+D29))-1</f>
        <v>0.001298627276185238</v>
      </c>
      <c r="E31" s="9">
        <f>(1+E24)/((1+E30)*(1+E29))-1</f>
        <v>-0.09756027788996913</v>
      </c>
      <c r="F31" s="9">
        <f>(1+F24)/((1+F30)*(1+F29))-1</f>
        <v>0.006604263465647131</v>
      </c>
      <c r="G31" s="9">
        <f>(1+G24)/((1+G30)*(1+G29))-1</f>
        <v>-0.008696151406553443</v>
      </c>
      <c r="H31" s="20">
        <f>(1+H24)/((1+H30)*(1+H29))-1</f>
        <v>0.0203599992472574</v>
      </c>
      <c r="I31" s="89"/>
      <c r="J31" s="1"/>
    </row>
    <row r="32">
      <c r="A32" s="1"/>
      <c r="B32" s="25" t="s">
        <v>68</v>
      </c>
      <c r="C32" s="60">
        <f>'Segment - Animal Safety'!C103</f>
        <v>0.058</v>
      </c>
      <c r="D32" s="60">
        <f>'Segment - Animal Safety'!D103</f>
        <v>0.001</v>
      </c>
      <c r="E32" s="60">
        <f>'Segment - Animal Safety'!E103</f>
        <v>-0.087</v>
      </c>
      <c r="F32" s="60">
        <f>'Segment - Animal Safety'!F103</f>
        <v>0.005</v>
      </c>
      <c r="G32" s="60">
        <f>'Segment - Animal Safety'!G103</f>
        <v>-0.008</v>
      </c>
      <c r="H32" s="63">
        <f>'Segment - Animal Safety'!H103</f>
        <v>0.020359999247257198</v>
      </c>
      <c r="I32" s="89"/>
      <c r="J32" s="1"/>
    </row>
    <row r="33">
      <c r="A33" s="1"/>
      <c r="B33" s="1"/>
      <c r="C33" s="1"/>
      <c r="D33" s="1"/>
      <c r="E33" s="1"/>
      <c r="F33" s="1"/>
      <c r="G33" s="1"/>
      <c r="H33" s="4"/>
      <c r="I33" s="89"/>
      <c r="J33" s="1"/>
    </row>
    <row r="34">
      <c r="A34" s="1"/>
      <c r="B34" s="16" t="s">
        <v>70</v>
      </c>
      <c r="C34" s="1"/>
      <c r="D34" s="1"/>
      <c r="E34" s="1"/>
      <c r="F34" s="1"/>
      <c r="G34" s="1"/>
      <c r="H34" s="4"/>
      <c r="I34" s="89"/>
      <c r="J34" s="1"/>
    </row>
    <row r="35">
      <c r="A35" s="1"/>
      <c r="B35" s="15" t="s">
        <v>71</v>
      </c>
      <c r="C35" s="7">
        <f>C10+C22</f>
        <v>209.18900000000002</v>
      </c>
      <c r="D35" s="7">
        <f>D10+D22</f>
        <v>224.691</v>
      </c>
      <c r="E35" s="7">
        <f>E10+E22</f>
        <v>211.2</v>
      </c>
      <c r="F35" s="7">
        <f>F10+F22</f>
        <v>225.29999999999998</v>
      </c>
      <c r="G35" s="7">
        <f>G10+G22</f>
        <v>870.4000000000001</v>
      </c>
      <c r="H35" s="34">
        <f>H10+H22</f>
        <v>212.162683095</v>
      </c>
      <c r="I35" s="89"/>
      <c r="J35" s="1"/>
    </row>
    <row r="36">
      <c r="A36" s="1"/>
      <c r="B36" s="1" t="s">
        <v>59</v>
      </c>
      <c r="C36" s="8">
        <f>C11+C23</f>
        <v>216.964</v>
      </c>
      <c r="D36" s="8">
        <f>D11+D23</f>
        <v>231.25799999999998</v>
      </c>
      <c r="E36" s="8">
        <f>E11+E23</f>
        <v>221</v>
      </c>
      <c r="F36" s="8">
        <f>F11+F23</f>
        <v>225.5</v>
      </c>
      <c r="G36" s="8">
        <f>G11+G23</f>
        <v>894.7</v>
      </c>
      <c r="H36" s="10">
        <f>H11+H23</f>
        <v>209.18900000000002</v>
      </c>
      <c r="I36" s="89"/>
      <c r="J36" s="1"/>
    </row>
    <row r="37">
      <c r="A37" s="1"/>
      <c r="B37" s="25" t="s">
        <v>60</v>
      </c>
      <c r="C37" s="9">
        <f>C35/C36-1</f>
        <v>-0.03583543813720236</v>
      </c>
      <c r="D37" s="9">
        <f>D35/D36-1</f>
        <v>-0.028396855460135373</v>
      </c>
      <c r="E37" s="9">
        <f>E35/E36-1</f>
        <v>-0.044343891402715</v>
      </c>
      <c r="F37" s="9">
        <f>F35/F36-1</f>
        <v>-0.0008869179600887733</v>
      </c>
      <c r="G37" s="9">
        <f>G35/G36-1</f>
        <v>-0.027159941879959737</v>
      </c>
      <c r="H37" s="20">
        <f>H35/H36-1</f>
        <v>0.014215293801299156</v>
      </c>
      <c r="I37" s="89"/>
      <c r="J37" s="1"/>
    </row>
    <row r="38">
      <c r="A38" s="1"/>
      <c r="B38" s="25" t="s">
        <v>61</v>
      </c>
      <c r="C38" s="5">
        <f>C35-F36</f>
        <v>-16.31099999999998</v>
      </c>
      <c r="D38" s="5">
        <f>D35-C35</f>
        <v>15.501999999999981</v>
      </c>
      <c r="E38" s="5">
        <f>E35-D35</f>
        <v>-13.491000000000014</v>
      </c>
      <c r="F38" s="5">
        <f>F35-E35</f>
        <v>14.099999999999994</v>
      </c>
      <c r="G38" s="1"/>
      <c r="H38" s="37">
        <f>H35-F35</f>
        <v>-13.137316904999977</v>
      </c>
      <c r="I38" s="89"/>
      <c r="J38" s="1"/>
    </row>
    <row r="39">
      <c r="A39" s="1"/>
      <c r="B39" s="25" t="s">
        <v>62</v>
      </c>
      <c r="C39" s="9">
        <f>C35/F36-1</f>
        <v>-0.07233259423503313</v>
      </c>
      <c r="D39" s="9">
        <f>D35/C35-1</f>
        <v>0.07410523497889465</v>
      </c>
      <c r="E39" s="9">
        <f>E35/D35-1</f>
        <v>-0.060042458309411684</v>
      </c>
      <c r="F39" s="9">
        <f>F35/E35-1</f>
        <v>0.06676136363636354</v>
      </c>
      <c r="G39" s="1"/>
      <c r="H39" s="20">
        <f>H35/F35-1</f>
        <v>-0.058310328029294145</v>
      </c>
      <c r="I39" s="89"/>
      <c r="J39" s="1"/>
    </row>
    <row r="40">
      <c r="A40" s="1"/>
      <c r="B40" s="25" t="s">
        <v>63</v>
      </c>
      <c r="C40" s="9">
        <f>C35/C35</f>
        <v>1</v>
      </c>
      <c r="D40" s="9">
        <f>D35/D35</f>
        <v>1</v>
      </c>
      <c r="E40" s="9">
        <f>E35/E35</f>
        <v>1</v>
      </c>
      <c r="F40" s="9">
        <f>F35/F35</f>
        <v>1</v>
      </c>
      <c r="G40" s="9">
        <f>G35/G35</f>
        <v>1</v>
      </c>
      <c r="H40" s="20">
        <f>H35/H35</f>
        <v>1</v>
      </c>
      <c r="I40" s="89"/>
      <c r="J40" s="1"/>
    </row>
    <row r="41">
      <c r="A41" s="1"/>
      <c r="B41" s="25" t="s">
        <v>65</v>
      </c>
      <c r="C41" s="44">
        <v>0.005</v>
      </c>
      <c r="D41" s="44">
        <v>0.009</v>
      </c>
      <c r="E41" s="44">
        <v>0.03</v>
      </c>
      <c r="F41" s="44">
        <v>0.019</v>
      </c>
      <c r="G41" s="44">
        <v>0.016</v>
      </c>
      <c r="H41" s="63">
        <f>('Segment - Food Safety'!H121+'Segment - Animal Safety'!H105)/H36</f>
        <v>0.0022582836334606505</v>
      </c>
      <c r="I41" s="89" t="s">
        <v>72</v>
      </c>
      <c r="J41" s="1"/>
    </row>
    <row r="42">
      <c r="A42" s="1"/>
      <c r="B42" s="25" t="s">
        <v>66</v>
      </c>
      <c r="C42" s="44">
        <v>-0.044</v>
      </c>
      <c r="D42" s="44">
        <v>-0.066</v>
      </c>
      <c r="E42" s="44">
        <v>-0.075</v>
      </c>
      <c r="F42" s="44">
        <v>-0.063</v>
      </c>
      <c r="G42" s="44">
        <v>-0.062</v>
      </c>
      <c r="H42" s="63">
        <f>('Segment - Food Safety'!H122+'Segment - Animal Safety'!H106)/H36</f>
        <v>-0.028682196482606635</v>
      </c>
      <c r="I42" s="89" t="s">
        <v>72</v>
      </c>
      <c r="J42" s="1"/>
    </row>
    <row r="43">
      <c r="A43" s="1"/>
      <c r="B43" s="25" t="s">
        <v>67</v>
      </c>
      <c r="C43" s="9">
        <f>(1+C37)/((1+C42)*(1+C41))-1</f>
        <v>0.0035227230612604465</v>
      </c>
      <c r="D43" s="9">
        <f>(1+D37)/((1+D42)*(1+D41))-1</f>
        <v>0.030981492626176887</v>
      </c>
      <c r="E43" s="9">
        <f>(1+E37)/((1+E42)*(1+E41))-1</f>
        <v>0.003050232062224989</v>
      </c>
      <c r="F43" s="9">
        <f>(1+F37)/((1+F42)*(1+F41))-1</f>
        <v>0.04640756474362906</v>
      </c>
      <c r="G43" s="9">
        <f>(1+G37)/((1+G42)*(1+G41))-1</f>
        <v>0.020809959748543827</v>
      </c>
      <c r="H43" s="20">
        <f>(1+H37)/((1+H42)*(1+H41))-1</f>
        <v>0.04181151114960646</v>
      </c>
      <c r="I43" s="89"/>
      <c r="J43" s="1"/>
    </row>
    <row r="44">
      <c r="A44" s="1"/>
      <c r="B44" s="25" t="s">
        <v>73</v>
      </c>
      <c r="C44" s="44">
        <v>0.003</v>
      </c>
      <c r="D44" s="44">
        <v>0.029</v>
      </c>
      <c r="E44" s="44">
        <v>0.001</v>
      </c>
      <c r="F44" s="44">
        <v>0.043</v>
      </c>
      <c r="G44" s="44">
        <v>0.019</v>
      </c>
      <c r="H44" s="63">
        <f>('Segment - Food Safety'!H123+'Segment - Animal Safety'!H107)/(H36+'Segment - Food Safety'!H122+'Segment - Animal Safety'!H106)</f>
        <v>0.04183924818764794</v>
      </c>
      <c r="I44" s="89" t="s">
        <v>72</v>
      </c>
      <c r="J44" s="1"/>
    </row>
    <row r="45">
      <c r="A45" s="1"/>
      <c r="B45" s="1" t="s">
        <v>74</v>
      </c>
      <c r="C45" s="62" t="b">
        <f>ABS(C35-'Income Statement'!C22)&lt;0.001</f>
        <v>1</v>
      </c>
      <c r="D45" s="62" t="b">
        <f>ABS(D35-'Income Statement'!D22)&lt;0.001</f>
        <v>1</v>
      </c>
      <c r="E45" s="62" t="b">
        <f>ABS(E35-'Income Statement'!E22)&lt;0.001</f>
        <v>1</v>
      </c>
      <c r="F45" s="62" t="b">
        <f>ABS(F35-'Income Statement'!F22)&lt;0.001</f>
        <v>1</v>
      </c>
      <c r="G45" s="62" t="b">
        <f>ABS(G35-'Income Statement'!G22)&lt;0.001</f>
        <v>1</v>
      </c>
      <c r="H45" s="64" t="b">
        <f>ABS(H35-'Income Statement'!H22)&lt;0.001</f>
        <v>1</v>
      </c>
      <c r="I45" s="89"/>
      <c r="J45" s="1"/>
    </row>
    <row r="46">
      <c r="A46" s="1"/>
      <c r="B46" s="1"/>
      <c r="C46" s="1"/>
      <c r="D46" s="1"/>
      <c r="E46" s="1"/>
      <c r="F46" s="1"/>
      <c r="G46" s="1"/>
      <c r="H46" s="4"/>
      <c r="I46" s="89"/>
      <c r="J46" s="1"/>
    </row>
    <row r="47">
      <c r="A47" s="1"/>
      <c r="B47" s="16" t="s">
        <v>75</v>
      </c>
      <c r="C47" s="1"/>
      <c r="D47" s="1"/>
      <c r="E47" s="1"/>
      <c r="F47" s="1"/>
      <c r="G47" s="1"/>
      <c r="H47" s="4"/>
      <c r="I47" s="89"/>
      <c r="J47" s="1"/>
    </row>
    <row r="48">
      <c r="A48" s="1"/>
      <c r="B48" s="1" t="s">
        <v>76</v>
      </c>
      <c r="C48" s="1"/>
      <c r="D48" s="1"/>
      <c r="E48" s="1"/>
      <c r="F48" s="1"/>
      <c r="G48" s="1"/>
      <c r="H48" s="48">
        <f>Guidance!E27</f>
        <v>207</v>
      </c>
      <c r="I48" s="89"/>
      <c r="J48" s="1"/>
    </row>
    <row r="49">
      <c r="A49" s="1"/>
      <c r="B49" s="1" t="s">
        <v>77</v>
      </c>
      <c r="C49" s="1"/>
      <c r="D49" s="1"/>
      <c r="E49" s="1"/>
      <c r="F49" s="1"/>
      <c r="G49" s="1"/>
      <c r="H49" s="48">
        <f>Guidance!F27</f>
        <v>209</v>
      </c>
      <c r="I49" s="89"/>
      <c r="J49" s="1"/>
    </row>
    <row r="50">
      <c r="A50" s="1"/>
      <c r="B50" s="1" t="s">
        <v>78</v>
      </c>
      <c r="C50" s="1"/>
      <c r="D50" s="1"/>
      <c r="E50" s="1"/>
      <c r="F50" s="1"/>
      <c r="G50" s="1"/>
      <c r="H50" s="48">
        <f>Guidance!G27</f>
        <v>208</v>
      </c>
      <c r="I50" s="89"/>
      <c r="J50" s="1"/>
    </row>
    <row r="51">
      <c r="A51" s="1"/>
      <c r="B51" s="25" t="s">
        <v>79</v>
      </c>
      <c r="C51" s="1"/>
      <c r="D51" s="1"/>
      <c r="E51" s="1"/>
      <c r="F51" s="1"/>
      <c r="G51" s="1"/>
      <c r="H51" s="20">
        <f>H35/H50-1</f>
        <v>0.02001289949519225</v>
      </c>
      <c r="I51" s="89"/>
      <c r="J51" s="1"/>
    </row>
    <row r="52">
      <c r="A52" s="1"/>
      <c r="B52" s="1"/>
      <c r="C52" s="1"/>
      <c r="D52" s="1"/>
      <c r="E52" s="1"/>
      <c r="F52" s="1"/>
      <c r="G52" s="1"/>
      <c r="H52" s="4"/>
      <c r="I52" s="89"/>
      <c r="J52" s="1"/>
    </row>
    <row r="53">
      <c r="A53" s="1"/>
      <c r="B53" s="25" t="s">
        <v>80</v>
      </c>
      <c r="C53" s="1"/>
      <c r="D53" s="1"/>
      <c r="E53" s="1"/>
      <c r="F53" s="1"/>
      <c r="G53" s="1"/>
      <c r="H53" s="4"/>
      <c r="I53" s="89"/>
      <c r="J53" s="1"/>
    </row>
    <row r="54">
      <c r="A54" s="1"/>
      <c r="B54" s="1"/>
      <c r="C54" s="1"/>
      <c r="D54" s="1"/>
      <c r="E54" s="1"/>
      <c r="F54" s="1"/>
      <c r="G54" s="1"/>
      <c r="H54" s="1"/>
      <c r="I54" s="1"/>
      <c r="J54" s="1"/>
    </row>
    <row r="55">
      <c r="A55" s="1"/>
      <c r="B55" s="1"/>
      <c r="C55" s="1"/>
      <c r="D55" s="1"/>
      <c r="E55" s="1"/>
      <c r="F55" s="1"/>
      <c r="G55" s="1"/>
      <c r="H55" s="1"/>
      <c r="I55" s="1"/>
      <c r="J55" s="1"/>
    </row>
  </sheetData>
  <legacyDrawing r:id="rId2"/>
</worksheet>
</file>

<file path=xl/worksheets/sheet3.xml><?xml version="1.0" encoding="utf-8"?>
<worksheet xmlns="http://schemas.openxmlformats.org/spreadsheetml/2006/main" xmlns:r="http://schemas.openxmlformats.org/officeDocument/2006/relationships">
  <dimension ref="A1:J142"/>
  <sheetViews>
    <sheetView showGridLines="0" workbookViewId="0"/>
  </sheetViews>
  <sheetFormatPr defaultColWidth="8.42578125" defaultRowHeight="15"/>
  <cols>
    <col min="1" max="1" width="2" customWidth="1"/>
    <col min="2" max="2" width="32" customWidth="1"/>
    <col min="3" max="8" width="12" customWidth="1"/>
    <col min="9" max="9" width="16" customWidth="1"/>
  </cols>
  <sheetData>
    <row r="1">
      <c r="A1" s="1"/>
      <c r="B1" s="1"/>
      <c r="C1" s="1"/>
      <c r="D1" s="1"/>
      <c r="E1" s="1"/>
      <c r="F1" s="1"/>
      <c r="G1" s="1"/>
      <c r="H1" s="1"/>
      <c r="I1" s="1"/>
      <c r="J1" s="1"/>
    </row>
    <row r="2">
      <c r="A2" s="1"/>
      <c r="B2" s="46" t="s">
        <v>1</v>
      </c>
      <c r="C2" s="1"/>
      <c r="D2" s="1"/>
      <c r="E2" s="1"/>
      <c r="F2" s="1"/>
      <c r="G2" s="1"/>
      <c r="H2" s="1"/>
      <c r="I2" s="1"/>
      <c r="J2" s="1"/>
    </row>
    <row r="3">
      <c r="A3" s="1"/>
      <c r="B3" s="15" t="s">
        <v>81</v>
      </c>
      <c r="C3" s="1"/>
      <c r="D3" s="1"/>
      <c r="E3" s="1"/>
      <c r="F3" s="1"/>
      <c r="G3" s="1"/>
      <c r="H3" s="1"/>
      <c r="I3" s="1"/>
      <c r="J3" s="1"/>
    </row>
    <row r="4">
      <c r="A4" s="1"/>
      <c r="B4" s="25" t="s">
        <v>2</v>
      </c>
      <c r="C4" s="1"/>
      <c r="D4" s="1"/>
      <c r="E4" s="1"/>
      <c r="F4" s="1"/>
      <c r="G4" s="1"/>
      <c r="H4" s="1"/>
      <c r="I4" s="1"/>
      <c r="J4" s="1"/>
    </row>
    <row r="5">
      <c r="A5" s="1"/>
      <c r="B5" s="28" t="s">
        <v>50</v>
      </c>
      <c r="C5" s="2" t="s">
        <v>51</v>
      </c>
      <c r="D5" s="2" t="s">
        <v>52</v>
      </c>
      <c r="E5" s="2" t="s">
        <v>53</v>
      </c>
      <c r="F5" s="2" t="s">
        <v>54</v>
      </c>
      <c r="G5" s="2" t="s">
        <v>55</v>
      </c>
      <c r="H5" s="2" t="s">
        <v>4</v>
      </c>
      <c r="I5" s="90" t="s">
        <v>56</v>
      </c>
      <c r="J5" s="1"/>
    </row>
    <row r="6">
      <c r="A6" s="1"/>
      <c r="B6" s="41" t="s">
        <v>5</v>
      </c>
      <c r="C6" s="17">
        <v>45900</v>
      </c>
      <c r="D6" s="17">
        <v>45991</v>
      </c>
      <c r="E6" s="17">
        <v>46081</v>
      </c>
      <c r="F6" s="17">
        <v>46173</v>
      </c>
      <c r="G6" s="17">
        <v>46173</v>
      </c>
      <c r="H6" s="17">
        <v>46265</v>
      </c>
      <c r="I6" s="92"/>
      <c r="J6" s="1"/>
    </row>
    <row r="7">
      <c r="A7" s="1"/>
      <c r="B7" s="14" t="s">
        <v>6</v>
      </c>
      <c r="C7" s="40">
        <v>92</v>
      </c>
      <c r="D7" s="40">
        <v>91</v>
      </c>
      <c r="E7" s="40">
        <v>90</v>
      </c>
      <c r="F7" s="40">
        <v>92</v>
      </c>
      <c r="G7" s="40">
        <v>365</v>
      </c>
      <c r="H7" s="40">
        <v>92</v>
      </c>
      <c r="I7" s="91"/>
      <c r="J7" s="1"/>
    </row>
    <row r="8">
      <c r="A8" s="1"/>
      <c r="B8" s="1"/>
      <c r="C8" s="1"/>
      <c r="D8" s="1"/>
      <c r="E8" s="1"/>
      <c r="F8" s="1"/>
      <c r="G8" s="1"/>
      <c r="H8" s="1"/>
      <c r="I8" s="89"/>
      <c r="J8" s="1"/>
    </row>
    <row r="9">
      <c r="A9" s="1"/>
      <c r="B9" s="16" t="s">
        <v>82</v>
      </c>
      <c r="C9" s="1"/>
      <c r="D9" s="1"/>
      <c r="E9" s="1"/>
      <c r="F9" s="1"/>
      <c r="G9" s="1"/>
      <c r="H9" s="4"/>
      <c r="I9" s="89"/>
      <c r="J9" s="1"/>
    </row>
    <row r="10">
      <c r="A10" s="1"/>
      <c r="B10" s="25" t="s">
        <v>83</v>
      </c>
      <c r="C10" s="1"/>
      <c r="D10" s="1"/>
      <c r="E10" s="1"/>
      <c r="F10" s="1"/>
      <c r="G10" s="1"/>
      <c r="H10" s="4"/>
      <c r="I10" s="89"/>
      <c r="J10" s="1"/>
    </row>
    <row r="11">
      <c r="A11" s="1"/>
      <c r="B11" s="25" t="s">
        <v>84</v>
      </c>
      <c r="C11" s="1"/>
      <c r="D11" s="1"/>
      <c r="E11" s="1"/>
      <c r="F11" s="1"/>
      <c r="G11" s="1"/>
      <c r="H11" s="4"/>
      <c r="I11" s="89"/>
      <c r="J11" s="1"/>
    </row>
    <row r="12">
      <c r="A12" s="1"/>
      <c r="B12" s="1"/>
      <c r="C12" s="1"/>
      <c r="D12" s="1"/>
      <c r="E12" s="1"/>
      <c r="F12" s="1"/>
      <c r="G12" s="1"/>
      <c r="H12" s="4"/>
      <c r="I12" s="89"/>
      <c r="J12" s="1"/>
    </row>
    <row r="13">
      <c r="A13" s="1"/>
      <c r="B13" s="1" t="s">
        <v>85</v>
      </c>
      <c r="C13" s="3">
        <v>19.962</v>
      </c>
      <c r="D13" s="3">
        <v>20.439</v>
      </c>
      <c r="E13" s="3">
        <v>17.9</v>
      </c>
      <c r="F13" s="3">
        <v>19.2</v>
      </c>
      <c r="G13" s="3">
        <v>77.5</v>
      </c>
      <c r="H13" s="10">
        <f>H16+H17+H18</f>
        <v>20.32221429</v>
      </c>
      <c r="I13" s="89" t="s">
        <v>86</v>
      </c>
      <c r="J13" s="1"/>
    </row>
    <row r="14">
      <c r="A14" s="1"/>
      <c r="B14" s="1" t="s">
        <v>87</v>
      </c>
      <c r="C14" s="3">
        <v>20.376</v>
      </c>
      <c r="D14" s="3">
        <v>20.508</v>
      </c>
      <c r="E14" s="3">
        <v>17.6</v>
      </c>
      <c r="F14" s="3">
        <v>18.5</v>
      </c>
      <c r="G14" s="3">
        <v>77</v>
      </c>
      <c r="H14" s="10">
        <f>C13</f>
        <v>19.962</v>
      </c>
      <c r="I14" s="89" t="s">
        <v>86</v>
      </c>
      <c r="J14" s="1"/>
    </row>
    <row r="15">
      <c r="A15" s="1"/>
      <c r="B15" s="1" t="s">
        <v>88</v>
      </c>
      <c r="C15" s="8" t="s">
        <v>89</v>
      </c>
      <c r="D15" s="8" t="s">
        <v>89</v>
      </c>
      <c r="E15" s="8" t="s">
        <v>89</v>
      </c>
      <c r="F15" s="8" t="s">
        <v>89</v>
      </c>
      <c r="G15" s="8" t="s">
        <v>89</v>
      </c>
      <c r="H15" s="12">
        <v>0</v>
      </c>
      <c r="I15" s="89"/>
      <c r="J15" s="1"/>
    </row>
    <row r="16">
      <c r="A16" s="1"/>
      <c r="B16" s="1" t="s">
        <v>90</v>
      </c>
      <c r="C16" s="8" t="s">
        <v>89</v>
      </c>
      <c r="D16" s="8" t="s">
        <v>89</v>
      </c>
      <c r="E16" s="8" t="s">
        <v>89</v>
      </c>
      <c r="F16" s="8" t="s">
        <v>89</v>
      </c>
      <c r="G16" s="8" t="s">
        <v>89</v>
      </c>
      <c r="H16" s="10">
        <f>H14+H15</f>
        <v>19.962</v>
      </c>
      <c r="I16" s="89"/>
      <c r="J16" s="1"/>
    </row>
    <row r="17">
      <c r="A17" s="1"/>
      <c r="B17" s="1" t="s">
        <v>91</v>
      </c>
      <c r="C17" s="8" t="s">
        <v>89</v>
      </c>
      <c r="D17" s="8" t="s">
        <v>89</v>
      </c>
      <c r="E17" s="8" t="s">
        <v>89</v>
      </c>
      <c r="F17" s="8" t="s">
        <v>89</v>
      </c>
      <c r="G17" s="8" t="s">
        <v>89</v>
      </c>
      <c r="H17" s="10">
        <f>H16*H19</f>
        <v>0.29943</v>
      </c>
      <c r="I17" s="89"/>
      <c r="J17" s="1"/>
    </row>
    <row r="18">
      <c r="A18" s="1"/>
      <c r="B18" s="1" t="s">
        <v>92</v>
      </c>
      <c r="C18" s="8" t="s">
        <v>89</v>
      </c>
      <c r="D18" s="8" t="s">
        <v>89</v>
      </c>
      <c r="E18" s="8" t="s">
        <v>89</v>
      </c>
      <c r="F18" s="8" t="s">
        <v>89</v>
      </c>
      <c r="G18" s="8" t="s">
        <v>89</v>
      </c>
      <c r="H18" s="10">
        <f>(H16+H17)*H20</f>
        <v>0.060784290000000005</v>
      </c>
      <c r="I18" s="89"/>
      <c r="J18" s="1"/>
    </row>
    <row r="19">
      <c r="A19" s="1"/>
      <c r="B19" s="25" t="s">
        <v>93</v>
      </c>
      <c r="C19" s="9" t="s">
        <v>89</v>
      </c>
      <c r="D19" s="9" t="s">
        <v>89</v>
      </c>
      <c r="E19" s="9" t="s">
        <v>89</v>
      </c>
      <c r="F19" s="9" t="s">
        <v>89</v>
      </c>
      <c r="G19" s="9" t="s">
        <v>89</v>
      </c>
      <c r="H19" s="38">
        <v>0.015</v>
      </c>
      <c r="I19" s="89"/>
      <c r="J19" s="1"/>
    </row>
    <row r="20">
      <c r="A20" s="1"/>
      <c r="B20" s="25" t="s">
        <v>94</v>
      </c>
      <c r="C20" s="9" t="s">
        <v>89</v>
      </c>
      <c r="D20" s="9" t="s">
        <v>89</v>
      </c>
      <c r="E20" s="9" t="s">
        <v>89</v>
      </c>
      <c r="F20" s="9" t="s">
        <v>89</v>
      </c>
      <c r="G20" s="9" t="s">
        <v>89</v>
      </c>
      <c r="H20" s="20">
        <f>H117</f>
        <v>0.003</v>
      </c>
      <c r="I20" s="89"/>
      <c r="J20" s="1"/>
    </row>
    <row r="21">
      <c r="A21" s="1"/>
      <c r="B21" s="25" t="s">
        <v>66</v>
      </c>
      <c r="C21" s="9" t="s">
        <v>89</v>
      </c>
      <c r="D21" s="9" t="s">
        <v>89</v>
      </c>
      <c r="E21" s="9" t="s">
        <v>89</v>
      </c>
      <c r="F21" s="9" t="s">
        <v>89</v>
      </c>
      <c r="G21" s="9" t="s">
        <v>89</v>
      </c>
      <c r="H21" s="20">
        <f>H15/H14</f>
        <v>0</v>
      </c>
      <c r="I21" s="89"/>
      <c r="J21" s="1"/>
    </row>
    <row r="22">
      <c r="A22" s="1"/>
      <c r="B22" s="25" t="s">
        <v>95</v>
      </c>
      <c r="C22" s="9">
        <f>C13/C14-1</f>
        <v>-0.02031802120141346</v>
      </c>
      <c r="D22" s="9">
        <f>D13/D14-1</f>
        <v>-0.0033645406670567146</v>
      </c>
      <c r="E22" s="9">
        <f>E13/E14-1</f>
        <v>0.017045454545454364</v>
      </c>
      <c r="F22" s="9">
        <f>F13/F14-1</f>
        <v>0.037837837837837895</v>
      </c>
      <c r="G22" s="9">
        <f>G13/G14-1</f>
        <v>0.006493506493506551</v>
      </c>
      <c r="H22" s="20">
        <f>H13/H14-1</f>
        <v>0.01804500000000009</v>
      </c>
      <c r="I22" s="89"/>
      <c r="J22" s="1"/>
    </row>
    <row r="23">
      <c r="A23" s="1"/>
      <c r="B23" s="25" t="s">
        <v>67</v>
      </c>
      <c r="C23" s="9" t="s">
        <v>89</v>
      </c>
      <c r="D23" s="9" t="s">
        <v>89</v>
      </c>
      <c r="E23" s="9" t="s">
        <v>89</v>
      </c>
      <c r="F23" s="9" t="s">
        <v>89</v>
      </c>
      <c r="G23" s="9" t="s">
        <v>89</v>
      </c>
      <c r="H23" s="20">
        <f>(1+H22)/((1+H21)*(1+H20))-1</f>
        <v>0.015000000000000124</v>
      </c>
      <c r="I23" s="89"/>
      <c r="J23" s="1"/>
    </row>
    <row r="24">
      <c r="A24" s="1"/>
      <c r="B24" s="25" t="s">
        <v>61</v>
      </c>
      <c r="C24" s="5">
        <f>C13-F14</f>
        <v>1.4619999999999997</v>
      </c>
      <c r="D24" s="5">
        <f>D13-C13</f>
        <v>0.4770000000000003</v>
      </c>
      <c r="E24" s="5">
        <f>E13-D13</f>
        <v>-2.5390000000000015</v>
      </c>
      <c r="F24" s="5">
        <f>F13-E13</f>
        <v>1.3000000000000007</v>
      </c>
      <c r="G24" s="1"/>
      <c r="H24" s="37">
        <f>H13-F13</f>
        <v>1.1222142900000023</v>
      </c>
      <c r="I24" s="89"/>
      <c r="J24" s="1"/>
    </row>
    <row r="25">
      <c r="A25" s="1"/>
      <c r="B25" s="25" t="s">
        <v>62</v>
      </c>
      <c r="C25" s="9">
        <f>C13/F14-1</f>
        <v>0.07902702702702702</v>
      </c>
      <c r="D25" s="9">
        <f>D13/C13-1</f>
        <v>0.02389540126239864</v>
      </c>
      <c r="E25" s="9">
        <f>E13/D13-1</f>
        <v>-0.12422329859582182</v>
      </c>
      <c r="F25" s="9">
        <f>F13/E13-1</f>
        <v>0.07262569832402233</v>
      </c>
      <c r="G25" s="1"/>
      <c r="H25" s="20">
        <f>H13/F13-1</f>
        <v>0.05844866093750012</v>
      </c>
      <c r="I25" s="89"/>
      <c r="J25" s="1"/>
    </row>
    <row r="26">
      <c r="A26" s="1"/>
      <c r="B26" s="25" t="s">
        <v>96</v>
      </c>
      <c r="C26" s="9">
        <f>C13/C110</f>
        <v>0.1312857612627425</v>
      </c>
      <c r="D26" s="9">
        <f>D13/D110</f>
        <v>0.12345820698986433</v>
      </c>
      <c r="E26" s="9">
        <f>E13/E110</f>
        <v>0.11423101467772814</v>
      </c>
      <c r="F26" s="9">
        <f>F13/F110</f>
        <v>0.11510791366906475</v>
      </c>
      <c r="G26" s="9">
        <f>G13/G110</f>
        <v>0.12088597722664168</v>
      </c>
      <c r="H26" s="20">
        <f>H13/H110</f>
        <v>0.12866902714696285</v>
      </c>
      <c r="I26" s="89"/>
      <c r="J26" s="1"/>
    </row>
    <row r="27">
      <c r="A27" s="1"/>
      <c r="B27" s="25" t="s">
        <v>64</v>
      </c>
      <c r="C27" s="24">
        <f>(C26-C14/C115)*10000</f>
        <v>34.122791955298325</v>
      </c>
      <c r="D27" s="24">
        <f>(D26-D14/D115)*10000</f>
        <v>-14.093632435773774</v>
      </c>
      <c r="E27" s="24">
        <f>(E26-E14/E115)*10000</f>
        <v>-9.522313955702828</v>
      </c>
      <c r="F27" s="24">
        <f>(F26-F14/F115)*10000</f>
        <v>7.6922392864449405</v>
      </c>
      <c r="G27" s="24">
        <f>(G26-G14/G115)*10000</f>
        <v>2.1523596351678833</v>
      </c>
      <c r="H27" s="32">
        <f>(H26-H14/H115)*10000</f>
        <v>-26.167341157796454</v>
      </c>
      <c r="I27" s="89"/>
      <c r="J27" s="1"/>
    </row>
    <row r="28">
      <c r="A28" s="1"/>
      <c r="B28" s="1"/>
      <c r="C28" s="1"/>
      <c r="D28" s="1"/>
      <c r="E28" s="1"/>
      <c r="F28" s="1"/>
      <c r="G28" s="1"/>
      <c r="H28" s="4"/>
      <c r="I28" s="89"/>
      <c r="J28" s="1"/>
    </row>
    <row r="29">
      <c r="A29" s="1"/>
      <c r="B29" s="1" t="s">
        <v>97</v>
      </c>
      <c r="C29" s="3">
        <v>41.649</v>
      </c>
      <c r="D29" s="3">
        <v>44.915</v>
      </c>
      <c r="E29" s="3">
        <v>42.1</v>
      </c>
      <c r="F29" s="3">
        <v>46.7</v>
      </c>
      <c r="G29" s="3">
        <v>175.4</v>
      </c>
      <c r="H29" s="10">
        <f>H32+H33+H34</f>
        <v>44.071514085</v>
      </c>
      <c r="I29" s="89" t="s">
        <v>86</v>
      </c>
      <c r="J29" s="1"/>
    </row>
    <row r="30">
      <c r="A30" s="1"/>
      <c r="B30" s="1" t="s">
        <v>87</v>
      </c>
      <c r="C30" s="3">
        <v>39.899</v>
      </c>
      <c r="D30" s="3">
        <v>42.536</v>
      </c>
      <c r="E30" s="3">
        <v>39.9</v>
      </c>
      <c r="F30" s="3">
        <v>42.5</v>
      </c>
      <c r="G30" s="3">
        <v>164.8</v>
      </c>
      <c r="H30" s="10">
        <f>C29</f>
        <v>41.649</v>
      </c>
      <c r="I30" s="89" t="s">
        <v>86</v>
      </c>
      <c r="J30" s="1"/>
    </row>
    <row r="31">
      <c r="A31" s="1"/>
      <c r="B31" s="1" t="s">
        <v>88</v>
      </c>
      <c r="C31" s="8" t="s">
        <v>89</v>
      </c>
      <c r="D31" s="8" t="s">
        <v>89</v>
      </c>
      <c r="E31" s="8" t="s">
        <v>89</v>
      </c>
      <c r="F31" s="8" t="s">
        <v>89</v>
      </c>
      <c r="G31" s="8" t="s">
        <v>89</v>
      </c>
      <c r="H31" s="12">
        <v>0</v>
      </c>
      <c r="I31" s="89"/>
      <c r="J31" s="1"/>
    </row>
    <row r="32">
      <c r="A32" s="1"/>
      <c r="B32" s="1" t="s">
        <v>90</v>
      </c>
      <c r="C32" s="8" t="s">
        <v>89</v>
      </c>
      <c r="D32" s="8" t="s">
        <v>89</v>
      </c>
      <c r="E32" s="8" t="s">
        <v>89</v>
      </c>
      <c r="F32" s="8" t="s">
        <v>89</v>
      </c>
      <c r="G32" s="8" t="s">
        <v>89</v>
      </c>
      <c r="H32" s="10">
        <f>H30+H31</f>
        <v>41.649</v>
      </c>
      <c r="I32" s="89"/>
      <c r="J32" s="1"/>
    </row>
    <row r="33">
      <c r="A33" s="1"/>
      <c r="B33" s="1" t="s">
        <v>91</v>
      </c>
      <c r="C33" s="8" t="s">
        <v>89</v>
      </c>
      <c r="D33" s="8" t="s">
        <v>89</v>
      </c>
      <c r="E33" s="8" t="s">
        <v>89</v>
      </c>
      <c r="F33" s="8" t="s">
        <v>89</v>
      </c>
      <c r="G33" s="8" t="s">
        <v>89</v>
      </c>
      <c r="H33" s="10">
        <f>H32*H35</f>
        <v>2.290695</v>
      </c>
      <c r="I33" s="89"/>
      <c r="J33" s="1"/>
    </row>
    <row r="34">
      <c r="A34" s="1"/>
      <c r="B34" s="1" t="s">
        <v>92</v>
      </c>
      <c r="C34" s="8" t="s">
        <v>89</v>
      </c>
      <c r="D34" s="8" t="s">
        <v>89</v>
      </c>
      <c r="E34" s="8" t="s">
        <v>89</v>
      </c>
      <c r="F34" s="8" t="s">
        <v>89</v>
      </c>
      <c r="G34" s="8" t="s">
        <v>89</v>
      </c>
      <c r="H34" s="10">
        <f>(H32+H33)*H36</f>
        <v>0.131819085</v>
      </c>
      <c r="I34" s="89"/>
      <c r="J34" s="1"/>
    </row>
    <row r="35">
      <c r="A35" s="1"/>
      <c r="B35" s="25" t="s">
        <v>93</v>
      </c>
      <c r="C35" s="9" t="s">
        <v>89</v>
      </c>
      <c r="D35" s="9" t="s">
        <v>89</v>
      </c>
      <c r="E35" s="9" t="s">
        <v>89</v>
      </c>
      <c r="F35" s="9" t="s">
        <v>89</v>
      </c>
      <c r="G35" s="9" t="s">
        <v>89</v>
      </c>
      <c r="H35" s="38">
        <v>0.055</v>
      </c>
      <c r="I35" s="89"/>
      <c r="J35" s="1"/>
    </row>
    <row r="36">
      <c r="A36" s="1"/>
      <c r="B36" s="25" t="s">
        <v>94</v>
      </c>
      <c r="C36" s="9" t="s">
        <v>89</v>
      </c>
      <c r="D36" s="9" t="s">
        <v>89</v>
      </c>
      <c r="E36" s="9" t="s">
        <v>89</v>
      </c>
      <c r="F36" s="9" t="s">
        <v>89</v>
      </c>
      <c r="G36" s="9" t="s">
        <v>89</v>
      </c>
      <c r="H36" s="20">
        <f>H117</f>
        <v>0.003</v>
      </c>
      <c r="I36" s="89"/>
      <c r="J36" s="1"/>
    </row>
    <row r="37">
      <c r="A37" s="1"/>
      <c r="B37" s="25" t="s">
        <v>66</v>
      </c>
      <c r="C37" s="9" t="s">
        <v>89</v>
      </c>
      <c r="D37" s="9" t="s">
        <v>89</v>
      </c>
      <c r="E37" s="9" t="s">
        <v>89</v>
      </c>
      <c r="F37" s="9" t="s">
        <v>89</v>
      </c>
      <c r="G37" s="9" t="s">
        <v>89</v>
      </c>
      <c r="H37" s="20">
        <f>H31/H30</f>
        <v>0</v>
      </c>
      <c r="I37" s="89"/>
      <c r="J37" s="1"/>
    </row>
    <row r="38">
      <c r="A38" s="1"/>
      <c r="B38" s="25" t="s">
        <v>95</v>
      </c>
      <c r="C38" s="9">
        <f>C29/C30-1</f>
        <v>0.04386074838968401</v>
      </c>
      <c r="D38" s="9">
        <f>D29/D30-1</f>
        <v>0.055929095354523284</v>
      </c>
      <c r="E38" s="9">
        <f>E29/E30-1</f>
        <v>0.05513784461152893</v>
      </c>
      <c r="F38" s="9">
        <f>F29/F30-1</f>
        <v>0.09882352941176475</v>
      </c>
      <c r="G38" s="9">
        <f>G29/G30-1</f>
        <v>0.06432038834951448</v>
      </c>
      <c r="H38" s="20">
        <f>H29/H30-1</f>
        <v>0.0581649999999998</v>
      </c>
      <c r="I38" s="89"/>
      <c r="J38" s="1"/>
    </row>
    <row r="39">
      <c r="A39" s="1"/>
      <c r="B39" s="25" t="s">
        <v>67</v>
      </c>
      <c r="C39" s="9" t="s">
        <v>89</v>
      </c>
      <c r="D39" s="9" t="s">
        <v>89</v>
      </c>
      <c r="E39" s="9" t="s">
        <v>89</v>
      </c>
      <c r="F39" s="9" t="s">
        <v>89</v>
      </c>
      <c r="G39" s="9" t="s">
        <v>89</v>
      </c>
      <c r="H39" s="20">
        <f>(1+H38)/((1+H37)*(1+H36))-1</f>
        <v>0.05499999999999994</v>
      </c>
      <c r="I39" s="89"/>
      <c r="J39" s="1"/>
    </row>
    <row r="40">
      <c r="A40" s="1"/>
      <c r="B40" s="25" t="s">
        <v>61</v>
      </c>
      <c r="C40" s="5">
        <f>C29-F30</f>
        <v>-0.8509999999999991</v>
      </c>
      <c r="D40" s="5">
        <f>D29-C29</f>
        <v>3.2659999999999982</v>
      </c>
      <c r="E40" s="5">
        <f>E29-D29</f>
        <v>-2.8149999999999977</v>
      </c>
      <c r="F40" s="5">
        <f>F29-E29</f>
        <v>4.600000000000001</v>
      </c>
      <c r="G40" s="1"/>
      <c r="H40" s="37">
        <f>H29-F29</f>
        <v>-2.628485915000006</v>
      </c>
      <c r="I40" s="89"/>
      <c r="J40" s="1"/>
    </row>
    <row r="41">
      <c r="A41" s="1"/>
      <c r="B41" s="25" t="s">
        <v>62</v>
      </c>
      <c r="C41" s="9">
        <f>C29/F30-1</f>
        <v>-0.020023529411764662</v>
      </c>
      <c r="D41" s="9">
        <f>D29/C29-1</f>
        <v>0.0784172489135393</v>
      </c>
      <c r="E41" s="9">
        <f>E29/D29-1</f>
        <v>-0.06267393966380941</v>
      </c>
      <c r="F41" s="9">
        <f>F29/E29-1</f>
        <v>0.10926365795724458</v>
      </c>
      <c r="G41" s="1"/>
      <c r="H41" s="20">
        <f>H29/F29-1</f>
        <v>-0.05628449496788024</v>
      </c>
      <c r="I41" s="89"/>
      <c r="J41" s="1"/>
    </row>
    <row r="42">
      <c r="A42" s="1"/>
      <c r="B42" s="25" t="s">
        <v>96</v>
      </c>
      <c r="C42" s="9">
        <f>C29/C110</f>
        <v>0.2739164748438014</v>
      </c>
      <c r="D42" s="9">
        <f>D29/D110</f>
        <v>0.2713012068569772</v>
      </c>
      <c r="E42" s="9">
        <f>E29/E110</f>
        <v>0.2686662412252713</v>
      </c>
      <c r="F42" s="9">
        <f>F29/F110</f>
        <v>0.2799760191846523</v>
      </c>
      <c r="G42" s="9">
        <f>G29/G110</f>
        <v>0.27359226329745745</v>
      </c>
      <c r="H42" s="20">
        <f>H29/H110</f>
        <v>0.27903646528326315</v>
      </c>
      <c r="I42" s="89"/>
      <c r="J42" s="1"/>
    </row>
    <row r="43">
      <c r="A43" s="1"/>
      <c r="B43" s="25" t="s">
        <v>64</v>
      </c>
      <c r="C43" s="24">
        <f>(C42-C30/C115)*10000</f>
        <v>235.2267522661855</v>
      </c>
      <c r="D43" s="24">
        <f>(D42-D30/D115)*10000</f>
        <v>123.11204543261678</v>
      </c>
      <c r="E43" s="24">
        <f>(E42-E30/E115)*10000</f>
        <v>75.40586775009517</v>
      </c>
      <c r="F43" s="24">
        <f>(F42-F30/F115)*10000</f>
        <v>173.06056267470615</v>
      </c>
      <c r="G43" s="24">
        <f>(G42-G30/G115)*10000</f>
        <v>153.25533944691438</v>
      </c>
      <c r="H43" s="32">
        <f>(H42-H30/H115)*10000</f>
        <v>51.19990439461763</v>
      </c>
      <c r="I43" s="89"/>
      <c r="J43" s="1"/>
    </row>
    <row r="44">
      <c r="A44" s="1"/>
      <c r="B44" s="1"/>
      <c r="C44" s="1"/>
      <c r="D44" s="1"/>
      <c r="E44" s="1"/>
      <c r="F44" s="1"/>
      <c r="G44" s="1"/>
      <c r="H44" s="4"/>
      <c r="I44" s="89"/>
      <c r="J44" s="1"/>
    </row>
    <row r="45">
      <c r="A45" s="1"/>
      <c r="B45" s="1" t="s">
        <v>98</v>
      </c>
      <c r="C45" s="8">
        <f>D136-D45</f>
        <v>76.784</v>
      </c>
      <c r="D45" s="3">
        <v>86.109</v>
      </c>
      <c r="E45" s="3">
        <v>83</v>
      </c>
      <c r="F45" s="3">
        <v>86.8</v>
      </c>
      <c r="G45" s="3">
        <v>332.7</v>
      </c>
      <c r="H45" s="10">
        <f>H48+H49+H50</f>
        <v>81.63521312</v>
      </c>
      <c r="I45" s="89" t="s">
        <v>86</v>
      </c>
      <c r="J45" s="1"/>
    </row>
    <row r="46">
      <c r="A46" s="1"/>
      <c r="B46" s="1" t="s">
        <v>87</v>
      </c>
      <c r="C46" s="8">
        <f>D138-D46</f>
        <v>78.47800000000001</v>
      </c>
      <c r="D46" s="3">
        <v>79.584</v>
      </c>
      <c r="E46" s="3">
        <v>74.8</v>
      </c>
      <c r="F46" s="3">
        <v>79.3</v>
      </c>
      <c r="G46" s="3">
        <v>312.2</v>
      </c>
      <c r="H46" s="10">
        <f>C45</f>
        <v>76.784</v>
      </c>
      <c r="I46" s="89" t="s">
        <v>86</v>
      </c>
      <c r="J46" s="1"/>
    </row>
    <row r="47">
      <c r="A47" s="1"/>
      <c r="B47" s="1" t="s">
        <v>88</v>
      </c>
      <c r="C47" s="8" t="s">
        <v>89</v>
      </c>
      <c r="D47" s="8" t="s">
        <v>89</v>
      </c>
      <c r="E47" s="8" t="s">
        <v>89</v>
      </c>
      <c r="F47" s="8" t="s">
        <v>89</v>
      </c>
      <c r="G47" s="8" t="s">
        <v>89</v>
      </c>
      <c r="H47" s="12">
        <v>0</v>
      </c>
      <c r="I47" s="89"/>
      <c r="J47" s="1"/>
    </row>
    <row r="48">
      <c r="A48" s="1"/>
      <c r="B48" s="1" t="s">
        <v>90</v>
      </c>
      <c r="C48" s="8" t="s">
        <v>89</v>
      </c>
      <c r="D48" s="8" t="s">
        <v>89</v>
      </c>
      <c r="E48" s="8" t="s">
        <v>89</v>
      </c>
      <c r="F48" s="8" t="s">
        <v>89</v>
      </c>
      <c r="G48" s="8" t="s">
        <v>89</v>
      </c>
      <c r="H48" s="10">
        <f>H46+H47</f>
        <v>76.784</v>
      </c>
      <c r="I48" s="89"/>
      <c r="J48" s="1"/>
    </row>
    <row r="49">
      <c r="A49" s="1"/>
      <c r="B49" s="1" t="s">
        <v>91</v>
      </c>
      <c r="C49" s="8" t="s">
        <v>89</v>
      </c>
      <c r="D49" s="8" t="s">
        <v>89</v>
      </c>
      <c r="E49" s="8" t="s">
        <v>89</v>
      </c>
      <c r="F49" s="8" t="s">
        <v>89</v>
      </c>
      <c r="G49" s="8" t="s">
        <v>89</v>
      </c>
      <c r="H49" s="10">
        <f>H48*H51</f>
        <v>4.6070400000000005</v>
      </c>
      <c r="I49" s="89"/>
      <c r="J49" s="1"/>
    </row>
    <row r="50">
      <c r="A50" s="1"/>
      <c r="B50" s="1" t="s">
        <v>92</v>
      </c>
      <c r="C50" s="8" t="s">
        <v>89</v>
      </c>
      <c r="D50" s="8" t="s">
        <v>89</v>
      </c>
      <c r="E50" s="8" t="s">
        <v>89</v>
      </c>
      <c r="F50" s="8" t="s">
        <v>89</v>
      </c>
      <c r="G50" s="8" t="s">
        <v>89</v>
      </c>
      <c r="H50" s="10">
        <f>(H48+H49)*H52</f>
        <v>0.24417312000000002</v>
      </c>
      <c r="I50" s="89"/>
      <c r="J50" s="1"/>
    </row>
    <row r="51">
      <c r="A51" s="1"/>
      <c r="B51" s="25" t="s">
        <v>93</v>
      </c>
      <c r="C51" s="9" t="s">
        <v>89</v>
      </c>
      <c r="D51" s="9" t="s">
        <v>89</v>
      </c>
      <c r="E51" s="9" t="s">
        <v>89</v>
      </c>
      <c r="F51" s="9" t="s">
        <v>89</v>
      </c>
      <c r="G51" s="9" t="s">
        <v>89</v>
      </c>
      <c r="H51" s="38">
        <v>0.06</v>
      </c>
      <c r="I51" s="89"/>
      <c r="J51" s="1"/>
    </row>
    <row r="52">
      <c r="A52" s="1"/>
      <c r="B52" s="25" t="s">
        <v>94</v>
      </c>
      <c r="C52" s="9" t="s">
        <v>89</v>
      </c>
      <c r="D52" s="9" t="s">
        <v>89</v>
      </c>
      <c r="E52" s="9" t="s">
        <v>89</v>
      </c>
      <c r="F52" s="9" t="s">
        <v>89</v>
      </c>
      <c r="G52" s="9" t="s">
        <v>89</v>
      </c>
      <c r="H52" s="20">
        <f>H117</f>
        <v>0.003</v>
      </c>
      <c r="I52" s="89"/>
      <c r="J52" s="1"/>
    </row>
    <row r="53">
      <c r="A53" s="1"/>
      <c r="B53" s="25" t="s">
        <v>66</v>
      </c>
      <c r="C53" s="9" t="s">
        <v>89</v>
      </c>
      <c r="D53" s="9" t="s">
        <v>89</v>
      </c>
      <c r="E53" s="9" t="s">
        <v>89</v>
      </c>
      <c r="F53" s="9" t="s">
        <v>89</v>
      </c>
      <c r="G53" s="9" t="s">
        <v>89</v>
      </c>
      <c r="H53" s="20">
        <f>H47/H46</f>
        <v>0</v>
      </c>
      <c r="I53" s="89"/>
      <c r="J53" s="1"/>
    </row>
    <row r="54">
      <c r="A54" s="1"/>
      <c r="B54" s="25" t="s">
        <v>95</v>
      </c>
      <c r="C54" s="9">
        <f>C45/C46-1</f>
        <v>-0.021585667320777824</v>
      </c>
      <c r="D54" s="9">
        <f>D45/D46-1</f>
        <v>0.08198884197828704</v>
      </c>
      <c r="E54" s="9">
        <f>E45/E46-1</f>
        <v>0.10962566844919786</v>
      </c>
      <c r="F54" s="9">
        <f>F45/F46-1</f>
        <v>0.09457755359394704</v>
      </c>
      <c r="G54" s="9">
        <f>G45/G46-1</f>
        <v>0.06566303651505456</v>
      </c>
      <c r="H54" s="20">
        <f>H45/H46-1</f>
        <v>0.06318000000000001</v>
      </c>
      <c r="I54" s="89"/>
      <c r="J54" s="1"/>
    </row>
    <row r="55">
      <c r="A55" s="1"/>
      <c r="B55" s="25" t="s">
        <v>67</v>
      </c>
      <c r="C55" s="9" t="s">
        <v>89</v>
      </c>
      <c r="D55" s="9" t="s">
        <v>89</v>
      </c>
      <c r="E55" s="9" t="s">
        <v>89</v>
      </c>
      <c r="F55" s="9" t="s">
        <v>89</v>
      </c>
      <c r="G55" s="9" t="s">
        <v>89</v>
      </c>
      <c r="H55" s="20">
        <f>(1+H54)/((1+H53)*(1+H52))-1</f>
        <v>0.06000000000000005</v>
      </c>
      <c r="I55" s="89"/>
      <c r="J55" s="1"/>
    </row>
    <row r="56">
      <c r="A56" s="1"/>
      <c r="B56" s="25" t="s">
        <v>61</v>
      </c>
      <c r="C56" s="5">
        <f>C45-F46</f>
        <v>-2.515999999999991</v>
      </c>
      <c r="D56" s="5">
        <f>D45-C45</f>
        <v>9.324999999999989</v>
      </c>
      <c r="E56" s="5">
        <f>E45-D45</f>
        <v>-3.1089999999999947</v>
      </c>
      <c r="F56" s="5">
        <f>F45-E45</f>
        <v>3.799999999999997</v>
      </c>
      <c r="G56" s="1"/>
      <c r="H56" s="37">
        <f>H45-F45</f>
        <v>-5.164786879999994</v>
      </c>
      <c r="I56" s="89"/>
      <c r="J56" s="1"/>
    </row>
    <row r="57">
      <c r="A57" s="1"/>
      <c r="B57" s="25" t="s">
        <v>62</v>
      </c>
      <c r="C57" s="9">
        <f>C45/F46-1</f>
        <v>-0.03172761664564927</v>
      </c>
      <c r="D57" s="9">
        <f>D45/C45-1</f>
        <v>0.1214445717857886</v>
      </c>
      <c r="E57" s="9">
        <f>E45/D45-1</f>
        <v>-0.036105401293709094</v>
      </c>
      <c r="F57" s="9">
        <f>F45/E45-1</f>
        <v>0.04578313253012034</v>
      </c>
      <c r="G57" s="1"/>
      <c r="H57" s="20">
        <f>H45/F45-1</f>
        <v>-0.05950215299539163</v>
      </c>
      <c r="I57" s="89"/>
      <c r="J57" s="1"/>
    </row>
    <row r="58">
      <c r="A58" s="1"/>
      <c r="B58" s="25" t="s">
        <v>96</v>
      </c>
      <c r="C58" s="9">
        <f>C45/C110</f>
        <v>0.5049917790200592</v>
      </c>
      <c r="D58" s="9">
        <f>D45/D110</f>
        <v>0.5201263636034164</v>
      </c>
      <c r="E58" s="9">
        <f>E45/E110</f>
        <v>0.5296745373324825</v>
      </c>
      <c r="F58" s="9">
        <f>F45/F110</f>
        <v>0.5203836930455635</v>
      </c>
      <c r="G58" s="9">
        <f>G45/G110</f>
        <v>0.5189518015910153</v>
      </c>
      <c r="H58" s="20">
        <f>H45/H110</f>
        <v>0.5168690430675198</v>
      </c>
      <c r="I58" s="89"/>
      <c r="J58" s="1"/>
    </row>
    <row r="59">
      <c r="A59" s="1"/>
      <c r="B59" s="25" t="s">
        <v>64</v>
      </c>
      <c r="C59" s="24">
        <f>(C58-C46/C115)*10000</f>
        <v>124.8809205153173</v>
      </c>
      <c r="D59" s="24">
        <f>(D58-D46/D115)*10000</f>
        <v>355.6128122296842</v>
      </c>
      <c r="E59" s="24">
        <f>(E58-E46/E115)*10000</f>
        <v>401.4574152096423</v>
      </c>
      <c r="F59" s="24">
        <f>(F58-F46/F115)*10000</f>
        <v>302.72444590681016</v>
      </c>
      <c r="G59" s="24">
        <f>(G58-G46/G115)*10000</f>
        <v>296.86796105981625</v>
      </c>
      <c r="H59" s="32">
        <f>(H58-H46/H115)*10000</f>
        <v>118.7726404746059</v>
      </c>
      <c r="I59" s="89"/>
      <c r="J59" s="1"/>
    </row>
    <row r="60">
      <c r="A60" s="1"/>
      <c r="B60" s="1"/>
      <c r="C60" s="1"/>
      <c r="D60" s="1"/>
      <c r="E60" s="1"/>
      <c r="F60" s="1"/>
      <c r="G60" s="1"/>
      <c r="H60" s="4"/>
      <c r="I60" s="89"/>
      <c r="J60" s="1"/>
    </row>
    <row r="61">
      <c r="A61" s="1"/>
      <c r="B61" s="1" t="s">
        <v>99</v>
      </c>
      <c r="C61" s="3">
        <v>5.799</v>
      </c>
      <c r="D61" s="3">
        <v>4.574</v>
      </c>
      <c r="E61" s="3">
        <v>3.9</v>
      </c>
      <c r="F61" s="3">
        <v>3.9</v>
      </c>
      <c r="G61" s="3">
        <v>18.2</v>
      </c>
      <c r="H61" s="10">
        <f>H64+H65+H66</f>
        <v>3.8103970000000005</v>
      </c>
      <c r="I61" s="89" t="s">
        <v>86</v>
      </c>
      <c r="J61" s="1"/>
    </row>
    <row r="62">
      <c r="A62" s="1"/>
      <c r="B62" s="1" t="s">
        <v>87</v>
      </c>
      <c r="C62" s="3">
        <v>11.779</v>
      </c>
      <c r="D62" s="3">
        <v>12.123</v>
      </c>
      <c r="E62" s="3">
        <v>11.8</v>
      </c>
      <c r="F62" s="3">
        <v>11.3</v>
      </c>
      <c r="G62" s="3">
        <v>47</v>
      </c>
      <c r="H62" s="10">
        <f>C61</f>
        <v>5.799</v>
      </c>
      <c r="I62" s="89" t="s">
        <v>86</v>
      </c>
      <c r="J62" s="1"/>
    </row>
    <row r="63">
      <c r="A63" s="1"/>
      <c r="B63" s="1" t="s">
        <v>88</v>
      </c>
      <c r="C63" s="8" t="s">
        <v>89</v>
      </c>
      <c r="D63" s="8" t="s">
        <v>89</v>
      </c>
      <c r="E63" s="8" t="s">
        <v>89</v>
      </c>
      <c r="F63" s="8" t="s">
        <v>89</v>
      </c>
      <c r="G63" s="8" t="s">
        <v>89</v>
      </c>
      <c r="H63" s="12">
        <v>-2</v>
      </c>
      <c r="I63" s="89"/>
      <c r="J63" s="1"/>
    </row>
    <row r="64">
      <c r="A64" s="1"/>
      <c r="B64" s="1" t="s">
        <v>90</v>
      </c>
      <c r="C64" s="8" t="s">
        <v>89</v>
      </c>
      <c r="D64" s="8" t="s">
        <v>89</v>
      </c>
      <c r="E64" s="8" t="s">
        <v>89</v>
      </c>
      <c r="F64" s="8" t="s">
        <v>89</v>
      </c>
      <c r="G64" s="8" t="s">
        <v>89</v>
      </c>
      <c r="H64" s="10">
        <f>H62+H63</f>
        <v>3.7990000000000004</v>
      </c>
      <c r="I64" s="89"/>
      <c r="J64" s="1"/>
    </row>
    <row r="65">
      <c r="A65" s="1"/>
      <c r="B65" s="1" t="s">
        <v>91</v>
      </c>
      <c r="C65" s="8" t="s">
        <v>89</v>
      </c>
      <c r="D65" s="8" t="s">
        <v>89</v>
      </c>
      <c r="E65" s="8" t="s">
        <v>89</v>
      </c>
      <c r="F65" s="8" t="s">
        <v>89</v>
      </c>
      <c r="G65" s="8" t="s">
        <v>89</v>
      </c>
      <c r="H65" s="10">
        <f>H64*H67</f>
        <v>0</v>
      </c>
      <c r="I65" s="89"/>
      <c r="J65" s="1"/>
    </row>
    <row r="66">
      <c r="A66" s="1"/>
      <c r="B66" s="1" t="s">
        <v>92</v>
      </c>
      <c r="C66" s="8" t="s">
        <v>89</v>
      </c>
      <c r="D66" s="8" t="s">
        <v>89</v>
      </c>
      <c r="E66" s="8" t="s">
        <v>89</v>
      </c>
      <c r="F66" s="8" t="s">
        <v>89</v>
      </c>
      <c r="G66" s="8" t="s">
        <v>89</v>
      </c>
      <c r="H66" s="10">
        <f>(H64+H65)*H68</f>
        <v>0.011397000000000001</v>
      </c>
      <c r="I66" s="89"/>
      <c r="J66" s="1"/>
    </row>
    <row r="67">
      <c r="A67" s="1"/>
      <c r="B67" s="25" t="s">
        <v>93</v>
      </c>
      <c r="C67" s="9" t="s">
        <v>89</v>
      </c>
      <c r="D67" s="9" t="s">
        <v>89</v>
      </c>
      <c r="E67" s="9" t="s">
        <v>89</v>
      </c>
      <c r="F67" s="9" t="s">
        <v>89</v>
      </c>
      <c r="G67" s="9" t="s">
        <v>89</v>
      </c>
      <c r="H67" s="38">
        <v>0</v>
      </c>
      <c r="I67" s="89"/>
      <c r="J67" s="1"/>
    </row>
    <row r="68">
      <c r="A68" s="1"/>
      <c r="B68" s="25" t="s">
        <v>94</v>
      </c>
      <c r="C68" s="9" t="s">
        <v>89</v>
      </c>
      <c r="D68" s="9" t="s">
        <v>89</v>
      </c>
      <c r="E68" s="9" t="s">
        <v>89</v>
      </c>
      <c r="F68" s="9" t="s">
        <v>89</v>
      </c>
      <c r="G68" s="9" t="s">
        <v>89</v>
      </c>
      <c r="H68" s="20">
        <f>H117</f>
        <v>0.003</v>
      </c>
      <c r="I68" s="89"/>
      <c r="J68" s="1"/>
    </row>
    <row r="69">
      <c r="A69" s="1"/>
      <c r="B69" s="25" t="s">
        <v>66</v>
      </c>
      <c r="C69" s="9" t="s">
        <v>89</v>
      </c>
      <c r="D69" s="9" t="s">
        <v>89</v>
      </c>
      <c r="E69" s="9" t="s">
        <v>89</v>
      </c>
      <c r="F69" s="9" t="s">
        <v>89</v>
      </c>
      <c r="G69" s="9" t="s">
        <v>89</v>
      </c>
      <c r="H69" s="20">
        <f>H63/H62</f>
        <v>-0.34488704949129156</v>
      </c>
      <c r="I69" s="89"/>
      <c r="J69" s="1"/>
    </row>
    <row r="70">
      <c r="A70" s="1"/>
      <c r="B70" s="25" t="s">
        <v>95</v>
      </c>
      <c r="C70" s="9">
        <f>C61/C62-1</f>
        <v>-0.5076831649545801</v>
      </c>
      <c r="D70" s="9">
        <f>D61/D62-1</f>
        <v>-0.6227006516538811</v>
      </c>
      <c r="E70" s="9">
        <f>E61/E62-1</f>
        <v>-0.6694915254237288</v>
      </c>
      <c r="F70" s="9">
        <f>F61/F62-1</f>
        <v>-0.6548672566371682</v>
      </c>
      <c r="G70" s="9">
        <f>G61/G62-1</f>
        <v>-0.6127659574468085</v>
      </c>
      <c r="H70" s="20">
        <f>H61/H62-1</f>
        <v>-0.3429217106397654</v>
      </c>
      <c r="I70" s="89"/>
      <c r="J70" s="1"/>
    </row>
    <row r="71">
      <c r="A71" s="1"/>
      <c r="B71" s="25" t="s">
        <v>67</v>
      </c>
      <c r="C71" s="9" t="s">
        <v>89</v>
      </c>
      <c r="D71" s="9" t="s">
        <v>89</v>
      </c>
      <c r="E71" s="9" t="s">
        <v>89</v>
      </c>
      <c r="F71" s="9" t="s">
        <v>89</v>
      </c>
      <c r="G71" s="9" t="s">
        <v>89</v>
      </c>
      <c r="H71" s="20">
        <f>(1+H70)/((1+H69)*(1+H68))-1</f>
        <v>0</v>
      </c>
      <c r="I71" s="89"/>
      <c r="J71" s="1"/>
    </row>
    <row r="72">
      <c r="A72" s="1"/>
      <c r="B72" s="25" t="s">
        <v>61</v>
      </c>
      <c r="C72" s="5">
        <f>C61-F62</f>
        <v>-5.501</v>
      </c>
      <c r="D72" s="5">
        <f>D61-C61</f>
        <v>-1.2250000000000005</v>
      </c>
      <c r="E72" s="5">
        <f>E61-D61</f>
        <v>-0.6739999999999999</v>
      </c>
      <c r="F72" s="5">
        <f>F61-E61</f>
        <v>0</v>
      </c>
      <c r="G72" s="1"/>
      <c r="H72" s="37">
        <f>H61-F61</f>
        <v>-0.08960299999999943</v>
      </c>
      <c r="I72" s="89"/>
      <c r="J72" s="1"/>
    </row>
    <row r="73">
      <c r="A73" s="1"/>
      <c r="B73" s="25" t="s">
        <v>62</v>
      </c>
      <c r="C73" s="9">
        <f>C61/F62-1</f>
        <v>-0.4868141592920354</v>
      </c>
      <c r="D73" s="9">
        <f>D61/C61-1</f>
        <v>-0.2112433178134162</v>
      </c>
      <c r="E73" s="9">
        <f>E61/D61-1</f>
        <v>-0.1473546130301705</v>
      </c>
      <c r="F73" s="9">
        <f>F61/E61-1</f>
        <v>0</v>
      </c>
      <c r="G73" s="1"/>
      <c r="H73" s="20">
        <f>H61/F61-1</f>
        <v>-0.022975128205128037</v>
      </c>
      <c r="I73" s="89"/>
      <c r="J73" s="1"/>
    </row>
    <row r="74">
      <c r="A74" s="1"/>
      <c r="B74" s="25" t="s">
        <v>96</v>
      </c>
      <c r="C74" s="9">
        <f>C61/C110</f>
        <v>0.03813877014140085</v>
      </c>
      <c r="D74" s="9">
        <f>D61/D110</f>
        <v>0.02762844751561424</v>
      </c>
      <c r="E74" s="9">
        <f>E61/E110</f>
        <v>0.02488832163369496</v>
      </c>
      <c r="F74" s="9">
        <f>F61/F110</f>
        <v>0.023381294964028777</v>
      </c>
      <c r="G74" s="9">
        <f>G61/G110</f>
        <v>0.028388706909998434</v>
      </c>
      <c r="H74" s="20">
        <f>H61/H110</f>
        <v>0.02412532748830225</v>
      </c>
      <c r="I74" s="89"/>
      <c r="J74" s="1"/>
    </row>
    <row r="75">
      <c r="A75" s="1"/>
      <c r="B75" s="25" t="s">
        <v>64</v>
      </c>
      <c r="C75" s="24">
        <f>(C74-C62/C115)*10000</f>
        <v>-357.82595448984796</v>
      </c>
      <c r="D75" s="24">
        <f>(D74-D62/D115)*10000</f>
        <v>-461.8516443777048</v>
      </c>
      <c r="E75" s="24">
        <f>(E74-E62/E115)*10000</f>
        <v>-523.3680925635739</v>
      </c>
      <c r="F75" s="24">
        <f>(F74-F62/F115)*10000</f>
        <v>-464.5801282336306</v>
      </c>
      <c r="G75" s="24">
        <f>(G74-G62/G115)*10000</f>
        <v>-452.6745983502585</v>
      </c>
      <c r="H75" s="32">
        <f>(H74-H62/H115)*10000</f>
        <v>-140.134426530986</v>
      </c>
      <c r="I75" s="89"/>
      <c r="J75" s="1"/>
    </row>
    <row r="76">
      <c r="A76" s="1"/>
      <c r="B76" s="1"/>
      <c r="C76" s="1"/>
      <c r="D76" s="1"/>
      <c r="E76" s="1"/>
      <c r="F76" s="1"/>
      <c r="G76" s="1"/>
      <c r="H76" s="4"/>
      <c r="I76" s="89"/>
      <c r="J76" s="1"/>
    </row>
    <row r="77">
      <c r="A77" s="1"/>
      <c r="B77" s="1" t="s">
        <v>100</v>
      </c>
      <c r="C77" s="3">
        <v>5.555</v>
      </c>
      <c r="D77" s="3">
        <v>6.26</v>
      </c>
      <c r="E77" s="3">
        <v>6.2</v>
      </c>
      <c r="F77" s="3">
        <v>6.6</v>
      </c>
      <c r="G77" s="3">
        <v>24.6</v>
      </c>
      <c r="H77" s="10">
        <f>H80+H81+H82</f>
        <v>5.7945316</v>
      </c>
      <c r="I77" s="89" t="s">
        <v>86</v>
      </c>
      <c r="J77" s="1"/>
    </row>
    <row r="78">
      <c r="A78" s="1"/>
      <c r="B78" s="1" t="s">
        <v>87</v>
      </c>
      <c r="C78" s="3">
        <v>5.588</v>
      </c>
      <c r="D78" s="3">
        <v>5.808</v>
      </c>
      <c r="E78" s="3">
        <v>5.7</v>
      </c>
      <c r="F78" s="3">
        <v>6.3</v>
      </c>
      <c r="G78" s="3">
        <v>23.4</v>
      </c>
      <c r="H78" s="10">
        <f>C77</f>
        <v>5.555</v>
      </c>
      <c r="I78" s="89" t="s">
        <v>86</v>
      </c>
      <c r="J78" s="1"/>
    </row>
    <row r="79">
      <c r="A79" s="1"/>
      <c r="B79" s="1" t="s">
        <v>88</v>
      </c>
      <c r="C79" s="8" t="s">
        <v>89</v>
      </c>
      <c r="D79" s="8" t="s">
        <v>89</v>
      </c>
      <c r="E79" s="8" t="s">
        <v>89</v>
      </c>
      <c r="F79" s="8" t="s">
        <v>89</v>
      </c>
      <c r="G79" s="8" t="s">
        <v>89</v>
      </c>
      <c r="H79" s="12">
        <v>0</v>
      </c>
      <c r="I79" s="89"/>
      <c r="J79" s="1"/>
    </row>
    <row r="80">
      <c r="A80" s="1"/>
      <c r="B80" s="1" t="s">
        <v>90</v>
      </c>
      <c r="C80" s="8" t="s">
        <v>89</v>
      </c>
      <c r="D80" s="8" t="s">
        <v>89</v>
      </c>
      <c r="E80" s="8" t="s">
        <v>89</v>
      </c>
      <c r="F80" s="8" t="s">
        <v>89</v>
      </c>
      <c r="G80" s="8" t="s">
        <v>89</v>
      </c>
      <c r="H80" s="10">
        <f>H78+H79</f>
        <v>5.555</v>
      </c>
      <c r="I80" s="89"/>
      <c r="J80" s="1"/>
    </row>
    <row r="81">
      <c r="A81" s="1"/>
      <c r="B81" s="1" t="s">
        <v>91</v>
      </c>
      <c r="C81" s="8" t="s">
        <v>89</v>
      </c>
      <c r="D81" s="8" t="s">
        <v>89</v>
      </c>
      <c r="E81" s="8" t="s">
        <v>89</v>
      </c>
      <c r="F81" s="8" t="s">
        <v>89</v>
      </c>
      <c r="G81" s="8" t="s">
        <v>89</v>
      </c>
      <c r="H81" s="10">
        <f>H80*H83</f>
        <v>0.22219999999999998</v>
      </c>
      <c r="I81" s="89"/>
      <c r="J81" s="1"/>
    </row>
    <row r="82">
      <c r="A82" s="1"/>
      <c r="B82" s="1" t="s">
        <v>92</v>
      </c>
      <c r="C82" s="8" t="s">
        <v>89</v>
      </c>
      <c r="D82" s="8" t="s">
        <v>89</v>
      </c>
      <c r="E82" s="8" t="s">
        <v>89</v>
      </c>
      <c r="F82" s="8" t="s">
        <v>89</v>
      </c>
      <c r="G82" s="8" t="s">
        <v>89</v>
      </c>
      <c r="H82" s="10">
        <f>(H80+H81)*H84</f>
        <v>0.0173316</v>
      </c>
      <c r="I82" s="89"/>
      <c r="J82" s="1"/>
    </row>
    <row r="83">
      <c r="A83" s="1"/>
      <c r="B83" s="25" t="s">
        <v>93</v>
      </c>
      <c r="C83" s="9" t="s">
        <v>89</v>
      </c>
      <c r="D83" s="9" t="s">
        <v>89</v>
      </c>
      <c r="E83" s="9" t="s">
        <v>89</v>
      </c>
      <c r="F83" s="9" t="s">
        <v>89</v>
      </c>
      <c r="G83" s="9" t="s">
        <v>89</v>
      </c>
      <c r="H83" s="38">
        <v>0.04</v>
      </c>
      <c r="I83" s="89"/>
      <c r="J83" s="1"/>
    </row>
    <row r="84">
      <c r="A84" s="1"/>
      <c r="B84" s="25" t="s">
        <v>94</v>
      </c>
      <c r="C84" s="9" t="s">
        <v>89</v>
      </c>
      <c r="D84" s="9" t="s">
        <v>89</v>
      </c>
      <c r="E84" s="9" t="s">
        <v>89</v>
      </c>
      <c r="F84" s="9" t="s">
        <v>89</v>
      </c>
      <c r="G84" s="9" t="s">
        <v>89</v>
      </c>
      <c r="H84" s="20">
        <f>H117</f>
        <v>0.003</v>
      </c>
      <c r="I84" s="89"/>
      <c r="J84" s="1"/>
    </row>
    <row r="85">
      <c r="A85" s="1"/>
      <c r="B85" s="25" t="s">
        <v>66</v>
      </c>
      <c r="C85" s="9" t="s">
        <v>89</v>
      </c>
      <c r="D85" s="9" t="s">
        <v>89</v>
      </c>
      <c r="E85" s="9" t="s">
        <v>89</v>
      </c>
      <c r="F85" s="9" t="s">
        <v>89</v>
      </c>
      <c r="G85" s="9" t="s">
        <v>89</v>
      </c>
      <c r="H85" s="20">
        <f>H79/H78</f>
        <v>0</v>
      </c>
      <c r="I85" s="89"/>
      <c r="J85" s="1"/>
    </row>
    <row r="86">
      <c r="A86" s="1"/>
      <c r="B86" s="25" t="s">
        <v>95</v>
      </c>
      <c r="C86" s="9">
        <f>C77/C78-1</f>
        <v>-0.005905511811023723</v>
      </c>
      <c r="D86" s="9">
        <f>D77/D78-1</f>
        <v>0.07782369146005519</v>
      </c>
      <c r="E86" s="9">
        <f>E77/E78-1</f>
        <v>0.08771929824561409</v>
      </c>
      <c r="F86" s="9">
        <f>F77/F78-1</f>
        <v>0.04761904761904767</v>
      </c>
      <c r="G86" s="9">
        <f>G77/G78-1</f>
        <v>0.05128205128205132</v>
      </c>
      <c r="H86" s="20">
        <f>H77/H78-1</f>
        <v>0.04312000000000005</v>
      </c>
      <c r="I86" s="89"/>
      <c r="J86" s="1"/>
    </row>
    <row r="87">
      <c r="A87" s="1"/>
      <c r="B87" s="25" t="s">
        <v>67</v>
      </c>
      <c r="C87" s="9" t="s">
        <v>89</v>
      </c>
      <c r="D87" s="9" t="s">
        <v>89</v>
      </c>
      <c r="E87" s="9" t="s">
        <v>89</v>
      </c>
      <c r="F87" s="9" t="s">
        <v>89</v>
      </c>
      <c r="G87" s="9" t="s">
        <v>89</v>
      </c>
      <c r="H87" s="20">
        <f>(1+H86)/((1+H85)*(1+H84))-1</f>
        <v>0.04000000000000026</v>
      </c>
      <c r="I87" s="89"/>
      <c r="J87" s="1"/>
    </row>
    <row r="88">
      <c r="A88" s="1"/>
      <c r="B88" s="25" t="s">
        <v>61</v>
      </c>
      <c r="C88" s="5">
        <f>C77-F78</f>
        <v>-0.7450000000000001</v>
      </c>
      <c r="D88" s="5">
        <f>D77-C77</f>
        <v>0.7050000000000001</v>
      </c>
      <c r="E88" s="5">
        <f>E77-D77</f>
        <v>-0.05999999999999961</v>
      </c>
      <c r="F88" s="5">
        <f>F77-E77</f>
        <v>0.39999999999999947</v>
      </c>
      <c r="G88" s="1"/>
      <c r="H88" s="37">
        <f>H77-F77</f>
        <v>-0.8054683999999996</v>
      </c>
      <c r="I88" s="89"/>
      <c r="J88" s="1"/>
    </row>
    <row r="89">
      <c r="A89" s="1"/>
      <c r="B89" s="25" t="s">
        <v>62</v>
      </c>
      <c r="C89" s="9">
        <f>C77/F78-1</f>
        <v>-0.11825396825396828</v>
      </c>
      <c r="D89" s="9">
        <f>D77/C77-1</f>
        <v>0.12691269126912696</v>
      </c>
      <c r="E89" s="9">
        <f>E77/D77-1</f>
        <v>-0.009584664536741117</v>
      </c>
      <c r="F89" s="9">
        <f>F77/E77-1</f>
        <v>0.06451612903225801</v>
      </c>
      <c r="G89" s="1"/>
      <c r="H89" s="20">
        <f>H77/F77-1</f>
        <v>-0.12204066666666658</v>
      </c>
      <c r="I89" s="89"/>
      <c r="J89" s="1"/>
    </row>
    <row r="90">
      <c r="A90" s="1"/>
      <c r="B90" s="25" t="s">
        <v>96</v>
      </c>
      <c r="C90" s="9">
        <f>C77/C110</f>
        <v>0.036534034856954944</v>
      </c>
      <c r="D90" s="9">
        <f>D77/D110</f>
        <v>0.03781243582154463</v>
      </c>
      <c r="E90" s="9">
        <f>E77/E110</f>
        <v>0.03956604977664327</v>
      </c>
      <c r="F90" s="9">
        <f>F77/F110</f>
        <v>0.03956834532374101</v>
      </c>
      <c r="G90" s="9">
        <f>G77/G110</f>
        <v>0.038371548900327554</v>
      </c>
      <c r="H90" s="20">
        <f>H77/H110</f>
        <v>0.03668777098326395</v>
      </c>
      <c r="I90" s="89"/>
      <c r="J90" s="1"/>
    </row>
    <row r="91">
      <c r="A91" s="1"/>
      <c r="B91" s="25" t="s">
        <v>64</v>
      </c>
      <c r="C91" s="24">
        <f>(C90-C78/C115)*10000</f>
        <v>14.654729315729115</v>
      </c>
      <c r="D91" s="24">
        <f>(D90-D78/D115)*10000</f>
        <v>24.491216068074777</v>
      </c>
      <c r="E91" s="24">
        <f>(E90-E78/E115)*10000</f>
        <v>22.623848551773033</v>
      </c>
      <c r="F91" s="24">
        <f>(F90-F78/F115)*10000</f>
        <v>6.313861148411412</v>
      </c>
      <c r="G91" s="24">
        <f>(G90-G78/G115)*10000</f>
        <v>17.001807762090788</v>
      </c>
      <c r="H91" s="32">
        <f>(H90-H78/H115)*10000</f>
        <v>1.5373612630900646</v>
      </c>
      <c r="I91" s="89"/>
      <c r="J91" s="1"/>
    </row>
    <row r="92">
      <c r="A92" s="1"/>
      <c r="B92" s="1"/>
      <c r="C92" s="1"/>
      <c r="D92" s="1"/>
      <c r="E92" s="1"/>
      <c r="F92" s="1"/>
      <c r="G92" s="1"/>
      <c r="H92" s="4"/>
      <c r="I92" s="89"/>
      <c r="J92" s="1"/>
    </row>
    <row r="93">
      <c r="A93" s="1"/>
      <c r="B93" s="1" t="s">
        <v>101</v>
      </c>
      <c r="C93" s="8">
        <f>D137-D93</f>
        <v>2.3009999999999997</v>
      </c>
      <c r="D93" s="3">
        <v>3.257</v>
      </c>
      <c r="E93" s="3">
        <v>3.6</v>
      </c>
      <c r="F93" s="3">
        <v>3.6</v>
      </c>
      <c r="G93" s="3">
        <v>12.7</v>
      </c>
      <c r="H93" s="10">
        <f>H96+H97+H98</f>
        <v>2.3079029999999996</v>
      </c>
      <c r="I93" s="89" t="s">
        <v>86</v>
      </c>
      <c r="J93" s="1"/>
    </row>
    <row r="94">
      <c r="A94" s="1"/>
      <c r="B94" s="1" t="s">
        <v>87</v>
      </c>
      <c r="C94" s="8">
        <f>D139-D94</f>
        <v>3.225</v>
      </c>
      <c r="D94" s="3">
        <v>3.679</v>
      </c>
      <c r="E94" s="3">
        <v>3</v>
      </c>
      <c r="F94" s="3">
        <v>3.9</v>
      </c>
      <c r="G94" s="3">
        <v>13.7</v>
      </c>
      <c r="H94" s="10">
        <f>C93</f>
        <v>2.3009999999999997</v>
      </c>
      <c r="I94" s="89" t="s">
        <v>86</v>
      </c>
      <c r="J94" s="1"/>
    </row>
    <row r="95">
      <c r="A95" s="1"/>
      <c r="B95" s="1" t="s">
        <v>88</v>
      </c>
      <c r="C95" s="8" t="s">
        <v>89</v>
      </c>
      <c r="D95" s="8" t="s">
        <v>89</v>
      </c>
      <c r="E95" s="8" t="s">
        <v>89</v>
      </c>
      <c r="F95" s="8" t="s">
        <v>89</v>
      </c>
      <c r="G95" s="8" t="s">
        <v>89</v>
      </c>
      <c r="H95" s="12">
        <v>0</v>
      </c>
      <c r="I95" s="89"/>
      <c r="J95" s="1"/>
    </row>
    <row r="96">
      <c r="A96" s="1"/>
      <c r="B96" s="1" t="s">
        <v>90</v>
      </c>
      <c r="C96" s="8" t="s">
        <v>89</v>
      </c>
      <c r="D96" s="8" t="s">
        <v>89</v>
      </c>
      <c r="E96" s="8" t="s">
        <v>89</v>
      </c>
      <c r="F96" s="8" t="s">
        <v>89</v>
      </c>
      <c r="G96" s="8" t="s">
        <v>89</v>
      </c>
      <c r="H96" s="10">
        <f>H94+H95</f>
        <v>2.3009999999999997</v>
      </c>
      <c r="I96" s="89"/>
      <c r="J96" s="1"/>
    </row>
    <row r="97">
      <c r="A97" s="1"/>
      <c r="B97" s="1" t="s">
        <v>91</v>
      </c>
      <c r="C97" s="8" t="s">
        <v>89</v>
      </c>
      <c r="D97" s="8" t="s">
        <v>89</v>
      </c>
      <c r="E97" s="8" t="s">
        <v>89</v>
      </c>
      <c r="F97" s="8" t="s">
        <v>89</v>
      </c>
      <c r="G97" s="8" t="s">
        <v>89</v>
      </c>
      <c r="H97" s="10">
        <f>H96*H99</f>
        <v>0</v>
      </c>
      <c r="I97" s="89"/>
      <c r="J97" s="1"/>
    </row>
    <row r="98">
      <c r="A98" s="1"/>
      <c r="B98" s="1" t="s">
        <v>92</v>
      </c>
      <c r="C98" s="8" t="s">
        <v>89</v>
      </c>
      <c r="D98" s="8" t="s">
        <v>89</v>
      </c>
      <c r="E98" s="8" t="s">
        <v>89</v>
      </c>
      <c r="F98" s="8" t="s">
        <v>89</v>
      </c>
      <c r="G98" s="8" t="s">
        <v>89</v>
      </c>
      <c r="H98" s="10">
        <f>(H96+H97)*H100</f>
        <v>0.006902999999999999</v>
      </c>
      <c r="I98" s="89"/>
      <c r="J98" s="1"/>
    </row>
    <row r="99">
      <c r="A99" s="1"/>
      <c r="B99" s="25" t="s">
        <v>93</v>
      </c>
      <c r="C99" s="9" t="s">
        <v>89</v>
      </c>
      <c r="D99" s="9" t="s">
        <v>89</v>
      </c>
      <c r="E99" s="9" t="s">
        <v>89</v>
      </c>
      <c r="F99" s="9" t="s">
        <v>89</v>
      </c>
      <c r="G99" s="9" t="s">
        <v>89</v>
      </c>
      <c r="H99" s="38">
        <v>0</v>
      </c>
      <c r="I99" s="89"/>
      <c r="J99" s="1"/>
    </row>
    <row r="100">
      <c r="A100" s="1"/>
      <c r="B100" s="25" t="s">
        <v>94</v>
      </c>
      <c r="C100" s="9" t="s">
        <v>89</v>
      </c>
      <c r="D100" s="9" t="s">
        <v>89</v>
      </c>
      <c r="E100" s="9" t="s">
        <v>89</v>
      </c>
      <c r="F100" s="9" t="s">
        <v>89</v>
      </c>
      <c r="G100" s="9" t="s">
        <v>89</v>
      </c>
      <c r="H100" s="20">
        <f>H117</f>
        <v>0.003</v>
      </c>
      <c r="I100" s="89"/>
      <c r="J100" s="1"/>
    </row>
    <row r="101">
      <c r="A101" s="1"/>
      <c r="B101" s="25" t="s">
        <v>66</v>
      </c>
      <c r="C101" s="9" t="s">
        <v>89</v>
      </c>
      <c r="D101" s="9" t="s">
        <v>89</v>
      </c>
      <c r="E101" s="9" t="s">
        <v>89</v>
      </c>
      <c r="F101" s="9" t="s">
        <v>89</v>
      </c>
      <c r="G101" s="9" t="s">
        <v>89</v>
      </c>
      <c r="H101" s="20">
        <f>H95/H94</f>
        <v>0</v>
      </c>
      <c r="I101" s="89"/>
      <c r="J101" s="1"/>
    </row>
    <row r="102">
      <c r="A102" s="1"/>
      <c r="B102" s="25" t="s">
        <v>95</v>
      </c>
      <c r="C102" s="9">
        <f>C93/C94-1</f>
        <v>-0.2865116279069768</v>
      </c>
      <c r="D102" s="9">
        <f>D93/D94-1</f>
        <v>-0.11470508290296266</v>
      </c>
      <c r="E102" s="9">
        <f>E93/E94-1</f>
        <v>0.19999999999999996</v>
      </c>
      <c r="F102" s="9">
        <f>F93/F94-1</f>
        <v>-0.07692307692307687</v>
      </c>
      <c r="G102" s="9">
        <f>G93/G94-1</f>
        <v>-0.07299270072992703</v>
      </c>
      <c r="H102" s="20">
        <f>H93/H94-1</f>
        <v>0.0029999999999998916</v>
      </c>
      <c r="I102" s="89"/>
      <c r="J102" s="1"/>
    </row>
    <row r="103">
      <c r="A103" s="1"/>
      <c r="B103" s="25" t="s">
        <v>67</v>
      </c>
      <c r="C103" s="9" t="s">
        <v>89</v>
      </c>
      <c r="D103" s="9" t="s">
        <v>89</v>
      </c>
      <c r="E103" s="9" t="s">
        <v>89</v>
      </c>
      <c r="F103" s="9" t="s">
        <v>89</v>
      </c>
      <c r="G103" s="9" t="s">
        <v>89</v>
      </c>
      <c r="H103" s="20">
        <f>(1+H102)/((1+H101)*(1+H100))-1</f>
        <v>0</v>
      </c>
      <c r="I103" s="89"/>
      <c r="J103" s="1"/>
    </row>
    <row r="104">
      <c r="A104" s="1"/>
      <c r="B104" s="25" t="s">
        <v>61</v>
      </c>
      <c r="C104" s="5">
        <f>C93-F94</f>
        <v>-1.5990000000000002</v>
      </c>
      <c r="D104" s="5">
        <f>D93-C93</f>
        <v>0.9560000000000004</v>
      </c>
      <c r="E104" s="5">
        <f>E93-D93</f>
        <v>0.34299999999999997</v>
      </c>
      <c r="F104" s="5">
        <f>F93-E93</f>
        <v>0</v>
      </c>
      <c r="G104" s="1"/>
      <c r="H104" s="37">
        <f>H93-F93</f>
        <v>-1.2920970000000005</v>
      </c>
      <c r="I104" s="89"/>
      <c r="J104" s="1"/>
    </row>
    <row r="105">
      <c r="A105" s="1"/>
      <c r="B105" s="25" t="s">
        <v>62</v>
      </c>
      <c r="C105" s="9">
        <f>C93/F94-1</f>
        <v>-0.41000000000000003</v>
      </c>
      <c r="D105" s="9">
        <f>D93/C93-1</f>
        <v>0.4154715341156021</v>
      </c>
      <c r="E105" s="9">
        <f>E93/D93-1</f>
        <v>0.10531163647528397</v>
      </c>
      <c r="F105" s="9">
        <f>F93/E93-1</f>
        <v>0</v>
      </c>
      <c r="G105" s="1"/>
      <c r="H105" s="20">
        <f>H93/F93-1</f>
        <v>-0.35891583333333343</v>
      </c>
      <c r="I105" s="89"/>
      <c r="J105" s="1"/>
    </row>
    <row r="106">
      <c r="A106" s="1"/>
      <c r="B106" s="25" t="s">
        <v>96</v>
      </c>
      <c r="C106" s="9">
        <f>C93/C110</f>
        <v>0.015133179875041102</v>
      </c>
      <c r="D106" s="9">
        <f>D93/D110</f>
        <v>0.019673339212583206</v>
      </c>
      <c r="E106" s="9">
        <f>E93/E110</f>
        <v>0.022973835354179965</v>
      </c>
      <c r="F106" s="9">
        <f>F93/F110</f>
        <v>0.02158273381294964</v>
      </c>
      <c r="G106" s="9">
        <f>G93/G110</f>
        <v>0.019809702074559347</v>
      </c>
      <c r="H106" s="20">
        <f>H93/H110</f>
        <v>0.014612366030687935</v>
      </c>
      <c r="I106" s="89"/>
      <c r="J106" s="1"/>
    </row>
    <row r="107">
      <c r="A107" s="1"/>
      <c r="B107" s="25" t="s">
        <v>64</v>
      </c>
      <c r="C107" s="24">
        <f>(C106-C94/C115)*10000</f>
        <v>-51.059239562683196</v>
      </c>
      <c r="D107" s="24">
        <f>(D106-D94/D115)*10000</f>
        <v>-27.270796916898586</v>
      </c>
      <c r="E107" s="24">
        <f>(E106-E94/E115)*10000</f>
        <v>33.40327500776824</v>
      </c>
      <c r="F107" s="24">
        <f>(F106-F94/F115)*10000</f>
        <v>-25.21098078274088</v>
      </c>
      <c r="G107" s="24">
        <f>(G106-G94/G115)*10000</f>
        <v>-16.602869553732635</v>
      </c>
      <c r="H107" s="32">
        <f>(H106-H94/H115)*10000</f>
        <v>-5.208138443531674</v>
      </c>
      <c r="I107" s="89"/>
      <c r="J107" s="1"/>
    </row>
    <row r="108">
      <c r="A108" s="1"/>
      <c r="B108" s="1"/>
      <c r="C108" s="1"/>
      <c r="D108" s="1"/>
      <c r="E108" s="1"/>
      <c r="F108" s="1"/>
      <c r="G108" s="1"/>
      <c r="H108" s="4"/>
      <c r="I108" s="89"/>
      <c r="J108" s="1"/>
    </row>
    <row r="109">
      <c r="A109" s="1"/>
      <c r="B109" s="16" t="s">
        <v>102</v>
      </c>
      <c r="C109" s="1"/>
      <c r="D109" s="1"/>
      <c r="E109" s="1"/>
      <c r="F109" s="1"/>
      <c r="G109" s="1"/>
      <c r="H109" s="4"/>
      <c r="I109" s="89"/>
      <c r="J109" s="1"/>
    </row>
    <row r="110">
      <c r="A110" s="1"/>
      <c r="B110" s="15" t="s">
        <v>103</v>
      </c>
      <c r="C110" s="7">
        <f>C13+C29+C45+C61+C77+C93</f>
        <v>152.05</v>
      </c>
      <c r="D110" s="7">
        <f>D13+D29+D45+D61+D77+D93</f>
        <v>165.554</v>
      </c>
      <c r="E110" s="7">
        <f>E13+E29+E45+E61+E77+E93</f>
        <v>156.7</v>
      </c>
      <c r="F110" s="7">
        <f>F13+F29+F45+F61+F77+F93</f>
        <v>166.79999999999998</v>
      </c>
      <c r="G110" s="7">
        <f>G13+G29+G45+G61+G77+G93</f>
        <v>641.1000000000001</v>
      </c>
      <c r="H110" s="34">
        <f>H13+H29+H45+H61+H77+H93</f>
        <v>157.941773095</v>
      </c>
      <c r="I110" s="89"/>
      <c r="J110" s="1"/>
    </row>
    <row r="111">
      <c r="A111" s="1"/>
      <c r="B111" s="1" t="s">
        <v>104</v>
      </c>
      <c r="C111" s="3">
        <v>152.05</v>
      </c>
      <c r="D111" s="3">
        <v>165.554</v>
      </c>
      <c r="E111" s="3">
        <v>156.7</v>
      </c>
      <c r="F111" s="3">
        <v>166.8</v>
      </c>
      <c r="G111" s="3">
        <v>641.1</v>
      </c>
      <c r="H111" s="4"/>
      <c r="I111" s="89" t="s">
        <v>72</v>
      </c>
      <c r="J111" s="1"/>
    </row>
    <row r="112">
      <c r="A112" s="1"/>
      <c r="B112" s="1" t="s">
        <v>105</v>
      </c>
      <c r="C112" s="8">
        <f>ROUND(C110-C111,3)</f>
        <v>0</v>
      </c>
      <c r="D112" s="8">
        <f>ROUND(D110-D111,3)</f>
        <v>0</v>
      </c>
      <c r="E112" s="8">
        <f>ROUND(E110-E111,3)</f>
        <v>0</v>
      </c>
      <c r="F112" s="8">
        <f>ROUND(F110-F111,3)</f>
        <v>0</v>
      </c>
      <c r="G112" s="8">
        <f>ROUND(G110-G111,3)</f>
        <v>0</v>
      </c>
      <c r="H112" s="4"/>
      <c r="I112" s="89"/>
      <c r="J112" s="1"/>
    </row>
    <row r="113">
      <c r="A113" s="1"/>
      <c r="B113" s="1" t="s">
        <v>106</v>
      </c>
      <c r="C113" s="33" t="b">
        <f>ABS(C110-C111)&lt;0.001</f>
        <v>1</v>
      </c>
      <c r="D113" s="33" t="b">
        <f>ABS(D110-D111)&lt;0.001</f>
        <v>1</v>
      </c>
      <c r="E113" s="33" t="b">
        <f>ABS(E110-E111)&lt;0.001</f>
        <v>1</v>
      </c>
      <c r="F113" s="33" t="b">
        <f>ABS(F110-F111)&lt;0.001</f>
        <v>1</v>
      </c>
      <c r="G113" s="33" t="b">
        <f>ABS(G110-G111)&lt;0.001</f>
        <v>1</v>
      </c>
      <c r="H113" s="4"/>
      <c r="I113" s="89"/>
      <c r="J113" s="1"/>
    </row>
    <row r="114">
      <c r="A114" s="1"/>
      <c r="B114" s="1" t="s">
        <v>107</v>
      </c>
      <c r="C114" s="1"/>
      <c r="D114" s="1"/>
      <c r="E114" s="1"/>
      <c r="F114" s="1"/>
      <c r="G114" s="33" t="b">
        <f>ABS(G110-SUM(C110:F110))&lt;0.15</f>
        <v>1</v>
      </c>
      <c r="H114" s="4"/>
      <c r="I114" s="89"/>
      <c r="J114" s="1"/>
    </row>
    <row r="115">
      <c r="A115" s="1"/>
      <c r="B115" s="1" t="s">
        <v>108</v>
      </c>
      <c r="C115" s="3">
        <v>159.345</v>
      </c>
      <c r="D115" s="3">
        <v>164.238</v>
      </c>
      <c r="E115" s="3">
        <v>152.8</v>
      </c>
      <c r="F115" s="3">
        <v>161.8</v>
      </c>
      <c r="G115" s="3">
        <v>638.1</v>
      </c>
      <c r="H115" s="10">
        <f>C110</f>
        <v>152.05</v>
      </c>
      <c r="I115" s="89" t="s">
        <v>72</v>
      </c>
      <c r="J115" s="1"/>
    </row>
    <row r="116">
      <c r="A116" s="1"/>
      <c r="B116" s="25" t="s">
        <v>95</v>
      </c>
      <c r="C116" s="9">
        <f>C110/C115-1</f>
        <v>-0.04578116665097731</v>
      </c>
      <c r="D116" s="9">
        <f>D110/D115-1</f>
        <v>0.00801276196738887</v>
      </c>
      <c r="E116" s="9">
        <f>E110/E115-1</f>
        <v>0.025523560209423923</v>
      </c>
      <c r="F116" s="9">
        <f>F110/F115-1</f>
        <v>0.030902348578491834</v>
      </c>
      <c r="G116" s="9">
        <f>G110/G115-1</f>
        <v>0.004701457451810276</v>
      </c>
      <c r="H116" s="20">
        <f>H110/H115-1</f>
        <v>0.038748918743834126</v>
      </c>
      <c r="I116" s="89"/>
      <c r="J116" s="1"/>
    </row>
    <row r="117">
      <c r="A117" s="1"/>
      <c r="B117" s="25" t="s">
        <v>109</v>
      </c>
      <c r="C117" s="44">
        <v>0.008</v>
      </c>
      <c r="D117" s="44">
        <v>0.013</v>
      </c>
      <c r="E117" s="44">
        <v>0.04</v>
      </c>
      <c r="F117" s="44">
        <v>0.023</v>
      </c>
      <c r="G117" s="44">
        <v>0.021</v>
      </c>
      <c r="H117" s="38">
        <v>0.003</v>
      </c>
      <c r="I117" s="89" t="s">
        <v>110</v>
      </c>
      <c r="J117" s="1"/>
    </row>
    <row r="118">
      <c r="A118" s="1"/>
      <c r="B118" s="25" t="s">
        <v>111</v>
      </c>
      <c r="C118" s="44">
        <v>-0.037</v>
      </c>
      <c r="D118" s="44">
        <v>-0.046</v>
      </c>
      <c r="E118" s="44">
        <v>-0.054</v>
      </c>
      <c r="F118" s="44">
        <v>-0.05</v>
      </c>
      <c r="G118" s="44">
        <v>-0.047</v>
      </c>
      <c r="H118" s="20">
        <f>SUM(H15,H31,H47,H63,H79,H95)/H115</f>
        <v>-0.01315356790529431</v>
      </c>
      <c r="I118" s="89" t="s">
        <v>72</v>
      </c>
      <c r="J118" s="1"/>
    </row>
    <row r="119">
      <c r="A119" s="1"/>
      <c r="B119" s="25" t="s">
        <v>73</v>
      </c>
      <c r="C119" s="44">
        <v>-0.017</v>
      </c>
      <c r="D119" s="44">
        <v>0.041</v>
      </c>
      <c r="E119" s="44">
        <v>0.04</v>
      </c>
      <c r="F119" s="44">
        <v>0.058</v>
      </c>
      <c r="G119" s="44">
        <v>0.031</v>
      </c>
      <c r="H119" s="20">
        <f>SUM(H17,H33,H49,H65,H81,H97)/(H115+SUM(H15,H31,H47,H63,H79,H95))</f>
        <v>0.049445951349550155</v>
      </c>
      <c r="I119" s="89" t="s">
        <v>72</v>
      </c>
      <c r="J119" s="1"/>
    </row>
    <row r="120">
      <c r="A120" s="1"/>
      <c r="B120" s="25" t="s">
        <v>67</v>
      </c>
      <c r="C120" s="9">
        <f>(1+C116)/((1+C118)*(1+C117))-1</f>
        <v>-0.016982691583610765</v>
      </c>
      <c r="D120" s="9">
        <f>(1+D116)/((1+D118)*(1+D117))-1</f>
        <v>0.04305740464877861</v>
      </c>
      <c r="E120" s="9">
        <f>(1+E116)/((1+E118)*(1+E117))-1</f>
        <v>0.04236823081946661</v>
      </c>
      <c r="F120" s="9">
        <f>(1+F116)/((1+F118)*(1+F117))-1</f>
        <v>0.060762822018307405</v>
      </c>
      <c r="G120" s="9">
        <f>(1+G116)/((1+G118)*(1+G117))-1</f>
        <v>0.03256735259632748</v>
      </c>
      <c r="H120" s="20">
        <f>(1+H116)/((1+H118)*(1+H117))-1</f>
        <v>0.04944595134955021</v>
      </c>
      <c r="I120" s="89"/>
      <c r="J120" s="1"/>
    </row>
    <row r="121">
      <c r="A121" s="1"/>
      <c r="B121" s="1" t="s">
        <v>112</v>
      </c>
      <c r="C121" s="8">
        <f>C117*C115</f>
        <v>1.2747600000000001</v>
      </c>
      <c r="D121" s="8">
        <f>D117*D115</f>
        <v>2.135094</v>
      </c>
      <c r="E121" s="8">
        <f>E117*E115</f>
        <v>6.112000000000001</v>
      </c>
      <c r="F121" s="8">
        <f>F117*F115</f>
        <v>3.7214</v>
      </c>
      <c r="G121" s="8">
        <f>G117*G115</f>
        <v>13.400100000000002</v>
      </c>
      <c r="H121" s="10">
        <f>SUM(H18,H34,H50,H66,H82,H98)</f>
        <v>0.47240809500000003</v>
      </c>
      <c r="I121" s="89"/>
      <c r="J121" s="1"/>
    </row>
    <row r="122">
      <c r="A122" s="1"/>
      <c r="B122" s="1" t="s">
        <v>113</v>
      </c>
      <c r="C122" s="8">
        <f>C118*C115</f>
        <v>-5.895765</v>
      </c>
      <c r="D122" s="8">
        <f>D118*D115</f>
        <v>-7.5549479999999996</v>
      </c>
      <c r="E122" s="8">
        <f>E118*E115</f>
        <v>-8.2512</v>
      </c>
      <c r="F122" s="8">
        <f>F118*F115</f>
        <v>-8.090000000000002</v>
      </c>
      <c r="G122" s="8">
        <f>G118*G115</f>
        <v>-29.9907</v>
      </c>
      <c r="H122" s="10">
        <f>SUM(H15,H31,H47,H63,H79,H95)</f>
        <v>-2</v>
      </c>
      <c r="I122" s="89"/>
      <c r="J122" s="1"/>
    </row>
    <row r="123">
      <c r="A123" s="1"/>
      <c r="B123" s="1" t="s">
        <v>114</v>
      </c>
      <c r="C123" s="8">
        <f>C110-C115-C121-C122</f>
        <v>-2.673994999999988</v>
      </c>
      <c r="D123" s="8">
        <f>D110-D115-D121-D122</f>
        <v>6.735854000000002</v>
      </c>
      <c r="E123" s="8">
        <f>E110-E115-E121-E122</f>
        <v>6.039199999999977</v>
      </c>
      <c r="F123" s="8">
        <f>F110-F115-F121-F122</f>
        <v>9.368599999999972</v>
      </c>
      <c r="G123" s="8">
        <f>G110-G115-G121-G122</f>
        <v>19.590600000000112</v>
      </c>
      <c r="H123" s="10">
        <f>H110-H115-H121-H122</f>
        <v>7.41936499999999</v>
      </c>
      <c r="I123" s="89"/>
      <c r="J123" s="1"/>
    </row>
    <row r="124">
      <c r="A124" s="1"/>
      <c r="B124" s="25" t="s">
        <v>61</v>
      </c>
      <c r="C124" s="5">
        <f>C110-F115</f>
        <v>-9.75</v>
      </c>
      <c r="D124" s="5">
        <f>D110-C110</f>
        <v>13.50399999999999</v>
      </c>
      <c r="E124" s="5">
        <f>E110-D110</f>
        <v>-8.854000000000013</v>
      </c>
      <c r="F124" s="5">
        <f>F110-E110</f>
        <v>10.099999999999994</v>
      </c>
      <c r="G124" s="1"/>
      <c r="H124" s="37">
        <f>H110-F110</f>
        <v>-8.858226904999981</v>
      </c>
      <c r="I124" s="89"/>
      <c r="J124" s="1"/>
    </row>
    <row r="125">
      <c r="A125" s="1"/>
      <c r="B125" s="25" t="s">
        <v>62</v>
      </c>
      <c r="C125" s="9">
        <f>C110/F115-1</f>
        <v>-0.06025957972805929</v>
      </c>
      <c r="D125" s="9">
        <f>D110/C110-1</f>
        <v>0.08881289049654706</v>
      </c>
      <c r="E125" s="9">
        <f>E110/D110-1</f>
        <v>-0.05348103941916238</v>
      </c>
      <c r="F125" s="9">
        <f>F110/E110-1</f>
        <v>0.06445437141033827</v>
      </c>
      <c r="G125" s="1"/>
      <c r="H125" s="20">
        <f>H110/F110-1</f>
        <v>-0.05310687592925645</v>
      </c>
      <c r="I125" s="89"/>
      <c r="J125" s="1"/>
    </row>
    <row r="126">
      <c r="A126" s="1"/>
      <c r="B126" s="25" t="s">
        <v>115</v>
      </c>
      <c r="C126" s="60">
        <f>C110/'Revenue summary'!C35</f>
        <v>0.7268546625300565</v>
      </c>
      <c r="D126" s="60">
        <f>D110/'Revenue summary'!D35</f>
        <v>0.7368074377700932</v>
      </c>
      <c r="E126" s="60">
        <f>E110/'Revenue summary'!E35</f>
        <v>0.7419507575757576</v>
      </c>
      <c r="F126" s="60">
        <f>F110/'Revenue summary'!F35</f>
        <v>0.7403462050599201</v>
      </c>
      <c r="G126" s="60">
        <f>G110/'Revenue summary'!G35</f>
        <v>0.7365579044117648</v>
      </c>
      <c r="H126" s="63">
        <f>H110/'Revenue summary'!H35</f>
        <v>0.7444371026561654</v>
      </c>
      <c r="I126" s="89"/>
      <c r="J126" s="1"/>
    </row>
    <row r="127">
      <c r="A127" s="1"/>
      <c r="B127" s="1"/>
      <c r="C127" s="1"/>
      <c r="D127" s="1"/>
      <c r="E127" s="1"/>
      <c r="F127" s="1"/>
      <c r="G127" s="1"/>
      <c r="H127" s="4"/>
      <c r="I127" s="89"/>
      <c r="J127" s="1"/>
    </row>
    <row r="128">
      <c r="A128" s="1"/>
      <c r="B128" s="16" t="s">
        <v>116</v>
      </c>
      <c r="C128" s="1"/>
      <c r="D128" s="1"/>
      <c r="E128" s="1"/>
      <c r="F128" s="1"/>
      <c r="G128" s="1"/>
      <c r="H128" s="4"/>
      <c r="I128" s="89"/>
      <c r="J128" s="1"/>
    </row>
    <row r="129">
      <c r="A129" s="1"/>
      <c r="B129" s="15" t="s">
        <v>117</v>
      </c>
      <c r="C129" s="68">
        <v>7.091</v>
      </c>
      <c r="D129" s="68">
        <v>16.577</v>
      </c>
      <c r="E129" s="68">
        <v>16.3</v>
      </c>
      <c r="F129" s="76">
        <f>G129-SUM(C129:E129)</f>
        <v>23.431999999999995</v>
      </c>
      <c r="G129" s="68">
        <v>63.4</v>
      </c>
      <c r="H129" s="47">
        <f>H110*H130</f>
        <v>17.37359504045</v>
      </c>
      <c r="I129" s="89" t="s">
        <v>118</v>
      </c>
      <c r="J129" s="1"/>
    </row>
    <row r="130">
      <c r="A130" s="1"/>
      <c r="B130" s="25" t="s">
        <v>119</v>
      </c>
      <c r="C130" s="9">
        <f>C129/C110</f>
        <v>0.046635975008220976</v>
      </c>
      <c r="D130" s="9">
        <f>D129/D110</f>
        <v>0.10013047102455998</v>
      </c>
      <c r="E130" s="9">
        <f>E129/E110</f>
        <v>0.1040204211869815</v>
      </c>
      <c r="F130" s="9">
        <f>F129/F110</f>
        <v>0.1404796163069544</v>
      </c>
      <c r="G130" s="9">
        <f>G129/G110</f>
        <v>0.09889252846669784</v>
      </c>
      <c r="H130" s="38">
        <v>0.11</v>
      </c>
      <c r="I130" s="89"/>
      <c r="J130" s="1"/>
    </row>
    <row r="131">
      <c r="A131" s="1"/>
      <c r="B131" s="1" t="s">
        <v>120</v>
      </c>
      <c r="C131" s="3">
        <v>17.905</v>
      </c>
      <c r="D131" s="3">
        <v>-436.798</v>
      </c>
      <c r="E131" s="3">
        <v>19.3</v>
      </c>
      <c r="F131" s="8">
        <f>G131-D140</f>
        <v>-586.1</v>
      </c>
      <c r="G131" s="3">
        <v>-985.7</v>
      </c>
      <c r="H131" s="10">
        <f>C129</f>
        <v>7.091</v>
      </c>
      <c r="I131" s="89" t="s">
        <v>118</v>
      </c>
      <c r="J131" s="1"/>
    </row>
    <row r="132">
      <c r="A132" s="1"/>
      <c r="B132" s="25" t="s">
        <v>121</v>
      </c>
      <c r="C132" s="24">
        <f>(C130-C131/C115)*10000</f>
        <v>-657.3027432498685</v>
      </c>
      <c r="D132" s="24">
        <f>(D130-D131/D115)*10000</f>
        <v>27596.733295591257</v>
      </c>
      <c r="E132" s="24">
        <f>(E130-E131/E115)*10000</f>
        <v>-222.88479336578695</v>
      </c>
      <c r="F132" s="24">
        <f>(F130-F131/F115)*10000</f>
        <v>37628.52916677783</v>
      </c>
      <c r="G132" s="24">
        <f>(G130-G131/G115)*10000</f>
        <v>16436.347318830904</v>
      </c>
      <c r="H132" s="32">
        <f>(H130-H131/H115)*10000</f>
        <v>633.6402499177902</v>
      </c>
      <c r="I132" s="89"/>
      <c r="J132" s="1"/>
    </row>
    <row r="133">
      <c r="A133" s="1"/>
      <c r="B133" s="25" t="s">
        <v>61</v>
      </c>
      <c r="C133" s="5">
        <f>C129-F131</f>
        <v>593.191</v>
      </c>
      <c r="D133" s="5">
        <f>D129-C129</f>
        <v>9.486</v>
      </c>
      <c r="E133" s="5">
        <f>E129-D129</f>
        <v>-0.277000000000001</v>
      </c>
      <c r="F133" s="5">
        <f>F129-E129</f>
        <v>7.131999999999994</v>
      </c>
      <c r="G133" s="1"/>
      <c r="H133" s="37">
        <f>H129-F129</f>
        <v>-6.058404959549996</v>
      </c>
      <c r="I133" s="89"/>
      <c r="J133" s="1"/>
    </row>
    <row r="134">
      <c r="A134" s="1"/>
      <c r="B134" s="1"/>
      <c r="C134" s="1"/>
      <c r="D134" s="1"/>
      <c r="E134" s="1"/>
      <c r="F134" s="1"/>
      <c r="G134" s="1"/>
      <c r="H134" s="4"/>
      <c r="I134" s="89"/>
      <c r="J134" s="1"/>
    </row>
    <row r="135">
      <c r="A135" s="1"/>
      <c r="B135" s="16" t="s">
        <v>122</v>
      </c>
      <c r="C135" s="1"/>
      <c r="D135" s="1"/>
      <c r="E135" s="1"/>
      <c r="F135" s="1"/>
      <c r="G135" s="1"/>
      <c r="H135" s="4"/>
      <c r="I135" s="89"/>
      <c r="J135" s="1"/>
    </row>
    <row r="136">
      <c r="A136" s="1"/>
      <c r="B136" s="1" t="s">
        <v>123</v>
      </c>
      <c r="C136" s="1"/>
      <c r="D136" s="3">
        <v>162.893</v>
      </c>
      <c r="E136" s="1"/>
      <c r="F136" s="1"/>
      <c r="G136" s="1"/>
      <c r="H136" s="4"/>
      <c r="I136" s="89" t="s">
        <v>124</v>
      </c>
      <c r="J136" s="1"/>
    </row>
    <row r="137">
      <c r="A137" s="1"/>
      <c r="B137" s="1" t="s">
        <v>125</v>
      </c>
      <c r="C137" s="1"/>
      <c r="D137" s="3">
        <v>5.558</v>
      </c>
      <c r="E137" s="1"/>
      <c r="F137" s="1"/>
      <c r="G137" s="1"/>
      <c r="H137" s="4"/>
      <c r="I137" s="89" t="s">
        <v>124</v>
      </c>
      <c r="J137" s="1"/>
    </row>
    <row r="138">
      <c r="A138" s="1"/>
      <c r="B138" s="1" t="s">
        <v>126</v>
      </c>
      <c r="C138" s="1"/>
      <c r="D138" s="3">
        <v>158.062</v>
      </c>
      <c r="E138" s="1"/>
      <c r="F138" s="1"/>
      <c r="G138" s="1"/>
      <c r="H138" s="4"/>
      <c r="I138" s="89" t="s">
        <v>124</v>
      </c>
      <c r="J138" s="1"/>
    </row>
    <row r="139">
      <c r="A139" s="1"/>
      <c r="B139" s="1" t="s">
        <v>127</v>
      </c>
      <c r="C139" s="1"/>
      <c r="D139" s="3">
        <v>6.904</v>
      </c>
      <c r="E139" s="1"/>
      <c r="F139" s="1"/>
      <c r="G139" s="1"/>
      <c r="H139" s="4"/>
      <c r="I139" s="89" t="s">
        <v>124</v>
      </c>
      <c r="J139" s="1"/>
    </row>
    <row r="140">
      <c r="A140" s="1"/>
      <c r="B140" s="1" t="s">
        <v>128</v>
      </c>
      <c r="C140" s="1"/>
      <c r="D140" s="3">
        <v>-399.6</v>
      </c>
      <c r="E140" s="1"/>
      <c r="F140" s="1"/>
      <c r="G140" s="1"/>
      <c r="H140" s="4"/>
      <c r="I140" s="89" t="s">
        <v>129</v>
      </c>
      <c r="J140" s="1"/>
    </row>
    <row r="141">
      <c r="A141" s="1"/>
      <c r="B141" s="1"/>
      <c r="C141" s="1"/>
      <c r="D141" s="1"/>
      <c r="E141" s="1"/>
      <c r="F141" s="1"/>
      <c r="G141" s="1"/>
      <c r="H141" s="1"/>
      <c r="I141" s="1"/>
      <c r="J141" s="1"/>
    </row>
    <row r="142">
      <c r="A142" s="1"/>
      <c r="B142" s="1"/>
      <c r="C142" s="1"/>
      <c r="D142" s="1"/>
      <c r="E142" s="1"/>
      <c r="F142" s="1"/>
      <c r="G142" s="1"/>
      <c r="H142" s="1"/>
      <c r="I142" s="1"/>
      <c r="J142" s="1"/>
    </row>
  </sheetData>
  <legacyDrawing r:id="rId2"/>
</worksheet>
</file>

<file path=xl/worksheets/sheet4.xml><?xml version="1.0" encoding="utf-8"?>
<worksheet xmlns="http://schemas.openxmlformats.org/spreadsheetml/2006/main" xmlns:r="http://schemas.openxmlformats.org/officeDocument/2006/relationships">
  <dimension ref="A1:J126"/>
  <sheetViews>
    <sheetView showGridLines="0" workbookViewId="0"/>
  </sheetViews>
  <sheetFormatPr defaultColWidth="8.42578125" defaultRowHeight="15"/>
  <cols>
    <col min="1" max="1" width="2" customWidth="1"/>
    <col min="2" max="2" width="32" customWidth="1"/>
    <col min="3" max="8" width="12" customWidth="1"/>
    <col min="9" max="9" width="16" customWidth="1"/>
  </cols>
  <sheetData>
    <row r="1">
      <c r="A1" s="1"/>
      <c r="B1" s="1"/>
      <c r="C1" s="1"/>
      <c r="D1" s="1"/>
      <c r="E1" s="1"/>
      <c r="F1" s="1"/>
      <c r="G1" s="1"/>
      <c r="H1" s="1"/>
      <c r="I1" s="1"/>
      <c r="J1" s="1"/>
    </row>
    <row r="2">
      <c r="A2" s="1"/>
      <c r="B2" s="46" t="s">
        <v>1</v>
      </c>
      <c r="C2" s="1"/>
      <c r="D2" s="1"/>
      <c r="E2" s="1"/>
      <c r="F2" s="1"/>
      <c r="G2" s="1"/>
      <c r="H2" s="1"/>
      <c r="I2" s="1"/>
      <c r="J2" s="1"/>
    </row>
    <row r="3">
      <c r="A3" s="1"/>
      <c r="B3" s="15" t="s">
        <v>130</v>
      </c>
      <c r="C3" s="1"/>
      <c r="D3" s="1"/>
      <c r="E3" s="1"/>
      <c r="F3" s="1"/>
      <c r="G3" s="1"/>
      <c r="H3" s="1"/>
      <c r="I3" s="1"/>
      <c r="J3" s="1"/>
    </row>
    <row r="4">
      <c r="A4" s="1"/>
      <c r="B4" s="25" t="s">
        <v>2</v>
      </c>
      <c r="C4" s="1"/>
      <c r="D4" s="1"/>
      <c r="E4" s="1"/>
      <c r="F4" s="1"/>
      <c r="G4" s="1"/>
      <c r="H4" s="1"/>
      <c r="I4" s="1"/>
      <c r="J4" s="1"/>
    </row>
    <row r="5">
      <c r="A5" s="1"/>
      <c r="B5" s="28" t="s">
        <v>50</v>
      </c>
      <c r="C5" s="2" t="s">
        <v>51</v>
      </c>
      <c r="D5" s="2" t="s">
        <v>52</v>
      </c>
      <c r="E5" s="2" t="s">
        <v>53</v>
      </c>
      <c r="F5" s="2" t="s">
        <v>54</v>
      </c>
      <c r="G5" s="2" t="s">
        <v>55</v>
      </c>
      <c r="H5" s="2" t="s">
        <v>4</v>
      </c>
      <c r="I5" s="90" t="s">
        <v>56</v>
      </c>
      <c r="J5" s="1"/>
    </row>
    <row r="6">
      <c r="A6" s="1"/>
      <c r="B6" s="41" t="s">
        <v>5</v>
      </c>
      <c r="C6" s="17">
        <v>45900</v>
      </c>
      <c r="D6" s="17">
        <v>45991</v>
      </c>
      <c r="E6" s="17">
        <v>46081</v>
      </c>
      <c r="F6" s="17">
        <v>46173</v>
      </c>
      <c r="G6" s="17">
        <v>46173</v>
      </c>
      <c r="H6" s="17">
        <v>46265</v>
      </c>
      <c r="I6" s="92"/>
      <c r="J6" s="1"/>
    </row>
    <row r="7">
      <c r="A7" s="1"/>
      <c r="B7" s="14" t="s">
        <v>6</v>
      </c>
      <c r="C7" s="40">
        <v>92</v>
      </c>
      <c r="D7" s="40">
        <v>91</v>
      </c>
      <c r="E7" s="40">
        <v>90</v>
      </c>
      <c r="F7" s="40">
        <v>92</v>
      </c>
      <c r="G7" s="40">
        <v>365</v>
      </c>
      <c r="H7" s="40">
        <v>92</v>
      </c>
      <c r="I7" s="91"/>
      <c r="J7" s="1"/>
    </row>
    <row r="8">
      <c r="A8" s="1"/>
      <c r="B8" s="1"/>
      <c r="C8" s="1"/>
      <c r="D8" s="1"/>
      <c r="E8" s="1"/>
      <c r="F8" s="1"/>
      <c r="G8" s="1"/>
      <c r="H8" s="1"/>
      <c r="I8" s="89"/>
      <c r="J8" s="1"/>
    </row>
    <row r="9">
      <c r="A9" s="1"/>
      <c r="B9" s="16" t="s">
        <v>131</v>
      </c>
      <c r="C9" s="1"/>
      <c r="D9" s="1"/>
      <c r="E9" s="1"/>
      <c r="F9" s="1"/>
      <c r="G9" s="1"/>
      <c r="H9" s="4"/>
      <c r="I9" s="89"/>
      <c r="J9" s="1"/>
    </row>
    <row r="10">
      <c r="A10" s="1"/>
      <c r="B10" s="25" t="s">
        <v>83</v>
      </c>
      <c r="C10" s="1"/>
      <c r="D10" s="1"/>
      <c r="E10" s="1"/>
      <c r="F10" s="1"/>
      <c r="G10" s="1"/>
      <c r="H10" s="4"/>
      <c r="I10" s="89"/>
      <c r="J10" s="1"/>
    </row>
    <row r="11">
      <c r="A11" s="1"/>
      <c r="B11" s="25" t="s">
        <v>84</v>
      </c>
      <c r="C11" s="1"/>
      <c r="D11" s="1"/>
      <c r="E11" s="1"/>
      <c r="F11" s="1"/>
      <c r="G11" s="1"/>
      <c r="H11" s="4"/>
      <c r="I11" s="89"/>
      <c r="J11" s="1"/>
    </row>
    <row r="12">
      <c r="A12" s="1"/>
      <c r="B12" s="1"/>
      <c r="C12" s="1"/>
      <c r="D12" s="1"/>
      <c r="E12" s="1"/>
      <c r="F12" s="1"/>
      <c r="G12" s="1"/>
      <c r="H12" s="4"/>
      <c r="I12" s="89"/>
      <c r="J12" s="1"/>
    </row>
    <row r="13">
      <c r="A13" s="1"/>
      <c r="B13" s="1" t="s">
        <v>132</v>
      </c>
      <c r="C13" s="3">
        <v>1.859</v>
      </c>
      <c r="D13" s="3">
        <v>1.448</v>
      </c>
      <c r="E13" s="3">
        <v>1.5</v>
      </c>
      <c r="F13" s="3">
        <v>1.8</v>
      </c>
      <c r="G13" s="3">
        <v>6.6</v>
      </c>
      <c r="H13" s="10">
        <f>H16+H17+H18</f>
        <v>1.859</v>
      </c>
      <c r="I13" s="89" t="s">
        <v>86</v>
      </c>
      <c r="J13" s="1"/>
    </row>
    <row r="14">
      <c r="A14" s="1"/>
      <c r="B14" s="1" t="s">
        <v>87</v>
      </c>
      <c r="C14" s="3">
        <v>1.733</v>
      </c>
      <c r="D14" s="3">
        <v>1.627</v>
      </c>
      <c r="E14" s="3">
        <v>1.5</v>
      </c>
      <c r="F14" s="3">
        <v>1.6</v>
      </c>
      <c r="G14" s="3">
        <v>6.5</v>
      </c>
      <c r="H14" s="10">
        <f>C13</f>
        <v>1.859</v>
      </c>
      <c r="I14" s="89" t="s">
        <v>86</v>
      </c>
      <c r="J14" s="1"/>
    </row>
    <row r="15">
      <c r="A15" s="1"/>
      <c r="B15" s="1" t="s">
        <v>88</v>
      </c>
      <c r="C15" s="8" t="s">
        <v>89</v>
      </c>
      <c r="D15" s="8" t="s">
        <v>89</v>
      </c>
      <c r="E15" s="8" t="s">
        <v>89</v>
      </c>
      <c r="F15" s="8" t="s">
        <v>89</v>
      </c>
      <c r="G15" s="8" t="s">
        <v>89</v>
      </c>
      <c r="H15" s="12">
        <v>0</v>
      </c>
      <c r="I15" s="89"/>
      <c r="J15" s="1"/>
    </row>
    <row r="16">
      <c r="A16" s="1"/>
      <c r="B16" s="1" t="s">
        <v>90</v>
      </c>
      <c r="C16" s="8" t="s">
        <v>89</v>
      </c>
      <c r="D16" s="8" t="s">
        <v>89</v>
      </c>
      <c r="E16" s="8" t="s">
        <v>89</v>
      </c>
      <c r="F16" s="8" t="s">
        <v>89</v>
      </c>
      <c r="G16" s="8" t="s">
        <v>89</v>
      </c>
      <c r="H16" s="10">
        <f>H14+H15</f>
        <v>1.859</v>
      </c>
      <c r="I16" s="89"/>
      <c r="J16" s="1"/>
    </row>
    <row r="17">
      <c r="A17" s="1"/>
      <c r="B17" s="1" t="s">
        <v>91</v>
      </c>
      <c r="C17" s="8" t="s">
        <v>89</v>
      </c>
      <c r="D17" s="8" t="s">
        <v>89</v>
      </c>
      <c r="E17" s="8" t="s">
        <v>89</v>
      </c>
      <c r="F17" s="8" t="s">
        <v>89</v>
      </c>
      <c r="G17" s="8" t="s">
        <v>89</v>
      </c>
      <c r="H17" s="10">
        <f>H16*H19</f>
        <v>0</v>
      </c>
      <c r="I17" s="89"/>
      <c r="J17" s="1"/>
    </row>
    <row r="18">
      <c r="A18" s="1"/>
      <c r="B18" s="1" t="s">
        <v>92</v>
      </c>
      <c r="C18" s="8" t="s">
        <v>89</v>
      </c>
      <c r="D18" s="8" t="s">
        <v>89</v>
      </c>
      <c r="E18" s="8" t="s">
        <v>89</v>
      </c>
      <c r="F18" s="8" t="s">
        <v>89</v>
      </c>
      <c r="G18" s="8" t="s">
        <v>89</v>
      </c>
      <c r="H18" s="10">
        <f>(H16+H17)*H20</f>
        <v>0</v>
      </c>
      <c r="I18" s="89"/>
      <c r="J18" s="1"/>
    </row>
    <row r="19">
      <c r="A19" s="1"/>
      <c r="B19" s="25" t="s">
        <v>93</v>
      </c>
      <c r="C19" s="9" t="s">
        <v>89</v>
      </c>
      <c r="D19" s="9" t="s">
        <v>89</v>
      </c>
      <c r="E19" s="9" t="s">
        <v>89</v>
      </c>
      <c r="F19" s="9" t="s">
        <v>89</v>
      </c>
      <c r="G19" s="9" t="s">
        <v>89</v>
      </c>
      <c r="H19" s="38">
        <v>0</v>
      </c>
      <c r="I19" s="89"/>
      <c r="J19" s="1"/>
    </row>
    <row r="20">
      <c r="A20" s="1"/>
      <c r="B20" s="25" t="s">
        <v>94</v>
      </c>
      <c r="C20" s="9" t="s">
        <v>89</v>
      </c>
      <c r="D20" s="9" t="s">
        <v>89</v>
      </c>
      <c r="E20" s="9" t="s">
        <v>89</v>
      </c>
      <c r="F20" s="9" t="s">
        <v>89</v>
      </c>
      <c r="G20" s="9" t="s">
        <v>89</v>
      </c>
      <c r="H20" s="20">
        <f>H101</f>
        <v>0</v>
      </c>
      <c r="I20" s="89"/>
      <c r="J20" s="1"/>
    </row>
    <row r="21">
      <c r="A21" s="1"/>
      <c r="B21" s="25" t="s">
        <v>66</v>
      </c>
      <c r="C21" s="9" t="s">
        <v>89</v>
      </c>
      <c r="D21" s="9" t="s">
        <v>89</v>
      </c>
      <c r="E21" s="9" t="s">
        <v>89</v>
      </c>
      <c r="F21" s="9" t="s">
        <v>89</v>
      </c>
      <c r="G21" s="9" t="s">
        <v>89</v>
      </c>
      <c r="H21" s="20">
        <f>H15/H14</f>
        <v>0</v>
      </c>
      <c r="I21" s="89"/>
      <c r="J21" s="1"/>
    </row>
    <row r="22">
      <c r="A22" s="1"/>
      <c r="B22" s="25" t="s">
        <v>95</v>
      </c>
      <c r="C22" s="9">
        <f>C13/C14-1</f>
        <v>0.07270628967109061</v>
      </c>
      <c r="D22" s="9">
        <f>D13/D14-1</f>
        <v>-0.11001843884449913</v>
      </c>
      <c r="E22" s="9">
        <f>E13/E14-1</f>
        <v>0</v>
      </c>
      <c r="F22" s="9">
        <f>F13/F14-1</f>
        <v>0.125</v>
      </c>
      <c r="G22" s="9">
        <f>G13/G14-1</f>
        <v>0.01538461538461533</v>
      </c>
      <c r="H22" s="20">
        <f>H13/H14-1</f>
        <v>0</v>
      </c>
      <c r="I22" s="89"/>
      <c r="J22" s="1"/>
    </row>
    <row r="23">
      <c r="A23" s="1"/>
      <c r="B23" s="25" t="s">
        <v>67</v>
      </c>
      <c r="C23" s="9" t="s">
        <v>89</v>
      </c>
      <c r="D23" s="9" t="s">
        <v>89</v>
      </c>
      <c r="E23" s="9" t="s">
        <v>89</v>
      </c>
      <c r="F23" s="9" t="s">
        <v>89</v>
      </c>
      <c r="G23" s="9" t="s">
        <v>89</v>
      </c>
      <c r="H23" s="20">
        <f>(1+H22)/((1+H21)*(1+H20))-1</f>
        <v>0</v>
      </c>
      <c r="I23" s="89"/>
      <c r="J23" s="1"/>
    </row>
    <row r="24">
      <c r="A24" s="1"/>
      <c r="B24" s="25" t="s">
        <v>61</v>
      </c>
      <c r="C24" s="5">
        <f>C13-F14</f>
        <v>0.2589999999999999</v>
      </c>
      <c r="D24" s="5">
        <f>D13-C13</f>
        <v>-0.41100000000000003</v>
      </c>
      <c r="E24" s="5">
        <f>E13-D13</f>
        <v>0.052000000000000046</v>
      </c>
      <c r="F24" s="5">
        <f>F13-E13</f>
        <v>0.30000000000000004</v>
      </c>
      <c r="G24" s="1"/>
      <c r="H24" s="37">
        <f>H13-F13</f>
        <v>0.05899999999999994</v>
      </c>
      <c r="I24" s="89"/>
      <c r="J24" s="1"/>
    </row>
    <row r="25">
      <c r="A25" s="1"/>
      <c r="B25" s="25" t="s">
        <v>62</v>
      </c>
      <c r="C25" s="9">
        <f>C13/F14-1</f>
        <v>0.161875</v>
      </c>
      <c r="D25" s="9">
        <f>D13/C13-1</f>
        <v>-0.22108660570199035</v>
      </c>
      <c r="E25" s="9">
        <f>E13/D13-1</f>
        <v>0.035911602209944826</v>
      </c>
      <c r="F25" s="9">
        <f>F13/E13-1</f>
        <v>0.19999999999999996</v>
      </c>
      <c r="G25" s="1"/>
      <c r="H25" s="20">
        <f>H13/F13-1</f>
        <v>0.032777777777777795</v>
      </c>
      <c r="I25" s="89"/>
      <c r="J25" s="1"/>
    </row>
    <row r="26">
      <c r="A26" s="1"/>
      <c r="B26" s="25" t="s">
        <v>96</v>
      </c>
      <c r="C26" s="9">
        <f>C13/C94</f>
        <v>0.03253469609198621</v>
      </c>
      <c r="D26" s="9">
        <f>D13/D94</f>
        <v>0.024485516681603734</v>
      </c>
      <c r="E26" s="9">
        <f>E13/E94</f>
        <v>0.027522935779816515</v>
      </c>
      <c r="F26" s="9">
        <f>F13/F94</f>
        <v>0.03076923076923077</v>
      </c>
      <c r="G26" s="9">
        <f>G13/G94</f>
        <v>0.028783253379851725</v>
      </c>
      <c r="H26" s="20">
        <f>H13/H94</f>
        <v>0.034285665806789295</v>
      </c>
      <c r="I26" s="89"/>
      <c r="J26" s="1"/>
    </row>
    <row r="27">
      <c r="A27" s="1"/>
      <c r="B27" s="25" t="s">
        <v>64</v>
      </c>
      <c r="C27" s="24">
        <f>(C26-C14/C99)*10000</f>
        <v>24.578117309247556</v>
      </c>
      <c r="D27" s="24">
        <f>(D26-D14/D99)*10000</f>
        <v>2.0918125934172096</v>
      </c>
      <c r="E27" s="24">
        <f>(E26-E14/E99)*10000</f>
        <v>55.28800882455813</v>
      </c>
      <c r="F27" s="24">
        <f>(F26-F14/F99)*10000</f>
        <v>56.514913657770805</v>
      </c>
      <c r="G27" s="24">
        <f>(G26-G14/G99)*10000</f>
        <v>34.51998508456559</v>
      </c>
      <c r="H27" s="32">
        <f>(H26-H14/H99)*10000</f>
        <v>17.509697148030828</v>
      </c>
      <c r="I27" s="89"/>
      <c r="J27" s="1"/>
    </row>
    <row r="28">
      <c r="A28" s="1"/>
      <c r="B28" s="1"/>
      <c r="C28" s="1"/>
      <c r="D28" s="1"/>
      <c r="E28" s="1"/>
      <c r="F28" s="1"/>
      <c r="G28" s="1"/>
      <c r="H28" s="4"/>
      <c r="I28" s="89"/>
      <c r="J28" s="1"/>
    </row>
    <row r="29">
      <c r="A29" s="1"/>
      <c r="B29" s="1" t="s">
        <v>133</v>
      </c>
      <c r="C29" s="3">
        <v>11.908</v>
      </c>
      <c r="D29" s="3">
        <v>13.684</v>
      </c>
      <c r="E29" s="3">
        <v>15.5</v>
      </c>
      <c r="F29" s="3">
        <v>15.8</v>
      </c>
      <c r="G29" s="3">
        <v>56.9</v>
      </c>
      <c r="H29" s="10">
        <f>H32+H33+H34</f>
        <v>12.5034</v>
      </c>
      <c r="I29" s="89" t="s">
        <v>86</v>
      </c>
      <c r="J29" s="1"/>
    </row>
    <row r="30">
      <c r="A30" s="1"/>
      <c r="B30" s="1" t="s">
        <v>87</v>
      </c>
      <c r="C30" s="3">
        <v>12.523</v>
      </c>
      <c r="D30" s="3">
        <v>17.274</v>
      </c>
      <c r="E30" s="3">
        <v>15.5</v>
      </c>
      <c r="F30" s="3">
        <v>16.1</v>
      </c>
      <c r="G30" s="3">
        <v>61.5</v>
      </c>
      <c r="H30" s="10">
        <f>C29</f>
        <v>11.908</v>
      </c>
      <c r="I30" s="89" t="s">
        <v>86</v>
      </c>
      <c r="J30" s="1"/>
    </row>
    <row r="31">
      <c r="A31" s="1"/>
      <c r="B31" s="1" t="s">
        <v>88</v>
      </c>
      <c r="C31" s="8" t="s">
        <v>89</v>
      </c>
      <c r="D31" s="8" t="s">
        <v>89</v>
      </c>
      <c r="E31" s="8" t="s">
        <v>89</v>
      </c>
      <c r="F31" s="8" t="s">
        <v>89</v>
      </c>
      <c r="G31" s="8" t="s">
        <v>89</v>
      </c>
      <c r="H31" s="12">
        <v>0</v>
      </c>
      <c r="I31" s="89"/>
      <c r="J31" s="1"/>
    </row>
    <row r="32">
      <c r="A32" s="1"/>
      <c r="B32" s="1" t="s">
        <v>90</v>
      </c>
      <c r="C32" s="8" t="s">
        <v>89</v>
      </c>
      <c r="D32" s="8" t="s">
        <v>89</v>
      </c>
      <c r="E32" s="8" t="s">
        <v>89</v>
      </c>
      <c r="F32" s="8" t="s">
        <v>89</v>
      </c>
      <c r="G32" s="8" t="s">
        <v>89</v>
      </c>
      <c r="H32" s="10">
        <f>H30+H31</f>
        <v>11.908</v>
      </c>
      <c r="I32" s="89"/>
      <c r="J32" s="1"/>
    </row>
    <row r="33">
      <c r="A33" s="1"/>
      <c r="B33" s="1" t="s">
        <v>91</v>
      </c>
      <c r="C33" s="8" t="s">
        <v>89</v>
      </c>
      <c r="D33" s="8" t="s">
        <v>89</v>
      </c>
      <c r="E33" s="8" t="s">
        <v>89</v>
      </c>
      <c r="F33" s="8" t="s">
        <v>89</v>
      </c>
      <c r="G33" s="8" t="s">
        <v>89</v>
      </c>
      <c r="H33" s="10">
        <f>H32*H35</f>
        <v>0.5954</v>
      </c>
      <c r="I33" s="89"/>
      <c r="J33" s="1"/>
    </row>
    <row r="34">
      <c r="A34" s="1"/>
      <c r="B34" s="1" t="s">
        <v>92</v>
      </c>
      <c r="C34" s="8" t="s">
        <v>89</v>
      </c>
      <c r="D34" s="8" t="s">
        <v>89</v>
      </c>
      <c r="E34" s="8" t="s">
        <v>89</v>
      </c>
      <c r="F34" s="8" t="s">
        <v>89</v>
      </c>
      <c r="G34" s="8" t="s">
        <v>89</v>
      </c>
      <c r="H34" s="10">
        <f>(H32+H33)*H36</f>
        <v>0</v>
      </c>
      <c r="I34" s="89"/>
      <c r="J34" s="1"/>
    </row>
    <row r="35">
      <c r="A35" s="1"/>
      <c r="B35" s="25" t="s">
        <v>93</v>
      </c>
      <c r="C35" s="9" t="s">
        <v>89</v>
      </c>
      <c r="D35" s="9" t="s">
        <v>89</v>
      </c>
      <c r="E35" s="9" t="s">
        <v>89</v>
      </c>
      <c r="F35" s="9" t="s">
        <v>89</v>
      </c>
      <c r="G35" s="9" t="s">
        <v>89</v>
      </c>
      <c r="H35" s="38">
        <v>0.05</v>
      </c>
      <c r="I35" s="89"/>
      <c r="J35" s="1"/>
    </row>
    <row r="36">
      <c r="A36" s="1"/>
      <c r="B36" s="25" t="s">
        <v>94</v>
      </c>
      <c r="C36" s="9" t="s">
        <v>89</v>
      </c>
      <c r="D36" s="9" t="s">
        <v>89</v>
      </c>
      <c r="E36" s="9" t="s">
        <v>89</v>
      </c>
      <c r="F36" s="9" t="s">
        <v>89</v>
      </c>
      <c r="G36" s="9" t="s">
        <v>89</v>
      </c>
      <c r="H36" s="20">
        <f>H101</f>
        <v>0</v>
      </c>
      <c r="I36" s="89"/>
      <c r="J36" s="1"/>
    </row>
    <row r="37">
      <c r="A37" s="1"/>
      <c r="B37" s="25" t="s">
        <v>66</v>
      </c>
      <c r="C37" s="9" t="s">
        <v>89</v>
      </c>
      <c r="D37" s="9" t="s">
        <v>89</v>
      </c>
      <c r="E37" s="9" t="s">
        <v>89</v>
      </c>
      <c r="F37" s="9" t="s">
        <v>89</v>
      </c>
      <c r="G37" s="9" t="s">
        <v>89</v>
      </c>
      <c r="H37" s="20">
        <f>H31/H30</f>
        <v>0</v>
      </c>
      <c r="I37" s="89"/>
      <c r="J37" s="1"/>
    </row>
    <row r="38">
      <c r="A38" s="1"/>
      <c r="B38" s="25" t="s">
        <v>95</v>
      </c>
      <c r="C38" s="9">
        <f>C29/C30-1</f>
        <v>-0.04910963826559134</v>
      </c>
      <c r="D38" s="9">
        <f>D29/D30-1</f>
        <v>-0.20782679171008456</v>
      </c>
      <c r="E38" s="9">
        <f>E29/E30-1</f>
        <v>0</v>
      </c>
      <c r="F38" s="9">
        <f>F29/F30-1</f>
        <v>-0.018633540372670843</v>
      </c>
      <c r="G38" s="9">
        <f>G29/G30-1</f>
        <v>-0.0747967479674797</v>
      </c>
      <c r="H38" s="20">
        <f>H29/H30-1</f>
        <v>0.050000000000000044</v>
      </c>
      <c r="I38" s="89"/>
      <c r="J38" s="1"/>
    </row>
    <row r="39">
      <c r="A39" s="1"/>
      <c r="B39" s="25" t="s">
        <v>67</v>
      </c>
      <c r="C39" s="9" t="s">
        <v>89</v>
      </c>
      <c r="D39" s="9" t="s">
        <v>89</v>
      </c>
      <c r="E39" s="9" t="s">
        <v>89</v>
      </c>
      <c r="F39" s="9" t="s">
        <v>89</v>
      </c>
      <c r="G39" s="9" t="s">
        <v>89</v>
      </c>
      <c r="H39" s="20">
        <f>(1+H38)/((1+H37)*(1+H36))-1</f>
        <v>0.050000000000000044</v>
      </c>
      <c r="I39" s="89"/>
      <c r="J39" s="1"/>
    </row>
    <row r="40">
      <c r="A40" s="1"/>
      <c r="B40" s="25" t="s">
        <v>61</v>
      </c>
      <c r="C40" s="5">
        <f>C29-F30</f>
        <v>-4.192000000000002</v>
      </c>
      <c r="D40" s="5">
        <f>D29-C29</f>
        <v>1.7759999999999998</v>
      </c>
      <c r="E40" s="5">
        <f>E29-D29</f>
        <v>1.8160000000000007</v>
      </c>
      <c r="F40" s="5">
        <f>F29-E29</f>
        <v>0.3000000000000007</v>
      </c>
      <c r="G40" s="1"/>
      <c r="H40" s="37">
        <f>H29-F29</f>
        <v>-3.2966000000000015</v>
      </c>
      <c r="I40" s="89"/>
      <c r="J40" s="1"/>
    </row>
    <row r="41">
      <c r="A41" s="1"/>
      <c r="B41" s="25" t="s">
        <v>62</v>
      </c>
      <c r="C41" s="9">
        <f>C29/F30-1</f>
        <v>-0.2603726708074535</v>
      </c>
      <c r="D41" s="9">
        <f>D29/C29-1</f>
        <v>0.1491434329862278</v>
      </c>
      <c r="E41" s="9">
        <f>E29/D29-1</f>
        <v>0.1327097339959078</v>
      </c>
      <c r="F41" s="9">
        <f>F29/E29-1</f>
        <v>0.019354838709677358</v>
      </c>
      <c r="G41" s="1"/>
      <c r="H41" s="20">
        <f>H29/F29-1</f>
        <v>-0.20864556962025327</v>
      </c>
      <c r="I41" s="89"/>
      <c r="J41" s="1"/>
    </row>
    <row r="42">
      <c r="A42" s="1"/>
      <c r="B42" s="25" t="s">
        <v>96</v>
      </c>
      <c r="C42" s="9">
        <f>C29/C94</f>
        <v>0.20840406727454103</v>
      </c>
      <c r="D42" s="9">
        <f>D29/D94</f>
        <v>0.23139489659603968</v>
      </c>
      <c r="E42" s="9">
        <f>E29/E94</f>
        <v>0.28440366972477066</v>
      </c>
      <c r="F42" s="9">
        <f>F29/F94</f>
        <v>0.2700854700854701</v>
      </c>
      <c r="G42" s="9">
        <f>G29/G94</f>
        <v>0.24814653292629743</v>
      </c>
      <c r="H42" s="20">
        <f>H29/H94</f>
        <v>0.23060107253825135</v>
      </c>
      <c r="I42" s="89"/>
      <c r="J42" s="1"/>
    </row>
    <row r="43">
      <c r="A43" s="1"/>
      <c r="B43" s="25" t="s">
        <v>64</v>
      </c>
      <c r="C43" s="24">
        <f>(C42-C30/C99)*10000</f>
        <v>-89.37434660584526</v>
      </c>
      <c r="D43" s="24">
        <f>(D42-D30/D99)*10000</f>
        <v>-263.4906043171326</v>
      </c>
      <c r="E43" s="24">
        <f>(E42-E30/E99)*10000</f>
        <v>571.3094245204339</v>
      </c>
      <c r="F43" s="24">
        <f>(F42-F30/F99)*10000</f>
        <v>173.38217338217387</v>
      </c>
      <c r="G43" s="24">
        <f>(G42-G30/G99)*10000</f>
        <v>84.73890681558571</v>
      </c>
      <c r="H43" s="32">
        <f>(H42-H30/H99)*10000</f>
        <v>221.97005263710324</v>
      </c>
      <c r="I43" s="89"/>
      <c r="J43" s="1"/>
    </row>
    <row r="44">
      <c r="A44" s="1"/>
      <c r="B44" s="1"/>
      <c r="C44" s="1"/>
      <c r="D44" s="1"/>
      <c r="E44" s="1"/>
      <c r="F44" s="1"/>
      <c r="G44" s="1"/>
      <c r="H44" s="4"/>
      <c r="I44" s="89"/>
      <c r="J44" s="1"/>
    </row>
    <row r="45">
      <c r="A45" s="1"/>
      <c r="B45" s="1" t="s">
        <v>134</v>
      </c>
      <c r="C45" s="3">
        <v>7.578</v>
      </c>
      <c r="D45" s="8">
        <f>D120+D121</f>
        <v>8.891</v>
      </c>
      <c r="E45" s="3">
        <v>5.9</v>
      </c>
      <c r="F45" s="3">
        <v>7</v>
      </c>
      <c r="G45" s="3">
        <v>29.3</v>
      </c>
      <c r="H45" s="10">
        <f>H48+H49+H50</f>
        <v>6.971760000000001</v>
      </c>
      <c r="I45" s="89" t="s">
        <v>86</v>
      </c>
      <c r="J45" s="1"/>
    </row>
    <row r="46">
      <c r="A46" s="1"/>
      <c r="B46" s="1" t="s">
        <v>87</v>
      </c>
      <c r="C46" s="3">
        <v>6.679</v>
      </c>
      <c r="D46" s="8">
        <f>D122+D123</f>
        <v>9.775</v>
      </c>
      <c r="E46" s="3">
        <v>10.4</v>
      </c>
      <c r="F46" s="3">
        <v>8</v>
      </c>
      <c r="G46" s="3">
        <v>34.7</v>
      </c>
      <c r="H46" s="10">
        <f>C45</f>
        <v>7.578</v>
      </c>
      <c r="I46" s="89" t="s">
        <v>86</v>
      </c>
      <c r="J46" s="1"/>
    </row>
    <row r="47">
      <c r="A47" s="1"/>
      <c r="B47" s="1" t="s">
        <v>88</v>
      </c>
      <c r="C47" s="8" t="s">
        <v>89</v>
      </c>
      <c r="D47" s="8" t="s">
        <v>89</v>
      </c>
      <c r="E47" s="8" t="s">
        <v>89</v>
      </c>
      <c r="F47" s="8" t="s">
        <v>89</v>
      </c>
      <c r="G47" s="8" t="s">
        <v>89</v>
      </c>
      <c r="H47" s="12">
        <v>0</v>
      </c>
      <c r="I47" s="89"/>
      <c r="J47" s="1"/>
    </row>
    <row r="48">
      <c r="A48" s="1"/>
      <c r="B48" s="1" t="s">
        <v>90</v>
      </c>
      <c r="C48" s="8" t="s">
        <v>89</v>
      </c>
      <c r="D48" s="8" t="s">
        <v>89</v>
      </c>
      <c r="E48" s="8" t="s">
        <v>89</v>
      </c>
      <c r="F48" s="8" t="s">
        <v>89</v>
      </c>
      <c r="G48" s="8" t="s">
        <v>89</v>
      </c>
      <c r="H48" s="10">
        <f>H46+H47</f>
        <v>7.578</v>
      </c>
      <c r="I48" s="89"/>
      <c r="J48" s="1"/>
    </row>
    <row r="49">
      <c r="A49" s="1"/>
      <c r="B49" s="1" t="s">
        <v>91</v>
      </c>
      <c r="C49" s="8" t="s">
        <v>89</v>
      </c>
      <c r="D49" s="8" t="s">
        <v>89</v>
      </c>
      <c r="E49" s="8" t="s">
        <v>89</v>
      </c>
      <c r="F49" s="8" t="s">
        <v>89</v>
      </c>
      <c r="G49" s="8" t="s">
        <v>89</v>
      </c>
      <c r="H49" s="10">
        <f>H48*H51</f>
        <v>-0.60624</v>
      </c>
      <c r="I49" s="89"/>
      <c r="J49" s="1"/>
    </row>
    <row r="50">
      <c r="A50" s="1"/>
      <c r="B50" s="1" t="s">
        <v>92</v>
      </c>
      <c r="C50" s="8" t="s">
        <v>89</v>
      </c>
      <c r="D50" s="8" t="s">
        <v>89</v>
      </c>
      <c r="E50" s="8" t="s">
        <v>89</v>
      </c>
      <c r="F50" s="8" t="s">
        <v>89</v>
      </c>
      <c r="G50" s="8" t="s">
        <v>89</v>
      </c>
      <c r="H50" s="10">
        <f>(H48+H49)*H52</f>
        <v>0</v>
      </c>
      <c r="I50" s="89"/>
      <c r="J50" s="1"/>
    </row>
    <row r="51">
      <c r="A51" s="1"/>
      <c r="B51" s="25" t="s">
        <v>93</v>
      </c>
      <c r="C51" s="9" t="s">
        <v>89</v>
      </c>
      <c r="D51" s="9" t="s">
        <v>89</v>
      </c>
      <c r="E51" s="9" t="s">
        <v>89</v>
      </c>
      <c r="F51" s="9" t="s">
        <v>89</v>
      </c>
      <c r="G51" s="9" t="s">
        <v>89</v>
      </c>
      <c r="H51" s="38">
        <v>-0.08</v>
      </c>
      <c r="I51" s="89"/>
      <c r="J51" s="1"/>
    </row>
    <row r="52">
      <c r="A52" s="1"/>
      <c r="B52" s="25" t="s">
        <v>94</v>
      </c>
      <c r="C52" s="9" t="s">
        <v>89</v>
      </c>
      <c r="D52" s="9" t="s">
        <v>89</v>
      </c>
      <c r="E52" s="9" t="s">
        <v>89</v>
      </c>
      <c r="F52" s="9" t="s">
        <v>89</v>
      </c>
      <c r="G52" s="9" t="s">
        <v>89</v>
      </c>
      <c r="H52" s="20">
        <f>H101</f>
        <v>0</v>
      </c>
      <c r="I52" s="89"/>
      <c r="J52" s="1"/>
    </row>
    <row r="53">
      <c r="A53" s="1"/>
      <c r="B53" s="25" t="s">
        <v>66</v>
      </c>
      <c r="C53" s="9" t="s">
        <v>89</v>
      </c>
      <c r="D53" s="9" t="s">
        <v>89</v>
      </c>
      <c r="E53" s="9" t="s">
        <v>89</v>
      </c>
      <c r="F53" s="9" t="s">
        <v>89</v>
      </c>
      <c r="G53" s="9" t="s">
        <v>89</v>
      </c>
      <c r="H53" s="20">
        <f>H47/H46</f>
        <v>0</v>
      </c>
      <c r="I53" s="89"/>
      <c r="J53" s="1"/>
    </row>
    <row r="54">
      <c r="A54" s="1"/>
      <c r="B54" s="25" t="s">
        <v>95</v>
      </c>
      <c r="C54" s="9">
        <f>C45/C46-1</f>
        <v>0.13460098817188193</v>
      </c>
      <c r="D54" s="9">
        <f>D45/D46-1</f>
        <v>-0.09043478260869564</v>
      </c>
      <c r="E54" s="9">
        <f>E45/E46-1</f>
        <v>-0.4326923076923077</v>
      </c>
      <c r="F54" s="9">
        <f>F45/F46-1</f>
        <v>-0.125</v>
      </c>
      <c r="G54" s="9">
        <f>G45/G46-1</f>
        <v>-0.1556195965417868</v>
      </c>
      <c r="H54" s="20">
        <f>H45/H46-1</f>
        <v>-0.07999999999999996</v>
      </c>
      <c r="I54" s="89"/>
      <c r="J54" s="1"/>
    </row>
    <row r="55">
      <c r="A55" s="1"/>
      <c r="B55" s="25" t="s">
        <v>67</v>
      </c>
      <c r="C55" s="9" t="s">
        <v>89</v>
      </c>
      <c r="D55" s="9" t="s">
        <v>89</v>
      </c>
      <c r="E55" s="9" t="s">
        <v>89</v>
      </c>
      <c r="F55" s="9" t="s">
        <v>89</v>
      </c>
      <c r="G55" s="9" t="s">
        <v>89</v>
      </c>
      <c r="H55" s="20">
        <f>(1+H54)/((1+H53)*(1+H52))-1</f>
        <v>-0.07999999999999996</v>
      </c>
      <c r="I55" s="89"/>
      <c r="J55" s="1"/>
    </row>
    <row r="56">
      <c r="A56" s="1"/>
      <c r="B56" s="25" t="s">
        <v>61</v>
      </c>
      <c r="C56" s="5">
        <f>C45-F46</f>
        <v>-0.4219999999999997</v>
      </c>
      <c r="D56" s="5">
        <f>D45-C45</f>
        <v>1.3129999999999997</v>
      </c>
      <c r="E56" s="5">
        <f>E45-D45</f>
        <v>-2.9909999999999997</v>
      </c>
      <c r="F56" s="5">
        <f>F45-E45</f>
        <v>1.0999999999999996</v>
      </c>
      <c r="G56" s="1"/>
      <c r="H56" s="37">
        <f>H45-F45</f>
        <v>-0.028239999999999377</v>
      </c>
      <c r="I56" s="89"/>
      <c r="J56" s="1"/>
    </row>
    <row r="57">
      <c r="A57" s="1"/>
      <c r="B57" s="25" t="s">
        <v>62</v>
      </c>
      <c r="C57" s="9">
        <f>C45/F46-1</f>
        <v>-0.052749999999999964</v>
      </c>
      <c r="D57" s="9">
        <f>D45/C45-1</f>
        <v>0.17326471364476115</v>
      </c>
      <c r="E57" s="9">
        <f>E45/D45-1</f>
        <v>-0.33640760319424134</v>
      </c>
      <c r="F57" s="9">
        <f>F45/E45-1</f>
        <v>0.18644067796610164</v>
      </c>
      <c r="G57" s="1"/>
      <c r="H57" s="20">
        <f>H45/F45-1</f>
        <v>-0.004034285714285657</v>
      </c>
      <c r="I57" s="89"/>
      <c r="J57" s="1"/>
    </row>
    <row r="58">
      <c r="A58" s="1"/>
      <c r="B58" s="25" t="s">
        <v>96</v>
      </c>
      <c r="C58" s="9">
        <f>C45/C94</f>
        <v>0.1326239521167679</v>
      </c>
      <c r="D58" s="9">
        <f>D45/D94</f>
        <v>0.15034580719346602</v>
      </c>
      <c r="E58" s="9">
        <f>E45/E94</f>
        <v>0.10825688073394496</v>
      </c>
      <c r="F58" s="9">
        <f>F45/F94</f>
        <v>0.11965811965811966</v>
      </c>
      <c r="G58" s="9">
        <f>G45/G94</f>
        <v>0.12778020061055387</v>
      </c>
      <c r="H58" s="20">
        <f>H45/H94</f>
        <v>0.12858065274079686</v>
      </c>
      <c r="I58" s="89"/>
      <c r="J58" s="1"/>
    </row>
    <row r="59">
      <c r="A59" s="1"/>
      <c r="B59" s="25" t="s">
        <v>64</v>
      </c>
      <c r="C59" s="24">
        <f>(C58-C46/C99)*10000</f>
        <v>167.07327392284643</v>
      </c>
      <c r="D59" s="24">
        <f>(D58-D46/D99)*10000</f>
        <v>44.938227112218954</v>
      </c>
      <c r="E59" s="24">
        <f>(E58-E46/E99)*10000</f>
        <v>-442.35787887755924</v>
      </c>
      <c r="F59" s="24">
        <f>(F58-F46/F99)*10000</f>
        <v>-59.30577359148773</v>
      </c>
      <c r="G59" s="24">
        <f>(G58-G46/G99)*10000</f>
        <v>-74.49729241355729</v>
      </c>
      <c r="H59" s="32">
        <f>(H58-H46/H99)*10000</f>
        <v>-40.43299375971032</v>
      </c>
      <c r="I59" s="89"/>
      <c r="J59" s="1"/>
    </row>
    <row r="60">
      <c r="A60" s="1"/>
      <c r="B60" s="1"/>
      <c r="C60" s="1"/>
      <c r="D60" s="1"/>
      <c r="E60" s="1"/>
      <c r="F60" s="1"/>
      <c r="G60" s="1"/>
      <c r="H60" s="4"/>
      <c r="I60" s="89"/>
      <c r="J60" s="1"/>
    </row>
    <row r="61">
      <c r="A61" s="1"/>
      <c r="B61" s="1" t="s">
        <v>99</v>
      </c>
      <c r="C61" s="3">
        <v>19.229</v>
      </c>
      <c r="D61" s="3">
        <v>17.934</v>
      </c>
      <c r="E61" s="3">
        <v>15</v>
      </c>
      <c r="F61" s="3">
        <v>16.7</v>
      </c>
      <c r="G61" s="3">
        <v>68.9</v>
      </c>
      <c r="H61" s="10">
        <f>H64+H65+H66</f>
        <v>15.99045</v>
      </c>
      <c r="I61" s="89" t="s">
        <v>86</v>
      </c>
      <c r="J61" s="1"/>
    </row>
    <row r="62">
      <c r="A62" s="1"/>
      <c r="B62" s="1" t="s">
        <v>87</v>
      </c>
      <c r="C62" s="3">
        <v>20.806</v>
      </c>
      <c r="D62" s="3">
        <v>21.924</v>
      </c>
      <c r="E62" s="3">
        <v>23.8</v>
      </c>
      <c r="F62" s="3">
        <v>21.5</v>
      </c>
      <c r="G62" s="3">
        <v>88.1</v>
      </c>
      <c r="H62" s="10">
        <f>C61</f>
        <v>19.229</v>
      </c>
      <c r="I62" s="89" t="s">
        <v>86</v>
      </c>
      <c r="J62" s="1"/>
    </row>
    <row r="63">
      <c r="A63" s="1"/>
      <c r="B63" s="1" t="s">
        <v>88</v>
      </c>
      <c r="C63" s="8" t="s">
        <v>89</v>
      </c>
      <c r="D63" s="8" t="s">
        <v>89</v>
      </c>
      <c r="E63" s="8" t="s">
        <v>89</v>
      </c>
      <c r="F63" s="8" t="s">
        <v>89</v>
      </c>
      <c r="G63" s="8" t="s">
        <v>89</v>
      </c>
      <c r="H63" s="12">
        <v>-4</v>
      </c>
      <c r="I63" s="89"/>
      <c r="J63" s="1"/>
    </row>
    <row r="64">
      <c r="A64" s="1"/>
      <c r="B64" s="1" t="s">
        <v>90</v>
      </c>
      <c r="C64" s="8" t="s">
        <v>89</v>
      </c>
      <c r="D64" s="8" t="s">
        <v>89</v>
      </c>
      <c r="E64" s="8" t="s">
        <v>89</v>
      </c>
      <c r="F64" s="8" t="s">
        <v>89</v>
      </c>
      <c r="G64" s="8" t="s">
        <v>89</v>
      </c>
      <c r="H64" s="10">
        <f>H62+H63</f>
        <v>15.229</v>
      </c>
      <c r="I64" s="89"/>
      <c r="J64" s="1"/>
    </row>
    <row r="65">
      <c r="A65" s="1"/>
      <c r="B65" s="1" t="s">
        <v>91</v>
      </c>
      <c r="C65" s="8" t="s">
        <v>89</v>
      </c>
      <c r="D65" s="8" t="s">
        <v>89</v>
      </c>
      <c r="E65" s="8" t="s">
        <v>89</v>
      </c>
      <c r="F65" s="8" t="s">
        <v>89</v>
      </c>
      <c r="G65" s="8" t="s">
        <v>89</v>
      </c>
      <c r="H65" s="10">
        <f>H64*H67</f>
        <v>0.76145</v>
      </c>
      <c r="I65" s="89"/>
      <c r="J65" s="1"/>
    </row>
    <row r="66">
      <c r="A66" s="1"/>
      <c r="B66" s="1" t="s">
        <v>92</v>
      </c>
      <c r="C66" s="8" t="s">
        <v>89</v>
      </c>
      <c r="D66" s="8" t="s">
        <v>89</v>
      </c>
      <c r="E66" s="8" t="s">
        <v>89</v>
      </c>
      <c r="F66" s="8" t="s">
        <v>89</v>
      </c>
      <c r="G66" s="8" t="s">
        <v>89</v>
      </c>
      <c r="H66" s="10">
        <f>(H64+H65)*H68</f>
        <v>0</v>
      </c>
      <c r="I66" s="89"/>
      <c r="J66" s="1"/>
    </row>
    <row r="67">
      <c r="A67" s="1"/>
      <c r="B67" s="25" t="s">
        <v>93</v>
      </c>
      <c r="C67" s="9" t="s">
        <v>89</v>
      </c>
      <c r="D67" s="9" t="s">
        <v>89</v>
      </c>
      <c r="E67" s="9" t="s">
        <v>89</v>
      </c>
      <c r="F67" s="9" t="s">
        <v>89</v>
      </c>
      <c r="G67" s="9" t="s">
        <v>89</v>
      </c>
      <c r="H67" s="38">
        <v>0.05</v>
      </c>
      <c r="I67" s="89"/>
      <c r="J67" s="1"/>
    </row>
    <row r="68">
      <c r="A68" s="1"/>
      <c r="B68" s="25" t="s">
        <v>94</v>
      </c>
      <c r="C68" s="9" t="s">
        <v>89</v>
      </c>
      <c r="D68" s="9" t="s">
        <v>89</v>
      </c>
      <c r="E68" s="9" t="s">
        <v>89</v>
      </c>
      <c r="F68" s="9" t="s">
        <v>89</v>
      </c>
      <c r="G68" s="9" t="s">
        <v>89</v>
      </c>
      <c r="H68" s="20">
        <f>H101</f>
        <v>0</v>
      </c>
      <c r="I68" s="89"/>
      <c r="J68" s="1"/>
    </row>
    <row r="69">
      <c r="A69" s="1"/>
      <c r="B69" s="25" t="s">
        <v>66</v>
      </c>
      <c r="C69" s="9" t="s">
        <v>89</v>
      </c>
      <c r="D69" s="9" t="s">
        <v>89</v>
      </c>
      <c r="E69" s="9" t="s">
        <v>89</v>
      </c>
      <c r="F69" s="9" t="s">
        <v>89</v>
      </c>
      <c r="G69" s="9" t="s">
        <v>89</v>
      </c>
      <c r="H69" s="20">
        <f>H63/H62</f>
        <v>-0.208019137760674</v>
      </c>
      <c r="I69" s="89"/>
      <c r="J69" s="1"/>
    </row>
    <row r="70">
      <c r="A70" s="1"/>
      <c r="B70" s="25" t="s">
        <v>95</v>
      </c>
      <c r="C70" s="9">
        <f>C61/C62-1</f>
        <v>-0.07579544362203217</v>
      </c>
      <c r="D70" s="9">
        <f>D61/D62-1</f>
        <v>-0.18199233716475094</v>
      </c>
      <c r="E70" s="9">
        <f>E61/E62-1</f>
        <v>-0.3697478991596639</v>
      </c>
      <c r="F70" s="9">
        <f>F61/F62-1</f>
        <v>-0.22325581395348837</v>
      </c>
      <c r="G70" s="9">
        <f>G61/G62-1</f>
        <v>-0.21793416572077173</v>
      </c>
      <c r="H70" s="20">
        <f>H61/H62-1</f>
        <v>-0.16842009464870766</v>
      </c>
      <c r="I70" s="89"/>
      <c r="J70" s="1"/>
    </row>
    <row r="71">
      <c r="A71" s="1"/>
      <c r="B71" s="25" t="s">
        <v>67</v>
      </c>
      <c r="C71" s="9" t="s">
        <v>89</v>
      </c>
      <c r="D71" s="9" t="s">
        <v>89</v>
      </c>
      <c r="E71" s="9" t="s">
        <v>89</v>
      </c>
      <c r="F71" s="9" t="s">
        <v>89</v>
      </c>
      <c r="G71" s="9" t="s">
        <v>89</v>
      </c>
      <c r="H71" s="20">
        <f>(1+H70)/((1+H69)*(1+H68))-1</f>
        <v>0.050000000000000044</v>
      </c>
      <c r="I71" s="89"/>
      <c r="J71" s="1"/>
    </row>
    <row r="72">
      <c r="A72" s="1"/>
      <c r="B72" s="25" t="s">
        <v>61</v>
      </c>
      <c r="C72" s="5">
        <f>C61-F62</f>
        <v>-2.271000000000001</v>
      </c>
      <c r="D72" s="5">
        <f>D61-C61</f>
        <v>-1.2949999999999982</v>
      </c>
      <c r="E72" s="5">
        <f>E61-D61</f>
        <v>-2.934000000000001</v>
      </c>
      <c r="F72" s="5">
        <f>F61-E61</f>
        <v>1.6999999999999993</v>
      </c>
      <c r="G72" s="1"/>
      <c r="H72" s="37">
        <f>H61-F61</f>
        <v>-0.7095500000000001</v>
      </c>
      <c r="I72" s="89"/>
      <c r="J72" s="1"/>
    </row>
    <row r="73">
      <c r="A73" s="1"/>
      <c r="B73" s="25" t="s">
        <v>62</v>
      </c>
      <c r="C73" s="9">
        <f>C61/F62-1</f>
        <v>-0.10562790697674418</v>
      </c>
      <c r="D73" s="9">
        <f>D61/C61-1</f>
        <v>-0.06734619585001811</v>
      </c>
      <c r="E73" s="9">
        <f>E61/D61-1</f>
        <v>-0.16359986617597866</v>
      </c>
      <c r="F73" s="9">
        <f>F61/E61-1</f>
        <v>0.11333333333333329</v>
      </c>
      <c r="G73" s="1"/>
      <c r="H73" s="20">
        <f>H61/F61-1</f>
        <v>-0.04248802395209583</v>
      </c>
      <c r="I73" s="89"/>
      <c r="J73" s="1"/>
    </row>
    <row r="74">
      <c r="A74" s="1"/>
      <c r="B74" s="25" t="s">
        <v>96</v>
      </c>
      <c r="C74" s="9">
        <f>C61/C94</f>
        <v>0.3365302157895658</v>
      </c>
      <c r="D74" s="9">
        <f>D61/D94</f>
        <v>0.303261917243012</v>
      </c>
      <c r="E74" s="9">
        <f>E61/E94</f>
        <v>0.27522935779816515</v>
      </c>
      <c r="F74" s="9">
        <f>F61/F94</f>
        <v>0.28547008547008546</v>
      </c>
      <c r="G74" s="9">
        <f>G61/G94</f>
        <v>0.30047972088966424</v>
      </c>
      <c r="H74" s="20">
        <f>H61/H94</f>
        <v>0.294912977299717</v>
      </c>
      <c r="I74" s="89"/>
      <c r="J74" s="1"/>
    </row>
    <row r="75">
      <c r="A75" s="1"/>
      <c r="B75" s="25" t="s">
        <v>64</v>
      </c>
      <c r="C75" s="24">
        <f>(C74-C62/C99)*10000</f>
        <v>-245.6595040561288</v>
      </c>
      <c r="D75" s="24">
        <f>(D74-D62/D99)*10000</f>
        <v>-238.64313732816112</v>
      </c>
      <c r="E75" s="24">
        <f>(E74-E62/E99)*10000</f>
        <v>-737.4424923995804</v>
      </c>
      <c r="F75" s="24">
        <f>(F74-F62/F99)*10000</f>
        <v>-520.4953776382348</v>
      </c>
      <c r="G75" s="24">
        <f>(G74-G62/G99)*10000</f>
        <v>-428.5621052109173</v>
      </c>
      <c r="H75" s="32">
        <f>(H74-H62/H99)*10000</f>
        <v>-416.1723848984883</v>
      </c>
      <c r="I75" s="89"/>
      <c r="J75" s="1"/>
    </row>
    <row r="76">
      <c r="A76" s="1"/>
      <c r="B76" s="1"/>
      <c r="C76" s="1"/>
      <c r="D76" s="1"/>
      <c r="E76" s="1"/>
      <c r="F76" s="1"/>
      <c r="G76" s="1"/>
      <c r="H76" s="4"/>
      <c r="I76" s="89"/>
      <c r="J76" s="1"/>
    </row>
    <row r="77">
      <c r="A77" s="1"/>
      <c r="B77" s="1" t="s">
        <v>100</v>
      </c>
      <c r="C77" s="3">
        <v>16.565</v>
      </c>
      <c r="D77" s="3">
        <v>17.18</v>
      </c>
      <c r="E77" s="3">
        <v>16.6</v>
      </c>
      <c r="F77" s="3">
        <v>17.2</v>
      </c>
      <c r="G77" s="3">
        <v>67.6</v>
      </c>
      <c r="H77" s="10">
        <f>H80+H81+H82</f>
        <v>16.8963</v>
      </c>
      <c r="I77" s="89" t="s">
        <v>86</v>
      </c>
      <c r="J77" s="1"/>
    </row>
    <row r="78">
      <c r="A78" s="1"/>
      <c r="B78" s="1" t="s">
        <v>87</v>
      </c>
      <c r="C78" s="3">
        <v>15.878</v>
      </c>
      <c r="D78" s="3">
        <v>16.42</v>
      </c>
      <c r="E78" s="3">
        <v>17</v>
      </c>
      <c r="F78" s="3">
        <v>16.5</v>
      </c>
      <c r="G78" s="3">
        <v>65.8</v>
      </c>
      <c r="H78" s="10">
        <f>C77</f>
        <v>16.565</v>
      </c>
      <c r="I78" s="89" t="s">
        <v>86</v>
      </c>
      <c r="J78" s="1"/>
    </row>
    <row r="79">
      <c r="A79" s="1"/>
      <c r="B79" s="1" t="s">
        <v>88</v>
      </c>
      <c r="C79" s="8" t="s">
        <v>89</v>
      </c>
      <c r="D79" s="8" t="s">
        <v>89</v>
      </c>
      <c r="E79" s="8" t="s">
        <v>89</v>
      </c>
      <c r="F79" s="8" t="s">
        <v>89</v>
      </c>
      <c r="G79" s="8" t="s">
        <v>89</v>
      </c>
      <c r="H79" s="12">
        <v>0</v>
      </c>
      <c r="I79" s="89"/>
      <c r="J79" s="1"/>
    </row>
    <row r="80">
      <c r="A80" s="1"/>
      <c r="B80" s="1" t="s">
        <v>90</v>
      </c>
      <c r="C80" s="8" t="s">
        <v>89</v>
      </c>
      <c r="D80" s="8" t="s">
        <v>89</v>
      </c>
      <c r="E80" s="8" t="s">
        <v>89</v>
      </c>
      <c r="F80" s="8" t="s">
        <v>89</v>
      </c>
      <c r="G80" s="8" t="s">
        <v>89</v>
      </c>
      <c r="H80" s="10">
        <f>H78+H79</f>
        <v>16.565</v>
      </c>
      <c r="I80" s="89"/>
      <c r="J80" s="1"/>
    </row>
    <row r="81">
      <c r="A81" s="1"/>
      <c r="B81" s="1" t="s">
        <v>91</v>
      </c>
      <c r="C81" s="8" t="s">
        <v>89</v>
      </c>
      <c r="D81" s="8" t="s">
        <v>89</v>
      </c>
      <c r="E81" s="8" t="s">
        <v>89</v>
      </c>
      <c r="F81" s="8" t="s">
        <v>89</v>
      </c>
      <c r="G81" s="8" t="s">
        <v>89</v>
      </c>
      <c r="H81" s="10">
        <f>H80*H83</f>
        <v>0.33130000000000004</v>
      </c>
      <c r="I81" s="89"/>
      <c r="J81" s="1"/>
    </row>
    <row r="82">
      <c r="A82" s="1"/>
      <c r="B82" s="1" t="s">
        <v>92</v>
      </c>
      <c r="C82" s="8" t="s">
        <v>89</v>
      </c>
      <c r="D82" s="8" t="s">
        <v>89</v>
      </c>
      <c r="E82" s="8" t="s">
        <v>89</v>
      </c>
      <c r="F82" s="8" t="s">
        <v>89</v>
      </c>
      <c r="G82" s="8" t="s">
        <v>89</v>
      </c>
      <c r="H82" s="10">
        <f>(H80+H81)*H84</f>
        <v>0</v>
      </c>
      <c r="I82" s="89"/>
      <c r="J82" s="1"/>
    </row>
    <row r="83">
      <c r="A83" s="1"/>
      <c r="B83" s="25" t="s">
        <v>93</v>
      </c>
      <c r="C83" s="9" t="s">
        <v>89</v>
      </c>
      <c r="D83" s="9" t="s">
        <v>89</v>
      </c>
      <c r="E83" s="9" t="s">
        <v>89</v>
      </c>
      <c r="F83" s="9" t="s">
        <v>89</v>
      </c>
      <c r="G83" s="9" t="s">
        <v>89</v>
      </c>
      <c r="H83" s="38">
        <v>0.02</v>
      </c>
      <c r="I83" s="89"/>
      <c r="J83" s="1"/>
    </row>
    <row r="84">
      <c r="A84" s="1"/>
      <c r="B84" s="25" t="s">
        <v>94</v>
      </c>
      <c r="C84" s="9" t="s">
        <v>89</v>
      </c>
      <c r="D84" s="9" t="s">
        <v>89</v>
      </c>
      <c r="E84" s="9" t="s">
        <v>89</v>
      </c>
      <c r="F84" s="9" t="s">
        <v>89</v>
      </c>
      <c r="G84" s="9" t="s">
        <v>89</v>
      </c>
      <c r="H84" s="20">
        <f>H101</f>
        <v>0</v>
      </c>
      <c r="I84" s="89"/>
      <c r="J84" s="1"/>
    </row>
    <row r="85">
      <c r="A85" s="1"/>
      <c r="B85" s="25" t="s">
        <v>66</v>
      </c>
      <c r="C85" s="9" t="s">
        <v>89</v>
      </c>
      <c r="D85" s="9" t="s">
        <v>89</v>
      </c>
      <c r="E85" s="9" t="s">
        <v>89</v>
      </c>
      <c r="F85" s="9" t="s">
        <v>89</v>
      </c>
      <c r="G85" s="9" t="s">
        <v>89</v>
      </c>
      <c r="H85" s="20">
        <f>H79/H78</f>
        <v>0</v>
      </c>
      <c r="I85" s="89"/>
      <c r="J85" s="1"/>
    </row>
    <row r="86">
      <c r="A86" s="1"/>
      <c r="B86" s="25" t="s">
        <v>95</v>
      </c>
      <c r="C86" s="9">
        <f>C77/C78-1</f>
        <v>0.04326741403199397</v>
      </c>
      <c r="D86" s="9">
        <f>D77/D78-1</f>
        <v>0.04628501827040177</v>
      </c>
      <c r="E86" s="9">
        <f>E77/E78-1</f>
        <v>-0.0235294117647058</v>
      </c>
      <c r="F86" s="9">
        <f>F77/F78-1</f>
        <v>0.042424242424242475</v>
      </c>
      <c r="G86" s="9">
        <f>G77/G78-1</f>
        <v>0.027355623100303816</v>
      </c>
      <c r="H86" s="20">
        <f>H77/H78-1</f>
        <v>0.020000000000000018</v>
      </c>
      <c r="I86" s="89"/>
      <c r="J86" s="1"/>
    </row>
    <row r="87">
      <c r="A87" s="1"/>
      <c r="B87" s="25" t="s">
        <v>67</v>
      </c>
      <c r="C87" s="9" t="s">
        <v>89</v>
      </c>
      <c r="D87" s="9" t="s">
        <v>89</v>
      </c>
      <c r="E87" s="9" t="s">
        <v>89</v>
      </c>
      <c r="F87" s="9" t="s">
        <v>89</v>
      </c>
      <c r="G87" s="9" t="s">
        <v>89</v>
      </c>
      <c r="H87" s="20">
        <f>(1+H86)/((1+H85)*(1+H84))-1</f>
        <v>0.020000000000000018</v>
      </c>
      <c r="I87" s="89"/>
      <c r="J87" s="1"/>
    </row>
    <row r="88">
      <c r="A88" s="1"/>
      <c r="B88" s="25" t="s">
        <v>61</v>
      </c>
      <c r="C88" s="5">
        <f>C77-F78</f>
        <v>0.06500000000000128</v>
      </c>
      <c r="D88" s="5">
        <f>D77-C77</f>
        <v>0.6149999999999984</v>
      </c>
      <c r="E88" s="5">
        <f>E77-D77</f>
        <v>-0.5799999999999983</v>
      </c>
      <c r="F88" s="5">
        <f>F77-E77</f>
        <v>0.5999999999999979</v>
      </c>
      <c r="G88" s="1"/>
      <c r="H88" s="37">
        <f>H77-F77</f>
        <v>-0.3036999999999992</v>
      </c>
      <c r="I88" s="89"/>
      <c r="J88" s="1"/>
    </row>
    <row r="89">
      <c r="A89" s="1"/>
      <c r="B89" s="25" t="s">
        <v>62</v>
      </c>
      <c r="C89" s="9">
        <f>C77/F78-1</f>
        <v>0.003939393939393909</v>
      </c>
      <c r="D89" s="9">
        <f>D77/C77-1</f>
        <v>0.037126471476003564</v>
      </c>
      <c r="E89" s="9">
        <f>E77/D77-1</f>
        <v>-0.033760186263096514</v>
      </c>
      <c r="F89" s="9">
        <f>F77/E77-1</f>
        <v>0.036144578313252795</v>
      </c>
      <c r="G89" s="1"/>
      <c r="H89" s="20">
        <f>H77/F77-1</f>
        <v>-0.01765697674418598</v>
      </c>
      <c r="I89" s="89"/>
      <c r="J89" s="1"/>
    </row>
    <row r="90">
      <c r="A90" s="1"/>
      <c r="B90" s="25" t="s">
        <v>96</v>
      </c>
      <c r="C90" s="9">
        <f>C77/C94</f>
        <v>0.2899070687271391</v>
      </c>
      <c r="D90" s="9">
        <f>D77/D94</f>
        <v>0.29051186228587855</v>
      </c>
      <c r="E90" s="9">
        <f>E77/E94</f>
        <v>0.30458715596330277</v>
      </c>
      <c r="F90" s="9">
        <f>F77/F94</f>
        <v>0.294017094017094</v>
      </c>
      <c r="G90" s="9">
        <f>G77/G94</f>
        <v>0.2948102921936328</v>
      </c>
      <c r="H90" s="20">
        <f>H77/H94</f>
        <v>0.3116196316144454</v>
      </c>
      <c r="I90" s="89"/>
      <c r="J90" s="1"/>
    </row>
    <row r="91">
      <c r="A91" s="1"/>
      <c r="B91" s="25" t="s">
        <v>64</v>
      </c>
      <c r="C91" s="24">
        <f>(C90-C78/C99)*10000</f>
        <v>143.38245942988047</v>
      </c>
      <c r="D91" s="24">
        <f>(D90-D78/D99)*10000</f>
        <v>455.10370193965645</v>
      </c>
      <c r="E91" s="24">
        <f>(E90-E78/E99)*10000</f>
        <v>553.202937932148</v>
      </c>
      <c r="F91" s="24">
        <f>(F90-F78/F99)*10000</f>
        <v>349.9040641897788</v>
      </c>
      <c r="G91" s="24">
        <f>(G90-G78/G99)*10000</f>
        <v>383.80050572432543</v>
      </c>
      <c r="H91" s="32">
        <f>(H90-H78/H99)*10000</f>
        <v>217.12562887306274</v>
      </c>
      <c r="I91" s="89"/>
      <c r="J91" s="1"/>
    </row>
    <row r="92">
      <c r="A92" s="1"/>
      <c r="B92" s="1"/>
      <c r="C92" s="1"/>
      <c r="D92" s="1"/>
      <c r="E92" s="1"/>
      <c r="F92" s="1"/>
      <c r="G92" s="1"/>
      <c r="H92" s="4"/>
      <c r="I92" s="89"/>
      <c r="J92" s="1"/>
    </row>
    <row r="93">
      <c r="A93" s="1"/>
      <c r="B93" s="16" t="s">
        <v>135</v>
      </c>
      <c r="C93" s="1"/>
      <c r="D93" s="1"/>
      <c r="E93" s="1"/>
      <c r="F93" s="1"/>
      <c r="G93" s="1"/>
      <c r="H93" s="4"/>
      <c r="I93" s="89"/>
      <c r="J93" s="1"/>
    </row>
    <row r="94">
      <c r="A94" s="1"/>
      <c r="B94" s="15" t="s">
        <v>136</v>
      </c>
      <c r="C94" s="7">
        <f>C13+C29+C45+C61+C77</f>
        <v>57.138999999999996</v>
      </c>
      <c r="D94" s="7">
        <f>D13+D29+D45+D61+D77</f>
        <v>59.137</v>
      </c>
      <c r="E94" s="7">
        <f>E13+E29+E45+E61+E77</f>
        <v>54.5</v>
      </c>
      <c r="F94" s="7">
        <f>F13+F29+F45+F61+F77</f>
        <v>58.5</v>
      </c>
      <c r="G94" s="7">
        <f>G13+G29+G45+G61+G77</f>
        <v>229.29999999999998</v>
      </c>
      <c r="H94" s="34">
        <f>H13+H29+H45+H61+H77</f>
        <v>54.22091</v>
      </c>
      <c r="I94" s="89"/>
      <c r="J94" s="1"/>
    </row>
    <row r="95">
      <c r="A95" s="1"/>
      <c r="B95" s="1" t="s">
        <v>137</v>
      </c>
      <c r="C95" s="3">
        <v>57.139</v>
      </c>
      <c r="D95" s="3">
        <v>59.137</v>
      </c>
      <c r="E95" s="3">
        <v>54.5</v>
      </c>
      <c r="F95" s="3">
        <v>58.5</v>
      </c>
      <c r="G95" s="3">
        <v>229.3</v>
      </c>
      <c r="H95" s="4"/>
      <c r="I95" s="89" t="s">
        <v>72</v>
      </c>
      <c r="J95" s="1"/>
    </row>
    <row r="96">
      <c r="A96" s="1"/>
      <c r="B96" s="1" t="s">
        <v>105</v>
      </c>
      <c r="C96" s="8">
        <f>ROUND(C94-C95,3)</f>
        <v>0</v>
      </c>
      <c r="D96" s="8">
        <f>ROUND(D94-D95,3)</f>
        <v>0</v>
      </c>
      <c r="E96" s="8">
        <f>ROUND(E94-E95,3)</f>
        <v>0</v>
      </c>
      <c r="F96" s="8">
        <f>ROUND(F94-F95,3)</f>
        <v>0</v>
      </c>
      <c r="G96" s="8">
        <f>ROUND(G94-G95,3)</f>
        <v>0</v>
      </c>
      <c r="H96" s="4"/>
      <c r="I96" s="89"/>
      <c r="J96" s="1"/>
    </row>
    <row r="97">
      <c r="A97" s="1"/>
      <c r="B97" s="1" t="s">
        <v>106</v>
      </c>
      <c r="C97" s="33" t="b">
        <f>ABS(C94-C95)&lt;0.001</f>
        <v>1</v>
      </c>
      <c r="D97" s="33" t="b">
        <f>ABS(D94-D95)&lt;0.001</f>
        <v>1</v>
      </c>
      <c r="E97" s="33" t="b">
        <f>ABS(E94-E95)&lt;0.001</f>
        <v>1</v>
      </c>
      <c r="F97" s="33" t="b">
        <f>ABS(F94-F95)&lt;0.001</f>
        <v>1</v>
      </c>
      <c r="G97" s="33" t="b">
        <f>ABS(G94-G95)&lt;0.001</f>
        <v>1</v>
      </c>
      <c r="H97" s="4"/>
      <c r="I97" s="89"/>
      <c r="J97" s="1"/>
    </row>
    <row r="98">
      <c r="A98" s="1"/>
      <c r="B98" s="1" t="s">
        <v>107</v>
      </c>
      <c r="C98" s="1"/>
      <c r="D98" s="1"/>
      <c r="E98" s="1"/>
      <c r="F98" s="1"/>
      <c r="G98" s="33" t="b">
        <f>ABS(G94-SUM(C94:F94))&lt;0.15</f>
        <v>1</v>
      </c>
      <c r="H98" s="4"/>
      <c r="I98" s="89"/>
      <c r="J98" s="1"/>
    </row>
    <row r="99">
      <c r="A99" s="1"/>
      <c r="B99" s="1" t="s">
        <v>108</v>
      </c>
      <c r="C99" s="3">
        <v>57.619</v>
      </c>
      <c r="D99" s="3">
        <v>67.02</v>
      </c>
      <c r="E99" s="3">
        <v>68.2</v>
      </c>
      <c r="F99" s="3">
        <v>63.7</v>
      </c>
      <c r="G99" s="3">
        <v>256.6</v>
      </c>
      <c r="H99" s="10">
        <f>C94</f>
        <v>57.138999999999996</v>
      </c>
      <c r="I99" s="89" t="s">
        <v>72</v>
      </c>
      <c r="J99" s="1"/>
    </row>
    <row r="100">
      <c r="A100" s="1"/>
      <c r="B100" s="25" t="s">
        <v>95</v>
      </c>
      <c r="C100" s="9">
        <f>C94/C99-1</f>
        <v>-0.008330585397178125</v>
      </c>
      <c r="D100" s="9">
        <f>D94/D99-1</f>
        <v>-0.11762160549089817</v>
      </c>
      <c r="E100" s="9">
        <f>E94/E99-1</f>
        <v>-0.20087976539589447</v>
      </c>
      <c r="F100" s="9">
        <f>F94/F99-1</f>
        <v>-0.08163265306122458</v>
      </c>
      <c r="G100" s="9">
        <f>G94/G99-1</f>
        <v>-0.10639127045985985</v>
      </c>
      <c r="H100" s="20">
        <f>H94/H99-1</f>
        <v>-0.051070022226500145</v>
      </c>
      <c r="I100" s="89"/>
      <c r="J100" s="1"/>
    </row>
    <row r="101">
      <c r="A101" s="1"/>
      <c r="B101" s="25" t="s">
        <v>109</v>
      </c>
      <c r="C101" s="44">
        <v>-0.002</v>
      </c>
      <c r="D101" s="44">
        <v>-0.002</v>
      </c>
      <c r="E101" s="9">
        <f>E100-E102-E103</f>
        <v>0.005120234604105517</v>
      </c>
      <c r="F101" s="44">
        <v>0.007</v>
      </c>
      <c r="G101" s="9">
        <f>G100-G102-G103</f>
        <v>0.001608729540140151</v>
      </c>
      <c r="H101" s="38">
        <v>0</v>
      </c>
      <c r="I101" s="89" t="s">
        <v>110</v>
      </c>
      <c r="J101" s="1"/>
    </row>
    <row r="102">
      <c r="A102" s="1"/>
      <c r="B102" s="25" t="s">
        <v>111</v>
      </c>
      <c r="C102" s="44">
        <v>-0.064</v>
      </c>
      <c r="D102" s="44">
        <v>-0.117</v>
      </c>
      <c r="E102" s="44">
        <v>-0.119</v>
      </c>
      <c r="F102" s="44">
        <v>-0.094</v>
      </c>
      <c r="G102" s="44">
        <v>-0.1</v>
      </c>
      <c r="H102" s="20">
        <f>SUM(H15,H31,H47,H63,H79)/H99</f>
        <v>-0.07000472531895903</v>
      </c>
      <c r="I102" s="89" t="s">
        <v>72</v>
      </c>
      <c r="J102" s="1"/>
    </row>
    <row r="103">
      <c r="A103" s="1"/>
      <c r="B103" s="25" t="s">
        <v>73</v>
      </c>
      <c r="C103" s="44">
        <v>0.058</v>
      </c>
      <c r="D103" s="44">
        <v>0.001</v>
      </c>
      <c r="E103" s="44">
        <v>-0.087</v>
      </c>
      <c r="F103" s="44">
        <v>0.005</v>
      </c>
      <c r="G103" s="44">
        <v>-0.008</v>
      </c>
      <c r="H103" s="20">
        <f>SUM(H17,H33,H49,H65,H81)/(H99+SUM(H15,H31,H47,H63,H79))</f>
        <v>0.020359999247257198</v>
      </c>
      <c r="I103" s="89" t="s">
        <v>72</v>
      </c>
      <c r="J103" s="1"/>
    </row>
    <row r="104">
      <c r="A104" s="1"/>
      <c r="B104" s="25" t="s">
        <v>67</v>
      </c>
      <c r="C104" s="9">
        <f>(1+C100)/((1+C102)*(1+C101))-1</f>
        <v>0.061599068439038174</v>
      </c>
      <c r="D104" s="9">
        <f>(1+D100)/((1+D102)*(1+D101))-1</f>
        <v>0.001298627276185238</v>
      </c>
      <c r="E104" s="9">
        <f>(1+E100)/((1+E102)*(1+E101))-1</f>
        <v>-0.09756027788996913</v>
      </c>
      <c r="F104" s="9">
        <f>(1+F100)/((1+F102)*(1+F101))-1</f>
        <v>0.006604263465647131</v>
      </c>
      <c r="G104" s="9">
        <f>(1+G100)/((1+G102)*(1+G101))-1</f>
        <v>-0.008696151406553443</v>
      </c>
      <c r="H104" s="20">
        <f>(1+H100)/((1+H102)*(1+H101))-1</f>
        <v>0.0203599992472574</v>
      </c>
      <c r="I104" s="89"/>
      <c r="J104" s="1"/>
    </row>
    <row r="105">
      <c r="A105" s="1"/>
      <c r="B105" s="1" t="s">
        <v>112</v>
      </c>
      <c r="C105" s="8">
        <f>C101*C99</f>
        <v>-0.11523800000000001</v>
      </c>
      <c r="D105" s="8">
        <f>D101*D99</f>
        <v>-0.13404</v>
      </c>
      <c r="E105" s="8">
        <f>E101*E99</f>
        <v>0.3491999999999963</v>
      </c>
      <c r="F105" s="8">
        <f>F101*F99</f>
        <v>0.4459</v>
      </c>
      <c r="G105" s="8">
        <f>G101*G99</f>
        <v>0.4127999999999628</v>
      </c>
      <c r="H105" s="10">
        <f>SUM(H18,H34,H50,H66,H82)</f>
        <v>0</v>
      </c>
      <c r="I105" s="89"/>
      <c r="J105" s="1"/>
    </row>
    <row r="106">
      <c r="A106" s="1"/>
      <c r="B106" s="1" t="s">
        <v>113</v>
      </c>
      <c r="C106" s="8">
        <f>C102*C99</f>
        <v>-3.6876160000000002</v>
      </c>
      <c r="D106" s="8">
        <f>D102*D99</f>
        <v>-7.84134</v>
      </c>
      <c r="E106" s="8">
        <f>E102*E99</f>
        <v>-8.1158</v>
      </c>
      <c r="F106" s="8">
        <f>F102*F99</f>
        <v>-5.9878</v>
      </c>
      <c r="G106" s="8">
        <f>G102*G99</f>
        <v>-25.660000000000004</v>
      </c>
      <c r="H106" s="10">
        <f>SUM(H15,H31,H47,H63,H79)</f>
        <v>-4</v>
      </c>
      <c r="I106" s="89"/>
      <c r="J106" s="1"/>
    </row>
    <row r="107">
      <c r="A107" s="1"/>
      <c r="B107" s="1" t="s">
        <v>114</v>
      </c>
      <c r="C107" s="8">
        <f>C94-C99-C105-C106</f>
        <v>3.3228539999999964</v>
      </c>
      <c r="D107" s="8">
        <f>D94-D99-D105-D106</f>
        <v>0.0923800000000039</v>
      </c>
      <c r="E107" s="8">
        <f>E94-E99-E105-E106</f>
        <v>-5.933399999999999</v>
      </c>
      <c r="F107" s="8">
        <f>F94-F99-F105-F106</f>
        <v>0.3418999999999972</v>
      </c>
      <c r="G107" s="8">
        <f>G94-G99-G105-G106</f>
        <v>-2.0527999999999977</v>
      </c>
      <c r="H107" s="10">
        <f>H94-H99-H105-H106</f>
        <v>1.0819100000000077</v>
      </c>
      <c r="I107" s="89"/>
      <c r="J107" s="1"/>
    </row>
    <row r="108">
      <c r="A108" s="1"/>
      <c r="B108" s="25" t="s">
        <v>61</v>
      </c>
      <c r="C108" s="5">
        <f>C94-F99</f>
        <v>-6.561000000000007</v>
      </c>
      <c r="D108" s="5">
        <f>D94-C94</f>
        <v>1.9980000000000047</v>
      </c>
      <c r="E108" s="5">
        <f>E94-D94</f>
        <v>-4.6370000000000005</v>
      </c>
      <c r="F108" s="5">
        <f>F94-E94</f>
        <v>4</v>
      </c>
      <c r="G108" s="1"/>
      <c r="H108" s="37">
        <f>H94-F94</f>
        <v>-4.2790899999999965</v>
      </c>
      <c r="I108" s="89"/>
      <c r="J108" s="1"/>
    </row>
    <row r="109">
      <c r="A109" s="1"/>
      <c r="B109" s="25" t="s">
        <v>62</v>
      </c>
      <c r="C109" s="9">
        <f>C94/F99-1</f>
        <v>-0.1029984301412874</v>
      </c>
      <c r="D109" s="9">
        <f>D94/C94-1</f>
        <v>0.03496736029682013</v>
      </c>
      <c r="E109" s="9">
        <f>E94/D94-1</f>
        <v>-0.0784111469976495</v>
      </c>
      <c r="F109" s="9">
        <f>F94/E94-1</f>
        <v>0.07339449541284404</v>
      </c>
      <c r="G109" s="1"/>
      <c r="H109" s="20">
        <f>H94/F94-1</f>
        <v>-0.0731468376068376</v>
      </c>
      <c r="I109" s="89"/>
      <c r="J109" s="1"/>
    </row>
    <row r="110">
      <c r="A110" s="1"/>
      <c r="B110" s="25" t="s">
        <v>115</v>
      </c>
      <c r="C110" s="60">
        <f>C94/'Revenue summary'!C35</f>
        <v>0.2731453374699434</v>
      </c>
      <c r="D110" s="60">
        <f>D94/'Revenue summary'!D35</f>
        <v>0.26319256222990683</v>
      </c>
      <c r="E110" s="60">
        <f>E94/'Revenue summary'!E35</f>
        <v>0.25804924242424243</v>
      </c>
      <c r="F110" s="60">
        <f>F94/'Revenue summary'!F35</f>
        <v>0.2596537949400799</v>
      </c>
      <c r="G110" s="60">
        <f>G94/'Revenue summary'!G35</f>
        <v>0.2634420955882352</v>
      </c>
      <c r="H110" s="63">
        <f>H94/'Revenue summary'!H35</f>
        <v>0.25556289734383464</v>
      </c>
      <c r="I110" s="89"/>
      <c r="J110" s="1"/>
    </row>
    <row r="111">
      <c r="A111" s="1"/>
      <c r="B111" s="1"/>
      <c r="C111" s="1"/>
      <c r="D111" s="1"/>
      <c r="E111" s="1"/>
      <c r="F111" s="1"/>
      <c r="G111" s="1"/>
      <c r="H111" s="4"/>
      <c r="I111" s="89"/>
      <c r="J111" s="1"/>
    </row>
    <row r="112">
      <c r="A112" s="1"/>
      <c r="B112" s="16" t="s">
        <v>138</v>
      </c>
      <c r="C112" s="1"/>
      <c r="D112" s="1"/>
      <c r="E112" s="1"/>
      <c r="F112" s="1"/>
      <c r="G112" s="1"/>
      <c r="H112" s="4"/>
      <c r="I112" s="89"/>
      <c r="J112" s="1"/>
    </row>
    <row r="113">
      <c r="A113" s="1"/>
      <c r="B113" s="15" t="s">
        <v>139</v>
      </c>
      <c r="C113" s="68">
        <v>4.472</v>
      </c>
      <c r="D113" s="68">
        <v>8.825</v>
      </c>
      <c r="E113" s="68">
        <v>5.7</v>
      </c>
      <c r="F113" s="76">
        <f>G113-SUM(C113:E113)</f>
        <v>5.503</v>
      </c>
      <c r="G113" s="68">
        <v>24.5</v>
      </c>
      <c r="H113" s="47">
        <f>H94*H114</f>
        <v>5.422091000000001</v>
      </c>
      <c r="I113" s="89" t="s">
        <v>118</v>
      </c>
      <c r="J113" s="1"/>
    </row>
    <row r="114">
      <c r="A114" s="1"/>
      <c r="B114" s="25" t="s">
        <v>119</v>
      </c>
      <c r="C114" s="9">
        <f>C113/C94</f>
        <v>0.0782652829065962</v>
      </c>
      <c r="D114" s="9">
        <f>D113/D94</f>
        <v>0.14922975463753654</v>
      </c>
      <c r="E114" s="9">
        <f>E113/E94</f>
        <v>0.10458715596330276</v>
      </c>
      <c r="F114" s="9">
        <f>F113/F94</f>
        <v>0.09406837606837606</v>
      </c>
      <c r="G114" s="9">
        <f>G113/G94</f>
        <v>0.10684692542520716</v>
      </c>
      <c r="H114" s="38">
        <v>0.1</v>
      </c>
      <c r="I114" s="89"/>
      <c r="J114" s="1"/>
    </row>
    <row r="115">
      <c r="A115" s="1"/>
      <c r="B115" s="1" t="s">
        <v>120</v>
      </c>
      <c r="C115" s="3">
        <v>2.589</v>
      </c>
      <c r="D115" s="3">
        <v>-0.362</v>
      </c>
      <c r="E115" s="3">
        <v>6.8</v>
      </c>
      <c r="F115" s="8">
        <f>G115-D124</f>
        <v>-1.7000000000000002</v>
      </c>
      <c r="G115" s="3">
        <v>7.3</v>
      </c>
      <c r="H115" s="10">
        <f>C113</f>
        <v>4.472</v>
      </c>
      <c r="I115" s="89" t="s">
        <v>118</v>
      </c>
      <c r="J115" s="1"/>
    </row>
    <row r="116">
      <c r="A116" s="1"/>
      <c r="B116" s="25" t="s">
        <v>121</v>
      </c>
      <c r="C116" s="24">
        <f>(C114-C115/C99)*10000</f>
        <v>333.32187920567293</v>
      </c>
      <c r="D116" s="24">
        <f>(D114-D115/D99)*10000</f>
        <v>1546.311273620964</v>
      </c>
      <c r="E116" s="24">
        <f>(E114-E115/E99)*10000</f>
        <v>48.80411095267573</v>
      </c>
      <c r="F116" s="24">
        <f>(F114-F115/F99)*10000</f>
        <v>1207.559741845456</v>
      </c>
      <c r="G116" s="24">
        <f>(G114-G115/G99)*10000</f>
        <v>783.9797764656336</v>
      </c>
      <c r="H116" s="32">
        <f>(H114-H115/H99)*10000</f>
        <v>217.347170934038</v>
      </c>
      <c r="I116" s="89"/>
      <c r="J116" s="1"/>
    </row>
    <row r="117">
      <c r="A117" s="1"/>
      <c r="B117" s="25" t="s">
        <v>61</v>
      </c>
      <c r="C117" s="5">
        <f>C113-F115</f>
        <v>6.172000000000001</v>
      </c>
      <c r="D117" s="5">
        <f>D113-C113</f>
        <v>4.352999999999999</v>
      </c>
      <c r="E117" s="5">
        <f>E113-D113</f>
        <v>-3.124999999999999</v>
      </c>
      <c r="F117" s="5">
        <f>F113-E113</f>
        <v>-0.19700000000000006</v>
      </c>
      <c r="G117" s="1"/>
      <c r="H117" s="37">
        <f>H113-F113</f>
        <v>-0.08090899999999923</v>
      </c>
      <c r="I117" s="89"/>
      <c r="J117" s="1"/>
    </row>
    <row r="118">
      <c r="A118" s="1"/>
      <c r="B118" s="1"/>
      <c r="C118" s="1"/>
      <c r="D118" s="1"/>
      <c r="E118" s="1"/>
      <c r="F118" s="1"/>
      <c r="G118" s="1"/>
      <c r="H118" s="4"/>
      <c r="I118" s="89"/>
      <c r="J118" s="1"/>
    </row>
    <row r="119">
      <c r="A119" s="1"/>
      <c r="B119" s="16" t="s">
        <v>122</v>
      </c>
      <c r="C119" s="1"/>
      <c r="D119" s="1"/>
      <c r="E119" s="1"/>
      <c r="F119" s="1"/>
      <c r="G119" s="1"/>
      <c r="H119" s="4"/>
      <c r="I119" s="89"/>
      <c r="J119" s="1"/>
    </row>
    <row r="120">
      <c r="A120" s="1"/>
      <c r="B120" s="1" t="s">
        <v>140</v>
      </c>
      <c r="C120" s="1"/>
      <c r="D120" s="3">
        <v>8.874</v>
      </c>
      <c r="E120" s="1"/>
      <c r="F120" s="1"/>
      <c r="G120" s="1"/>
      <c r="H120" s="4"/>
      <c r="I120" s="89" t="s">
        <v>124</v>
      </c>
      <c r="J120" s="1"/>
    </row>
    <row r="121">
      <c r="A121" s="1"/>
      <c r="B121" s="1" t="s">
        <v>141</v>
      </c>
      <c r="C121" s="1"/>
      <c r="D121" s="3">
        <v>0.017</v>
      </c>
      <c r="E121" s="1"/>
      <c r="F121" s="1"/>
      <c r="G121" s="1"/>
      <c r="H121" s="4"/>
      <c r="I121" s="89" t="s">
        <v>124</v>
      </c>
      <c r="J121" s="1"/>
    </row>
    <row r="122">
      <c r="A122" s="1"/>
      <c r="B122" s="1" t="s">
        <v>142</v>
      </c>
      <c r="C122" s="1"/>
      <c r="D122" s="3">
        <v>9.674</v>
      </c>
      <c r="E122" s="1"/>
      <c r="F122" s="1"/>
      <c r="G122" s="1"/>
      <c r="H122" s="4"/>
      <c r="I122" s="89" t="s">
        <v>124</v>
      </c>
      <c r="J122" s="1"/>
    </row>
    <row r="123">
      <c r="A123" s="1"/>
      <c r="B123" s="1" t="s">
        <v>143</v>
      </c>
      <c r="C123" s="1"/>
      <c r="D123" s="3">
        <v>0.101</v>
      </c>
      <c r="E123" s="1"/>
      <c r="F123" s="1"/>
      <c r="G123" s="1"/>
      <c r="H123" s="4"/>
      <c r="I123" s="89" t="s">
        <v>124</v>
      </c>
      <c r="J123" s="1"/>
    </row>
    <row r="124">
      <c r="A124" s="1"/>
      <c r="B124" s="1" t="s">
        <v>128</v>
      </c>
      <c r="C124" s="1"/>
      <c r="D124" s="3">
        <v>9</v>
      </c>
      <c r="E124" s="1"/>
      <c r="F124" s="1"/>
      <c r="G124" s="1"/>
      <c r="H124" s="4"/>
      <c r="I124" s="89" t="s">
        <v>129</v>
      </c>
      <c r="J124" s="1"/>
    </row>
    <row r="125">
      <c r="A125" s="1"/>
      <c r="B125" s="1"/>
      <c r="C125" s="1"/>
      <c r="D125" s="1"/>
      <c r="E125" s="1"/>
      <c r="F125" s="1"/>
      <c r="G125" s="1"/>
      <c r="H125" s="1"/>
      <c r="I125" s="1"/>
      <c r="J125" s="1"/>
    </row>
    <row r="126">
      <c r="A126" s="1"/>
      <c r="B126" s="1"/>
      <c r="C126" s="1"/>
      <c r="D126" s="1"/>
      <c r="E126" s="1"/>
      <c r="F126" s="1"/>
      <c r="G126" s="1"/>
      <c r="H126" s="1"/>
      <c r="I126" s="1"/>
      <c r="J126" s="1"/>
    </row>
  </sheetData>
  <legacyDrawing r:id="rId2"/>
</worksheet>
</file>

<file path=xl/worksheets/sheet5.xml><?xml version="1.0" encoding="utf-8"?>
<worksheet xmlns="http://schemas.openxmlformats.org/spreadsheetml/2006/main" xmlns:r="http://schemas.openxmlformats.org/officeDocument/2006/relationships">
  <dimension ref="A1:J253"/>
  <sheetViews>
    <sheetView showGridLines="0" workbookViewId="0"/>
  </sheetViews>
  <sheetFormatPr defaultColWidth="8.42578125" defaultRowHeight="15"/>
  <cols>
    <col min="1" max="1" width="2" customWidth="1"/>
    <col min="2" max="2" width="32" customWidth="1"/>
    <col min="3" max="8" width="12" customWidth="1"/>
    <col min="9" max="9" width="16" customWidth="1"/>
  </cols>
  <sheetData>
    <row r="1">
      <c r="A1" s="1"/>
      <c r="B1" s="1"/>
      <c r="C1" s="1"/>
      <c r="D1" s="1"/>
      <c r="E1" s="1"/>
      <c r="F1" s="1"/>
      <c r="G1" s="1"/>
      <c r="H1" s="1"/>
      <c r="I1" s="1"/>
      <c r="J1" s="1"/>
    </row>
    <row r="2">
      <c r="A2" s="1"/>
      <c r="B2" s="46" t="s">
        <v>1</v>
      </c>
      <c r="C2" s="1"/>
      <c r="D2" s="1"/>
      <c r="E2" s="1"/>
      <c r="F2" s="1"/>
      <c r="G2" s="1"/>
      <c r="H2" s="1"/>
      <c r="I2" s="1"/>
      <c r="J2" s="1"/>
    </row>
    <row r="3">
      <c r="A3" s="1"/>
      <c r="B3" s="15" t="s">
        <v>144</v>
      </c>
      <c r="C3" s="1"/>
      <c r="D3" s="1"/>
      <c r="E3" s="1"/>
      <c r="F3" s="1"/>
      <c r="G3" s="1"/>
      <c r="H3" s="1"/>
      <c r="I3" s="1"/>
      <c r="J3" s="1"/>
    </row>
    <row r="4">
      <c r="A4" s="1"/>
      <c r="B4" s="25" t="s">
        <v>2</v>
      </c>
      <c r="C4" s="1"/>
      <c r="D4" s="1"/>
      <c r="E4" s="1"/>
      <c r="F4" s="1"/>
      <c r="G4" s="1"/>
      <c r="H4" s="1"/>
      <c r="I4" s="1"/>
      <c r="J4" s="1"/>
    </row>
    <row r="5">
      <c r="A5" s="1"/>
      <c r="B5" s="28" t="s">
        <v>50</v>
      </c>
      <c r="C5" s="2" t="s">
        <v>51</v>
      </c>
      <c r="D5" s="2" t="s">
        <v>52</v>
      </c>
      <c r="E5" s="2" t="s">
        <v>53</v>
      </c>
      <c r="F5" s="2" t="s">
        <v>54</v>
      </c>
      <c r="G5" s="2" t="s">
        <v>55</v>
      </c>
      <c r="H5" s="2" t="s">
        <v>4</v>
      </c>
      <c r="I5" s="90" t="s">
        <v>56</v>
      </c>
      <c r="J5" s="1"/>
    </row>
    <row r="6">
      <c r="A6" s="1"/>
      <c r="B6" s="41" t="s">
        <v>5</v>
      </c>
      <c r="C6" s="17">
        <v>45900</v>
      </c>
      <c r="D6" s="17">
        <v>45991</v>
      </c>
      <c r="E6" s="17">
        <v>46081</v>
      </c>
      <c r="F6" s="17">
        <v>46173</v>
      </c>
      <c r="G6" s="17">
        <v>46173</v>
      </c>
      <c r="H6" s="17">
        <v>46265</v>
      </c>
      <c r="I6" s="92"/>
      <c r="J6" s="1"/>
    </row>
    <row r="7">
      <c r="A7" s="1"/>
      <c r="B7" s="14" t="s">
        <v>6</v>
      </c>
      <c r="C7" s="40">
        <v>92</v>
      </c>
      <c r="D7" s="40">
        <v>91</v>
      </c>
      <c r="E7" s="40">
        <v>90</v>
      </c>
      <c r="F7" s="40">
        <v>92</v>
      </c>
      <c r="G7" s="40">
        <v>365</v>
      </c>
      <c r="H7" s="40">
        <v>92</v>
      </c>
      <c r="I7" s="91"/>
      <c r="J7" s="1"/>
    </row>
    <row r="8">
      <c r="A8" s="1"/>
      <c r="B8" s="1"/>
      <c r="C8" s="1"/>
      <c r="D8" s="1"/>
      <c r="E8" s="1"/>
      <c r="F8" s="1"/>
      <c r="G8" s="1"/>
      <c r="H8" s="1"/>
      <c r="I8" s="89"/>
      <c r="J8" s="1"/>
    </row>
    <row r="9">
      <c r="A9" s="1"/>
      <c r="B9" s="16" t="s">
        <v>145</v>
      </c>
      <c r="C9" s="1"/>
      <c r="D9" s="1"/>
      <c r="E9" s="1"/>
      <c r="F9" s="1"/>
      <c r="G9" s="1"/>
      <c r="H9" s="4"/>
      <c r="I9" s="89"/>
      <c r="J9" s="1"/>
    </row>
    <row r="10">
      <c r="A10" s="1"/>
      <c r="B10" s="1" t="s">
        <v>146</v>
      </c>
      <c r="C10" s="3">
        <v>184.138</v>
      </c>
      <c r="D10" s="3">
        <v>199.005</v>
      </c>
      <c r="E10" s="3">
        <v>186.2</v>
      </c>
      <c r="F10" s="3">
        <v>198.8</v>
      </c>
      <c r="G10" s="3">
        <v>768.2</v>
      </c>
      <c r="H10" s="10">
        <f>H22-H16</f>
        <v>187.12748648979002</v>
      </c>
      <c r="I10" s="89" t="s">
        <v>86</v>
      </c>
      <c r="J10" s="1"/>
    </row>
    <row r="11">
      <c r="A11" s="1"/>
      <c r="B11" s="25" t="s">
        <v>60</v>
      </c>
      <c r="C11" s="9">
        <f>C10/C228-1</f>
        <v>-0.04352839734466385</v>
      </c>
      <c r="D11" s="9">
        <f>D10/D228-1</f>
        <v>-0.04116618244366399</v>
      </c>
      <c r="E11" s="9">
        <f>E10/E228-1</f>
        <v>-0.05241730279898227</v>
      </c>
      <c r="F11" s="9">
        <f>F10/F228-1</f>
        <v>-0.009960159362549792</v>
      </c>
      <c r="G11" s="9">
        <f>G10/G228-1</f>
        <v>-0.03661901178831195</v>
      </c>
      <c r="H11" s="20">
        <f>H10/H228-1</f>
        <v>0.016235032908959557</v>
      </c>
      <c r="I11" s="89"/>
      <c r="J11" s="1"/>
    </row>
    <row r="12">
      <c r="A12" s="1"/>
      <c r="B12" s="25" t="s">
        <v>61</v>
      </c>
      <c r="C12" s="5">
        <f>C10-F228</f>
        <v>-16.662000000000006</v>
      </c>
      <c r="D12" s="5">
        <f>D10-C10</f>
        <v>14.86699999999999</v>
      </c>
      <c r="E12" s="5">
        <f>E10-D10</f>
        <v>-12.805000000000007</v>
      </c>
      <c r="F12" s="5">
        <f>F10-E10</f>
        <v>12.600000000000023</v>
      </c>
      <c r="G12" s="1"/>
      <c r="H12" s="37">
        <f>H10-F10</f>
        <v>-11.672513510209996</v>
      </c>
      <c r="I12" s="89"/>
      <c r="J12" s="1"/>
    </row>
    <row r="13">
      <c r="A13" s="1"/>
      <c r="B13" s="25" t="s">
        <v>65</v>
      </c>
      <c r="C13" s="9" t="s">
        <v>89</v>
      </c>
      <c r="D13" s="9" t="s">
        <v>89</v>
      </c>
      <c r="E13" s="9" t="s">
        <v>89</v>
      </c>
      <c r="F13" s="9" t="s">
        <v>89</v>
      </c>
      <c r="G13" s="9" t="s">
        <v>89</v>
      </c>
      <c r="H13" s="20" t="s">
        <v>89</v>
      </c>
      <c r="I13" s="89"/>
      <c r="J13" s="1"/>
    </row>
    <row r="14">
      <c r="A14" s="1"/>
      <c r="B14" s="25" t="s">
        <v>66</v>
      </c>
      <c r="C14" s="9" t="s">
        <v>89</v>
      </c>
      <c r="D14" s="9" t="s">
        <v>89</v>
      </c>
      <c r="E14" s="9" t="s">
        <v>89</v>
      </c>
      <c r="F14" s="9" t="s">
        <v>89</v>
      </c>
      <c r="G14" s="9" t="s">
        <v>89</v>
      </c>
      <c r="H14" s="20" t="s">
        <v>89</v>
      </c>
      <c r="I14" s="89"/>
      <c r="J14" s="1"/>
    </row>
    <row r="15">
      <c r="A15" s="1"/>
      <c r="B15" s="25" t="s">
        <v>67</v>
      </c>
      <c r="C15" s="9" t="s">
        <v>89</v>
      </c>
      <c r="D15" s="9" t="s">
        <v>89</v>
      </c>
      <c r="E15" s="9" t="s">
        <v>89</v>
      </c>
      <c r="F15" s="9" t="s">
        <v>89</v>
      </c>
      <c r="G15" s="9" t="s">
        <v>89</v>
      </c>
      <c r="H15" s="20" t="s">
        <v>89</v>
      </c>
      <c r="I15" s="89"/>
      <c r="J15" s="1"/>
    </row>
    <row r="16">
      <c r="A16" s="1"/>
      <c r="B16" s="1" t="s">
        <v>147</v>
      </c>
      <c r="C16" s="3">
        <v>25.051</v>
      </c>
      <c r="D16" s="3">
        <v>25.686</v>
      </c>
      <c r="E16" s="3">
        <v>25</v>
      </c>
      <c r="F16" s="3">
        <v>26.5</v>
      </c>
      <c r="G16" s="3">
        <v>102.2</v>
      </c>
      <c r="H16" s="10">
        <f>H22*H29</f>
        <v>25.03519660521</v>
      </c>
      <c r="I16" s="89" t="s">
        <v>86</v>
      </c>
      <c r="J16" s="1"/>
    </row>
    <row r="17">
      <c r="A17" s="1"/>
      <c r="B17" s="25" t="s">
        <v>60</v>
      </c>
      <c r="C17" s="9">
        <f>C16/C229-1</f>
        <v>0.024748425100220794</v>
      </c>
      <c r="D17" s="9">
        <f>D16/D229-1</f>
        <v>0.08338605592812853</v>
      </c>
      <c r="E17" s="9">
        <f>E16/E229-1</f>
        <v>0.020408163265306145</v>
      </c>
      <c r="F17" s="9">
        <f>F16/F229-1</f>
        <v>0.07287449392712553</v>
      </c>
      <c r="G17" s="9">
        <f>G16/G229-1</f>
        <v>0.05035971223021596</v>
      </c>
      <c r="H17" s="20">
        <f>H16/H229-1</f>
        <v>-0.0006308488599257034</v>
      </c>
      <c r="I17" s="89"/>
      <c r="J17" s="1"/>
    </row>
    <row r="18">
      <c r="A18" s="1"/>
      <c r="B18" s="25" t="s">
        <v>61</v>
      </c>
      <c r="C18" s="5">
        <f>C16-F229</f>
        <v>0.3509999999999991</v>
      </c>
      <c r="D18" s="5">
        <f>D16-C16</f>
        <v>0.6350000000000016</v>
      </c>
      <c r="E18" s="5">
        <f>E16-D16</f>
        <v>-0.6859999999999999</v>
      </c>
      <c r="F18" s="5">
        <f>F16-E16</f>
        <v>1.5</v>
      </c>
      <c r="G18" s="1"/>
      <c r="H18" s="37">
        <f>H16-F16</f>
        <v>-1.4648033947899997</v>
      </c>
      <c r="I18" s="89"/>
      <c r="J18" s="1"/>
    </row>
    <row r="19">
      <c r="A19" s="1"/>
      <c r="B19" s="25" t="s">
        <v>65</v>
      </c>
      <c r="C19" s="9" t="s">
        <v>89</v>
      </c>
      <c r="D19" s="9" t="s">
        <v>89</v>
      </c>
      <c r="E19" s="9" t="s">
        <v>89</v>
      </c>
      <c r="F19" s="9" t="s">
        <v>89</v>
      </c>
      <c r="G19" s="9" t="s">
        <v>89</v>
      </c>
      <c r="H19" s="20" t="s">
        <v>89</v>
      </c>
      <c r="I19" s="89"/>
      <c r="J19" s="1"/>
    </row>
    <row r="20">
      <c r="A20" s="1"/>
      <c r="B20" s="25" t="s">
        <v>66</v>
      </c>
      <c r="C20" s="9" t="s">
        <v>89</v>
      </c>
      <c r="D20" s="9" t="s">
        <v>89</v>
      </c>
      <c r="E20" s="9" t="s">
        <v>89</v>
      </c>
      <c r="F20" s="9" t="s">
        <v>89</v>
      </c>
      <c r="G20" s="9" t="s">
        <v>89</v>
      </c>
      <c r="H20" s="20" t="s">
        <v>89</v>
      </c>
      <c r="I20" s="89"/>
      <c r="J20" s="1"/>
    </row>
    <row r="21">
      <c r="A21" s="1"/>
      <c r="B21" s="25" t="s">
        <v>67</v>
      </c>
      <c r="C21" s="9" t="s">
        <v>89</v>
      </c>
      <c r="D21" s="9" t="s">
        <v>89</v>
      </c>
      <c r="E21" s="9" t="s">
        <v>89</v>
      </c>
      <c r="F21" s="9" t="s">
        <v>89</v>
      </c>
      <c r="G21" s="9" t="s">
        <v>89</v>
      </c>
      <c r="H21" s="20" t="s">
        <v>89</v>
      </c>
      <c r="I21" s="89"/>
      <c r="J21" s="1"/>
    </row>
    <row r="22">
      <c r="A22" s="1"/>
      <c r="B22" s="15" t="s">
        <v>148</v>
      </c>
      <c r="C22" s="7">
        <f>C10+C16</f>
        <v>209.189</v>
      </c>
      <c r="D22" s="7">
        <f>D10+D16</f>
        <v>224.691</v>
      </c>
      <c r="E22" s="7">
        <f>E10+E16</f>
        <v>211.2</v>
      </c>
      <c r="F22" s="7">
        <f>F10+F16</f>
        <v>225.3</v>
      </c>
      <c r="G22" s="7">
        <f>G10+G16</f>
        <v>870.4000000000001</v>
      </c>
      <c r="H22" s="79">
        <f>'Revenue summary'!H35</f>
        <v>212.162683095</v>
      </c>
      <c r="I22" s="89"/>
      <c r="J22" s="1"/>
    </row>
    <row r="23">
      <c r="A23" s="1"/>
      <c r="B23" s="25" t="s">
        <v>60</v>
      </c>
      <c r="C23" s="9">
        <f>C22/C227-1</f>
        <v>-0.03583543813720247</v>
      </c>
      <c r="D23" s="9">
        <f>D22/D227-1</f>
        <v>-0.028396855460135373</v>
      </c>
      <c r="E23" s="9">
        <f>E22/E227-1</f>
        <v>-0.044343891402715</v>
      </c>
      <c r="F23" s="9">
        <f>F22/F227-1</f>
        <v>-0.0008869179600886623</v>
      </c>
      <c r="G23" s="9">
        <f>G22/G227-1</f>
        <v>-0.027159941879959737</v>
      </c>
      <c r="H23" s="20">
        <f>H22/H227-1</f>
        <v>0.014215293801299156</v>
      </c>
      <c r="I23" s="89"/>
      <c r="J23" s="1"/>
    </row>
    <row r="24">
      <c r="A24" s="1"/>
      <c r="B24" s="25" t="s">
        <v>61</v>
      </c>
      <c r="C24" s="5">
        <f>C22-F227</f>
        <v>-16.311000000000007</v>
      </c>
      <c r="D24" s="5">
        <f>D22-C22</f>
        <v>15.50200000000001</v>
      </c>
      <c r="E24" s="5">
        <f>E22-D22</f>
        <v>-13.491000000000014</v>
      </c>
      <c r="F24" s="5">
        <f>F22-E22</f>
        <v>14.100000000000023</v>
      </c>
      <c r="G24" s="1"/>
      <c r="H24" s="37">
        <f>H22-F22</f>
        <v>-13.137316905000006</v>
      </c>
      <c r="I24" s="89"/>
      <c r="J24" s="1"/>
    </row>
    <row r="25">
      <c r="A25" s="1"/>
      <c r="B25" s="25" t="s">
        <v>65</v>
      </c>
      <c r="C25" s="60">
        <f>'Revenue summary'!C41</f>
        <v>0.005</v>
      </c>
      <c r="D25" s="60">
        <f>'Revenue summary'!D41</f>
        <v>0.009</v>
      </c>
      <c r="E25" s="60">
        <f>'Revenue summary'!E41</f>
        <v>0.03</v>
      </c>
      <c r="F25" s="60">
        <f>'Revenue summary'!F41</f>
        <v>0.019</v>
      </c>
      <c r="G25" s="60">
        <f>'Revenue summary'!G41</f>
        <v>0.016</v>
      </c>
      <c r="H25" s="63">
        <f>'Revenue summary'!H41</f>
        <v>0.0022582836334606505</v>
      </c>
      <c r="I25" s="89"/>
      <c r="J25" s="1"/>
    </row>
    <row r="26">
      <c r="A26" s="1"/>
      <c r="B26" s="25" t="s">
        <v>66</v>
      </c>
      <c r="C26" s="60">
        <f>'Revenue summary'!C42</f>
        <v>-0.044</v>
      </c>
      <c r="D26" s="60">
        <f>'Revenue summary'!D42</f>
        <v>-0.066</v>
      </c>
      <c r="E26" s="60">
        <f>'Revenue summary'!E42</f>
        <v>-0.075</v>
      </c>
      <c r="F26" s="60">
        <f>'Revenue summary'!F42</f>
        <v>-0.063</v>
      </c>
      <c r="G26" s="60">
        <f>'Revenue summary'!G42</f>
        <v>-0.062</v>
      </c>
      <c r="H26" s="63">
        <f>'Revenue summary'!H42</f>
        <v>-0.028682196482606635</v>
      </c>
      <c r="I26" s="89"/>
      <c r="J26" s="1"/>
    </row>
    <row r="27">
      <c r="A27" s="1"/>
      <c r="B27" s="25" t="s">
        <v>67</v>
      </c>
      <c r="C27" s="9">
        <f>(1+C23)/((1+C26)*(1+C25))-1</f>
        <v>0.0035227230612602245</v>
      </c>
      <c r="D27" s="9">
        <f>(1+D23)/((1+D26)*(1+D25))-1</f>
        <v>0.030981492626176887</v>
      </c>
      <c r="E27" s="9">
        <f>(1+E23)/((1+E26)*(1+E25))-1</f>
        <v>0.003050232062224989</v>
      </c>
      <c r="F27" s="9">
        <f>(1+F23)/((1+F26)*(1+F25))-1</f>
        <v>0.04640756474362928</v>
      </c>
      <c r="G27" s="9">
        <f>(1+G23)/((1+G26)*(1+G25))-1</f>
        <v>0.020809959748543827</v>
      </c>
      <c r="H27" s="20">
        <f>(1+H23)/((1+H26)*(1+H25))-1</f>
        <v>0.04181151114960646</v>
      </c>
      <c r="I27" s="89"/>
      <c r="J27" s="1"/>
    </row>
    <row r="28">
      <c r="A28" s="1"/>
      <c r="B28" s="1" t="s">
        <v>149</v>
      </c>
      <c r="C28" s="1"/>
      <c r="D28" s="1"/>
      <c r="E28" s="1"/>
      <c r="F28" s="1"/>
      <c r="G28" s="33" t="b">
        <f>ABS(G22-SUM(C22:F22))&lt;0.15</f>
        <v>1</v>
      </c>
      <c r="H28" s="4"/>
      <c r="I28" s="89"/>
      <c r="J28" s="1"/>
    </row>
    <row r="29">
      <c r="A29" s="1"/>
      <c r="B29" s="25" t="s">
        <v>150</v>
      </c>
      <c r="C29" s="9">
        <f>C16/C22</f>
        <v>0.11975295068096314</v>
      </c>
      <c r="D29" s="9">
        <f>D16/D22</f>
        <v>0.1143169953402673</v>
      </c>
      <c r="E29" s="9">
        <f>E16/E22</f>
        <v>0.11837121212121213</v>
      </c>
      <c r="F29" s="9">
        <f>F16/F22</f>
        <v>0.11762094984465157</v>
      </c>
      <c r="G29" s="9">
        <f>G16/G22</f>
        <v>0.11741727941176469</v>
      </c>
      <c r="H29" s="38">
        <v>0.118</v>
      </c>
      <c r="I29" s="89"/>
      <c r="J29" s="1"/>
    </row>
    <row r="30">
      <c r="A30" s="1"/>
      <c r="B30" s="25" t="s">
        <v>151</v>
      </c>
      <c r="C30" s="24">
        <f>(C29-C229/C227)*10000</f>
        <v>70.79880494204049</v>
      </c>
      <c r="D30" s="24">
        <f>(D29-D229/D227)*10000</f>
        <v>117.9513663700081</v>
      </c>
      <c r="E30" s="24">
        <f>(E29-E229/E227)*10000</f>
        <v>75.11483614424802</v>
      </c>
      <c r="F30" s="24">
        <f>(F29-F229/F227)*10000</f>
        <v>80.86581773698143</v>
      </c>
      <c r="G30" s="24">
        <f>(G29-G229/G227)*10000</f>
        <v>86.65742583777669</v>
      </c>
      <c r="H30" s="32">
        <f>(H29-H229/H227)*10000</f>
        <v>-17.52950680963136</v>
      </c>
      <c r="I30" s="89"/>
      <c r="J30" s="1"/>
    </row>
    <row r="31">
      <c r="A31" s="1"/>
      <c r="B31" s="25" t="s">
        <v>152</v>
      </c>
      <c r="C31" s="1"/>
      <c r="D31" s="24">
        <f>(D29-C29)*10000</f>
        <v>-54.35955340695839</v>
      </c>
      <c r="E31" s="24">
        <f>(E29-D29)*10000</f>
        <v>40.54216780944822</v>
      </c>
      <c r="F31" s="24">
        <f>(F29-E29)*10000</f>
        <v>-7.502622765605538</v>
      </c>
      <c r="G31" s="1"/>
      <c r="H31" s="32">
        <f>(H29-F29)*10000</f>
        <v>3.7905015534842046</v>
      </c>
      <c r="I31" s="89"/>
      <c r="J31" s="1"/>
    </row>
    <row r="32">
      <c r="A32" s="1"/>
      <c r="B32" s="1"/>
      <c r="C32" s="1"/>
      <c r="D32" s="1"/>
      <c r="E32" s="1"/>
      <c r="F32" s="1"/>
      <c r="G32" s="1"/>
      <c r="H32" s="4"/>
      <c r="I32" s="89"/>
      <c r="J32" s="1"/>
    </row>
    <row r="33">
      <c r="A33" s="1"/>
      <c r="B33" s="16" t="s">
        <v>153</v>
      </c>
      <c r="C33" s="1"/>
      <c r="D33" s="1"/>
      <c r="E33" s="1"/>
      <c r="F33" s="1"/>
      <c r="G33" s="1"/>
      <c r="H33" s="4"/>
      <c r="I33" s="89"/>
      <c r="J33" s="1"/>
    </row>
    <row r="34">
      <c r="A34" s="1"/>
      <c r="B34" s="1" t="s">
        <v>154</v>
      </c>
      <c r="C34" s="3">
        <v>97.932</v>
      </c>
      <c r="D34" s="3">
        <v>102.653</v>
      </c>
      <c r="E34" s="3">
        <v>96</v>
      </c>
      <c r="F34" s="3">
        <v>102.2</v>
      </c>
      <c r="G34" s="3">
        <v>398.8</v>
      </c>
      <c r="H34" s="10">
        <f>H40-H37</f>
        <v>94.2838450184598</v>
      </c>
      <c r="I34" s="89" t="s">
        <v>86</v>
      </c>
      <c r="J34" s="1"/>
    </row>
    <row r="35">
      <c r="A35" s="1"/>
      <c r="B35" s="25" t="s">
        <v>60</v>
      </c>
      <c r="C35" s="9">
        <f>C34/(C227-C231-C230)-1</f>
        <v>0.0009812339016312954</v>
      </c>
      <c r="D35" s="9">
        <f>D34/(D227-D231-D230)-1</f>
        <v>0.028205975740457134</v>
      </c>
      <c r="E35" s="9">
        <f>E34/(E227-E231-E230)-1</f>
        <v>0.0020876826722338038</v>
      </c>
      <c r="F35" s="9">
        <f>F34/(F227-F231-F230)-1</f>
        <v>-0.13389830508474576</v>
      </c>
      <c r="G35" s="9">
        <f>G34/(G227-G231-G230)-1</f>
        <v>-0.030862697448359788</v>
      </c>
      <c r="H35" s="20">
        <f>H34/(H227-H231-H230)-1</f>
        <v>-0.037251919510887355</v>
      </c>
      <c r="I35" s="89"/>
      <c r="J35" s="1"/>
    </row>
    <row r="36">
      <c r="A36" s="1"/>
      <c r="B36" s="25" t="s">
        <v>61</v>
      </c>
      <c r="C36" s="5">
        <f>C34-(F227-F231-F230)</f>
        <v>-20.067999999999998</v>
      </c>
      <c r="D36" s="5">
        <f>D34-C34</f>
        <v>4.721000000000004</v>
      </c>
      <c r="E36" s="5">
        <f>E34-D34</f>
        <v>-6.653000000000006</v>
      </c>
      <c r="F36" s="5">
        <f>F34-E34</f>
        <v>6.200000000000003</v>
      </c>
      <c r="G36" s="1"/>
      <c r="H36" s="37">
        <f>H34-F34</f>
        <v>-7.916154981540203</v>
      </c>
      <c r="I36" s="89"/>
      <c r="J36" s="1"/>
    </row>
    <row r="37">
      <c r="A37" s="1"/>
      <c r="B37" s="1" t="s">
        <v>155</v>
      </c>
      <c r="C37" s="3">
        <v>16.287</v>
      </c>
      <c r="D37" s="3">
        <v>15.354</v>
      </c>
      <c r="E37" s="3">
        <v>16.2</v>
      </c>
      <c r="F37" s="3">
        <v>15.3</v>
      </c>
      <c r="G37" s="3">
        <v>63.1</v>
      </c>
      <c r="H37" s="10">
        <f>H16*H43</f>
        <v>15.5218218952302</v>
      </c>
      <c r="I37" s="89" t="s">
        <v>86</v>
      </c>
      <c r="J37" s="1"/>
    </row>
    <row r="38">
      <c r="A38" s="1"/>
      <c r="B38" s="25" t="s">
        <v>60</v>
      </c>
      <c r="C38" s="9">
        <f>C37/C230-1</f>
        <v>0.1468103084072665</v>
      </c>
      <c r="D38" s="9">
        <f>D37/D230-1</f>
        <v>-0.1512906970316733</v>
      </c>
      <c r="E38" s="9">
        <f>E37/E230-1</f>
        <v>0.08724832214765099</v>
      </c>
      <c r="F38" s="9">
        <f>F37/F230-1</f>
        <v>0.047945205479452024</v>
      </c>
      <c r="G38" s="9">
        <f>G37/G230-1</f>
        <v>0.021035598705501757</v>
      </c>
      <c r="H38" s="20">
        <f>H37/H230-1</f>
        <v>-0.04698091144899608</v>
      </c>
      <c r="I38" s="89"/>
      <c r="J38" s="1"/>
    </row>
    <row r="39">
      <c r="A39" s="1"/>
      <c r="B39" s="25" t="s">
        <v>61</v>
      </c>
      <c r="C39" s="5">
        <f>C37-F230</f>
        <v>1.6869999999999994</v>
      </c>
      <c r="D39" s="5">
        <f>D37-C37</f>
        <v>-0.9329999999999998</v>
      </c>
      <c r="E39" s="5">
        <f>E37-D37</f>
        <v>0.8460000000000001</v>
      </c>
      <c r="F39" s="5">
        <f>F37-E37</f>
        <v>-0.8999999999999986</v>
      </c>
      <c r="G39" s="1"/>
      <c r="H39" s="37">
        <f>H37-F37</f>
        <v>0.22182189523019957</v>
      </c>
      <c r="I39" s="89"/>
      <c r="J39" s="1"/>
    </row>
    <row r="40">
      <c r="A40" s="1"/>
      <c r="B40" s="15" t="s">
        <v>156</v>
      </c>
      <c r="C40" s="7">
        <f>C34+C37</f>
        <v>114.219</v>
      </c>
      <c r="D40" s="7">
        <f>D34+D37</f>
        <v>118.007</v>
      </c>
      <c r="E40" s="7">
        <f>E34+E37</f>
        <v>112.2</v>
      </c>
      <c r="F40" s="7">
        <f>F34+F37</f>
        <v>117.5</v>
      </c>
      <c r="G40" s="7">
        <f>G34+G37</f>
        <v>461.90000000000003</v>
      </c>
      <c r="H40" s="34">
        <f>H22-H46</f>
        <v>109.80566691369</v>
      </c>
      <c r="I40" s="89"/>
      <c r="J40" s="1"/>
    </row>
    <row r="41">
      <c r="A41" s="1"/>
      <c r="B41" s="25" t="s">
        <v>60</v>
      </c>
      <c r="C41" s="9">
        <f>C40/(C227-C231)-1</f>
        <v>0.01946660954319057</v>
      </c>
      <c r="D41" s="9">
        <f>D40/(D227-D231)-1</f>
        <v>0.0006699002781360708</v>
      </c>
      <c r="E41" s="9">
        <f>E40/(E227-E231)-1</f>
        <v>0.013550135501354976</v>
      </c>
      <c r="F41" s="9">
        <f>F40/(F227-F231)-1</f>
        <v>-0.11387631975867263</v>
      </c>
      <c r="G41" s="9">
        <f>G40/(G227-G231)-1</f>
        <v>-0.024086203253750327</v>
      </c>
      <c r="H41" s="20">
        <f>H40/(H227-H231)-1</f>
        <v>-0.03863922014997523</v>
      </c>
      <c r="I41" s="89"/>
      <c r="J41" s="1"/>
    </row>
    <row r="42">
      <c r="A42" s="1"/>
      <c r="B42" s="25" t="s">
        <v>61</v>
      </c>
      <c r="C42" s="5">
        <f>C40-(F227-F231)</f>
        <v>-18.381</v>
      </c>
      <c r="D42" s="5">
        <f>D40-C40</f>
        <v>3.788000000000011</v>
      </c>
      <c r="E42" s="5">
        <f>E40-D40</f>
        <v>-5.807000000000002</v>
      </c>
      <c r="F42" s="5">
        <f>F40-E40</f>
        <v>5.299999999999997</v>
      </c>
      <c r="G42" s="1"/>
      <c r="H42" s="37">
        <f>H40-F40</f>
        <v>-7.694333086309996</v>
      </c>
      <c r="I42" s="89"/>
      <c r="J42" s="1"/>
    </row>
    <row r="43">
      <c r="A43" s="1"/>
      <c r="B43" s="25" t="s">
        <v>157</v>
      </c>
      <c r="C43" s="9">
        <f>C37/C16</f>
        <v>0.6501536864795816</v>
      </c>
      <c r="D43" s="9">
        <f>D37/D16</f>
        <v>0.5977575332866153</v>
      </c>
      <c r="E43" s="9">
        <f>E37/E16</f>
        <v>0.648</v>
      </c>
      <c r="F43" s="9">
        <f>F37/F16</f>
        <v>0.5773584905660377</v>
      </c>
      <c r="G43" s="9">
        <f>G37/G16</f>
        <v>0.6174168297455969</v>
      </c>
      <c r="H43" s="38">
        <v>0.62</v>
      </c>
      <c r="I43" s="89"/>
      <c r="J43" s="1"/>
    </row>
    <row r="44">
      <c r="A44" s="1"/>
      <c r="B44" s="25" t="s">
        <v>158</v>
      </c>
      <c r="C44" s="24">
        <f>(C43-C230/C229)*10000</f>
        <v>691.9974718480948</v>
      </c>
      <c r="D44" s="24">
        <f>(D43-D230/D229)*10000</f>
        <v>-1652.860366657235</v>
      </c>
      <c r="E44" s="24">
        <f>(E43-E230/E229)*10000</f>
        <v>398.36734693877605</v>
      </c>
      <c r="F44" s="24">
        <f>(F43-F230/F229)*10000</f>
        <v>-137.3462684286919</v>
      </c>
      <c r="G44" s="24">
        <f>(G43-G230/G229)*10000</f>
        <v>-177.32193892635362</v>
      </c>
      <c r="H44" s="32">
        <f>(H43-H230/H229)*10000</f>
        <v>-301.5368647958161</v>
      </c>
      <c r="I44" s="89"/>
      <c r="J44" s="1"/>
    </row>
    <row r="45">
      <c r="A45" s="1"/>
      <c r="B45" s="25" t="s">
        <v>159</v>
      </c>
      <c r="C45" s="1"/>
      <c r="D45" s="24">
        <f>(D43-C43)*10000</f>
        <v>-523.9615319296631</v>
      </c>
      <c r="E45" s="24">
        <f>(E43-D43)*10000</f>
        <v>502.42466713384727</v>
      </c>
      <c r="F45" s="24">
        <f>(F43-E43)*10000</f>
        <v>-706.415094339623</v>
      </c>
      <c r="G45" s="1"/>
      <c r="H45" s="32">
        <f>(H43-F43)*10000</f>
        <v>426.4150943396228</v>
      </c>
      <c r="I45" s="89"/>
      <c r="J45" s="1"/>
    </row>
    <row r="46">
      <c r="A46" s="1"/>
      <c r="B46" s="15" t="s">
        <v>160</v>
      </c>
      <c r="C46" s="7">
        <f>C22-C40</f>
        <v>94.97</v>
      </c>
      <c r="D46" s="7">
        <f>D22-D40</f>
        <v>106.684</v>
      </c>
      <c r="E46" s="7">
        <f>E22-E40</f>
        <v>98.99999999999999</v>
      </c>
      <c r="F46" s="7">
        <f>F22-F40</f>
        <v>107.80000000000001</v>
      </c>
      <c r="G46" s="7">
        <f>G22-G40</f>
        <v>408.50000000000006</v>
      </c>
      <c r="H46" s="34">
        <f>H173-H179</f>
        <v>102.35701618131</v>
      </c>
      <c r="I46" s="89"/>
      <c r="J46" s="1"/>
    </row>
    <row r="47">
      <c r="A47" s="1"/>
      <c r="B47" s="25" t="s">
        <v>60</v>
      </c>
      <c r="C47" s="9">
        <f>C46/C231-1</f>
        <v>-0.09488591960048032</v>
      </c>
      <c r="D47" s="9">
        <f>D46/D231-1</f>
        <v>-0.05864290126180183</v>
      </c>
      <c r="E47" s="9">
        <f>E46/E231-1</f>
        <v>-0.10244786944696294</v>
      </c>
      <c r="F47" s="9">
        <f>F46/F231-1</f>
        <v>0.1603875134553283</v>
      </c>
      <c r="G47" s="9">
        <f>G46/G231-1</f>
        <v>-0.030612244897958996</v>
      </c>
      <c r="H47" s="20">
        <f>H46/H231-1</f>
        <v>0.07778262800157942</v>
      </c>
      <c r="I47" s="89"/>
      <c r="J47" s="1"/>
    </row>
    <row r="48">
      <c r="A48" s="1"/>
      <c r="B48" s="25" t="s">
        <v>61</v>
      </c>
      <c r="C48" s="5">
        <f>C46-F231</f>
        <v>2.069999999999993</v>
      </c>
      <c r="D48" s="5">
        <f>D46-C46</f>
        <v>11.713999999999999</v>
      </c>
      <c r="E48" s="5">
        <f>E46-D46</f>
        <v>-7.684000000000012</v>
      </c>
      <c r="F48" s="5">
        <f>F46-E46</f>
        <v>8.800000000000026</v>
      </c>
      <c r="G48" s="1"/>
      <c r="H48" s="37">
        <f>H46-F46</f>
        <v>-5.44298381869001</v>
      </c>
      <c r="I48" s="89"/>
      <c r="J48" s="1"/>
    </row>
    <row r="49">
      <c r="A49" s="1"/>
      <c r="B49" s="25" t="s">
        <v>161</v>
      </c>
      <c r="C49" s="9">
        <f>C46/C22</f>
        <v>0.45399136665885875</v>
      </c>
      <c r="D49" s="9">
        <f>D46/D22</f>
        <v>0.4748031741369258</v>
      </c>
      <c r="E49" s="9">
        <f>E46/E22</f>
        <v>0.46874999999999994</v>
      </c>
      <c r="F49" s="9">
        <f>F46/F22</f>
        <v>0.4784731469152242</v>
      </c>
      <c r="G49" s="9">
        <f>G46/G22</f>
        <v>0.4693244485294118</v>
      </c>
      <c r="H49" s="20">
        <f>H46/H22</f>
        <v>0.4824458980634103</v>
      </c>
      <c r="I49" s="89"/>
      <c r="J49" s="1"/>
    </row>
    <row r="50">
      <c r="A50" s="1"/>
      <c r="B50" s="25" t="s">
        <v>162</v>
      </c>
      <c r="C50" s="24">
        <f>(C49-C231/C227)*10000</f>
        <v>-296.18817519161564</v>
      </c>
      <c r="D50" s="24">
        <f>(D49-D231/D227)*10000</f>
        <v>-152.5554815592467</v>
      </c>
      <c r="E50" s="24">
        <f>(E49-E231/E227)*10000</f>
        <v>-303.4502262443445</v>
      </c>
      <c r="F50" s="24">
        <f>(F49-F231/F227)*10000</f>
        <v>664.9975445402683</v>
      </c>
      <c r="G50" s="24">
        <f>(G49-G231/G227)*10000</f>
        <v>-16.71416006186699</v>
      </c>
      <c r="H50" s="32">
        <f>(H49-H231/H227)*10000</f>
        <v>284.5453140455162</v>
      </c>
      <c r="I50" s="89"/>
      <c r="J50" s="1"/>
    </row>
    <row r="51">
      <c r="A51" s="1"/>
      <c r="B51" s="1"/>
      <c r="C51" s="1"/>
      <c r="D51" s="1"/>
      <c r="E51" s="1"/>
      <c r="F51" s="1"/>
      <c r="G51" s="1"/>
      <c r="H51" s="4"/>
      <c r="I51" s="89"/>
      <c r="J51" s="1"/>
    </row>
    <row r="52">
      <c r="A52" s="1"/>
      <c r="B52" s="16" t="s">
        <v>163</v>
      </c>
      <c r="C52" s="1"/>
      <c r="D52" s="1"/>
      <c r="E52" s="1"/>
      <c r="F52" s="1"/>
      <c r="G52" s="1"/>
      <c r="H52" s="4"/>
      <c r="I52" s="89"/>
      <c r="J52" s="1"/>
    </row>
    <row r="53">
      <c r="A53" s="1"/>
      <c r="B53" s="1" t="s">
        <v>164</v>
      </c>
      <c r="C53" s="3">
        <v>45.048</v>
      </c>
      <c r="D53" s="3">
        <v>42.29</v>
      </c>
      <c r="E53" s="3">
        <v>38.2</v>
      </c>
      <c r="F53" s="3">
        <v>41.1</v>
      </c>
      <c r="G53" s="3">
        <v>166.6</v>
      </c>
      <c r="H53" s="12">
        <v>43.5</v>
      </c>
      <c r="I53" s="89" t="s">
        <v>86</v>
      </c>
      <c r="J53" s="1"/>
    </row>
    <row r="54">
      <c r="A54" s="1"/>
      <c r="B54" s="25" t="s">
        <v>60</v>
      </c>
      <c r="C54" s="9">
        <f>C53/C232-1</f>
        <v>-0.016397737941876378</v>
      </c>
      <c r="D54" s="9">
        <f>D53/D232-1</f>
        <v>-0.09141690836824579</v>
      </c>
      <c r="E54" s="9">
        <f>E53/E232-1</f>
        <v>-0.1434977578475336</v>
      </c>
      <c r="F54" s="9">
        <f>F53/F232-1</f>
        <v>-0.12366737739872058</v>
      </c>
      <c r="G54" s="9">
        <f>G53/G232-1</f>
        <v>-0.09357997823721442</v>
      </c>
      <c r="H54" s="20">
        <f>H53/H232-1</f>
        <v>-0.03436334576451794</v>
      </c>
      <c r="I54" s="89"/>
      <c r="J54" s="1"/>
    </row>
    <row r="55">
      <c r="A55" s="1"/>
      <c r="B55" s="25" t="s">
        <v>61</v>
      </c>
      <c r="C55" s="5">
        <f>C53-F232</f>
        <v>-1.8519999999999968</v>
      </c>
      <c r="D55" s="5">
        <f>D53-C53</f>
        <v>-2.7580000000000027</v>
      </c>
      <c r="E55" s="5">
        <f>E53-D53</f>
        <v>-4.089999999999996</v>
      </c>
      <c r="F55" s="5">
        <f>F53-E53</f>
        <v>2.8999999999999986</v>
      </c>
      <c r="G55" s="1"/>
      <c r="H55" s="37">
        <f>H53-F53</f>
        <v>2.3999999999999986</v>
      </c>
      <c r="I55" s="89"/>
      <c r="J55" s="1"/>
    </row>
    <row r="56">
      <c r="A56" s="1"/>
      <c r="B56" s="1" t="s">
        <v>165</v>
      </c>
      <c r="C56" s="3">
        <v>60.888</v>
      </c>
      <c r="D56" s="3">
        <v>65.208</v>
      </c>
      <c r="E56" s="3">
        <v>60.3</v>
      </c>
      <c r="F56" s="3">
        <v>58.7</v>
      </c>
      <c r="G56" s="3">
        <v>245.1</v>
      </c>
      <c r="H56" s="10">
        <f>H63-H53-H60-H59</f>
        <v>60.400000000000006</v>
      </c>
      <c r="I56" s="89" t="s">
        <v>86</v>
      </c>
      <c r="J56" s="1"/>
    </row>
    <row r="57">
      <c r="A57" s="1"/>
      <c r="B57" s="25" t="s">
        <v>60</v>
      </c>
      <c r="C57" s="9">
        <f>C56/C233-1</f>
        <v>0.17837858760233005</v>
      </c>
      <c r="D57" s="9">
        <f>D56/D233-1</f>
        <v>0.12873240899413196</v>
      </c>
      <c r="E57" s="9">
        <f>E56/E233-1</f>
        <v>0.08064516129032251</v>
      </c>
      <c r="F57" s="9">
        <f>F56/F233-1</f>
        <v>0.10754716981132084</v>
      </c>
      <c r="G57" s="9">
        <f>G56/G233-1</f>
        <v>0.12328139321723186</v>
      </c>
      <c r="H57" s="20">
        <f>H56/H233-1</f>
        <v>-0.008014715543292472</v>
      </c>
      <c r="I57" s="89"/>
      <c r="J57" s="1"/>
    </row>
    <row r="58">
      <c r="A58" s="1"/>
      <c r="B58" s="25" t="s">
        <v>61</v>
      </c>
      <c r="C58" s="5">
        <f>C56-F233</f>
        <v>7.887999999999998</v>
      </c>
      <c r="D58" s="5">
        <f>D56-C56</f>
        <v>4.32</v>
      </c>
      <c r="E58" s="5">
        <f>E56-D56</f>
        <v>-4.908000000000001</v>
      </c>
      <c r="F58" s="5">
        <f>F56-E56</f>
        <v>-1.5999999999999943</v>
      </c>
      <c r="G58" s="1"/>
      <c r="H58" s="37">
        <f>H56-F56</f>
        <v>1.7000000000000028</v>
      </c>
      <c r="I58" s="89"/>
      <c r="J58" s="1"/>
    </row>
    <row r="59">
      <c r="A59" s="1"/>
      <c r="B59" s="1" t="s">
        <v>166</v>
      </c>
      <c r="C59" s="3">
        <v>0</v>
      </c>
      <c r="D59" s="3">
        <v>0</v>
      </c>
      <c r="E59" s="3">
        <v>0</v>
      </c>
      <c r="F59" s="3">
        <v>0</v>
      </c>
      <c r="G59" s="3">
        <v>0</v>
      </c>
      <c r="H59" s="12">
        <v>0</v>
      </c>
      <c r="I59" s="89" t="s">
        <v>86</v>
      </c>
      <c r="J59" s="1"/>
    </row>
    <row r="60">
      <c r="A60" s="1"/>
      <c r="B60" s="1" t="s">
        <v>167</v>
      </c>
      <c r="C60" s="3">
        <v>5.125</v>
      </c>
      <c r="D60" s="3">
        <v>4.563</v>
      </c>
      <c r="E60" s="3">
        <v>3.8</v>
      </c>
      <c r="F60" s="3">
        <v>4.9</v>
      </c>
      <c r="G60" s="3">
        <v>18.4</v>
      </c>
      <c r="H60" s="12">
        <v>6.5</v>
      </c>
      <c r="I60" s="89" t="s">
        <v>86</v>
      </c>
      <c r="J60" s="1"/>
    </row>
    <row r="61">
      <c r="A61" s="1"/>
      <c r="B61" s="25" t="s">
        <v>60</v>
      </c>
      <c r="C61" s="9">
        <f>C60/C234-1</f>
        <v>-0.014233506443546817</v>
      </c>
      <c r="D61" s="9">
        <f>D60/D234-1</f>
        <v>-0.10669537979639776</v>
      </c>
      <c r="E61" s="9">
        <f>E60/E234-1</f>
        <v>-0.15555555555555556</v>
      </c>
      <c r="F61" s="9">
        <f>F60/F234-1</f>
        <v>-0.2222222222222221</v>
      </c>
      <c r="G61" s="9">
        <f>G60/G234-1</f>
        <v>-0.12796208530805697</v>
      </c>
      <c r="H61" s="20">
        <f>H60/H234-1</f>
        <v>0.2682926829268293</v>
      </c>
      <c r="I61" s="89"/>
      <c r="J61" s="1"/>
    </row>
    <row r="62">
      <c r="A62" s="1"/>
      <c r="B62" s="25" t="s">
        <v>61</v>
      </c>
      <c r="C62" s="5">
        <f>C60-F234</f>
        <v>-1.1749999999999998</v>
      </c>
      <c r="D62" s="5">
        <f>D60-C60</f>
        <v>-0.5620000000000003</v>
      </c>
      <c r="E62" s="5">
        <f>E60-D60</f>
        <v>-0.7629999999999999</v>
      </c>
      <c r="F62" s="5">
        <f>F60-E60</f>
        <v>1.1000000000000005</v>
      </c>
      <c r="G62" s="1"/>
      <c r="H62" s="37">
        <f>H60-F60</f>
        <v>1.5999999999999996</v>
      </c>
      <c r="I62" s="89"/>
      <c r="J62" s="1"/>
    </row>
    <row r="63">
      <c r="A63" s="1"/>
      <c r="B63" s="15" t="s">
        <v>168</v>
      </c>
      <c r="C63" s="7">
        <f>C53+C56+C59+C60</f>
        <v>111.061</v>
      </c>
      <c r="D63" s="7">
        <f>D53+D56+D59+D60</f>
        <v>112.06099999999999</v>
      </c>
      <c r="E63" s="7">
        <f>E53+E56+E59+E60</f>
        <v>102.3</v>
      </c>
      <c r="F63" s="7">
        <f>F53+F56+F59+F60</f>
        <v>104.70000000000002</v>
      </c>
      <c r="G63" s="7">
        <f>G53+G56+G59+G60</f>
        <v>430.09999999999997</v>
      </c>
      <c r="H63" s="34">
        <f>H180+H114+H117+H123+H135+H138+H141+H142+H145+H152</f>
        <v>110.4</v>
      </c>
      <c r="I63" s="89"/>
      <c r="J63" s="1"/>
    </row>
    <row r="64">
      <c r="A64" s="1"/>
      <c r="B64" s="25" t="s">
        <v>169</v>
      </c>
      <c r="C64" s="9">
        <f>C63/C22</f>
        <v>0.5309122372591294</v>
      </c>
      <c r="D64" s="9">
        <f>D63/D22</f>
        <v>0.49873381666377375</v>
      </c>
      <c r="E64" s="9">
        <f>E63/E22</f>
        <v>0.484375</v>
      </c>
      <c r="F64" s="9">
        <f>F63/F22</f>
        <v>0.4647137150466046</v>
      </c>
      <c r="G64" s="9">
        <f>G63/G22</f>
        <v>0.4941406249999999</v>
      </c>
      <c r="H64" s="20">
        <f>H63/H22</f>
        <v>0.5203554102422726</v>
      </c>
      <c r="I64" s="89"/>
      <c r="J64" s="1"/>
    </row>
    <row r="65">
      <c r="A65" s="1"/>
      <c r="B65" s="25" t="s">
        <v>170</v>
      </c>
      <c r="C65" s="24">
        <f>(C64-C235/C227)*10000</f>
        <v>577.0470052492466</v>
      </c>
      <c r="D65" s="24">
        <f>(D64-D235/D227)*10000</f>
        <v>-19695.65658381414</v>
      </c>
      <c r="E65" s="24">
        <f>(E64-E235/E227)*10000</f>
        <v>97.1436651583707</v>
      </c>
      <c r="F65" s="24">
        <f>(F64-F235/F227)*10000</f>
        <v>-26576.80963445635</v>
      </c>
      <c r="G65" s="24">
        <f>(G64-G235/G227)*10000</f>
        <v>-11627.275989856938</v>
      </c>
      <c r="H65" s="32">
        <f>(H64-H235/H227)*10000</f>
        <v>-105.56827016856674</v>
      </c>
      <c r="I65" s="89"/>
      <c r="J65" s="1"/>
    </row>
    <row r="66">
      <c r="A66" s="1"/>
      <c r="B66" s="25" t="s">
        <v>171</v>
      </c>
      <c r="C66" s="9">
        <f>C60/C22</f>
        <v>0.024499376162226503</v>
      </c>
      <c r="D66" s="9">
        <f>D60/D22</f>
        <v>0.02030788950158217</v>
      </c>
      <c r="E66" s="9">
        <f>E60/E22</f>
        <v>0.017992424242424244</v>
      </c>
      <c r="F66" s="9">
        <f>F60/F22</f>
        <v>0.02174877940523746</v>
      </c>
      <c r="G66" s="9">
        <f>G60/G22</f>
        <v>0.02113970588235294</v>
      </c>
      <c r="H66" s="20">
        <f>H60/H22</f>
        <v>0.03063686745085844</v>
      </c>
      <c r="I66" s="89"/>
      <c r="J66" s="1"/>
    </row>
    <row r="67">
      <c r="A67" s="1"/>
      <c r="B67" s="25" t="s">
        <v>172</v>
      </c>
      <c r="C67" s="24">
        <f>(C66-C234/C227)*10000</f>
        <v>5.368754708675698</v>
      </c>
      <c r="D67" s="24">
        <f>(D66-D234/D227)*10000</f>
        <v>-17.79995025655807</v>
      </c>
      <c r="E67" s="24">
        <f>(E66-E234/E227)*10000</f>
        <v>-23.695667078020012</v>
      </c>
      <c r="F67" s="24">
        <f>(F66-F234/F227)*10000</f>
        <v>-61.891363375563316</v>
      </c>
      <c r="G67" s="24">
        <f>(G66-G234/G227)*10000</f>
        <v>-24.43618136871384</v>
      </c>
      <c r="H67" s="32">
        <f>(H66-H234/H227)*10000</f>
        <v>61.37491288631939</v>
      </c>
      <c r="I67" s="89"/>
      <c r="J67" s="1"/>
    </row>
    <row r="68">
      <c r="A68" s="1"/>
      <c r="B68" s="25" t="s">
        <v>173</v>
      </c>
      <c r="C68" s="1"/>
      <c r="D68" s="24">
        <f>(D66-C66)*10000</f>
        <v>-41.91486660644332</v>
      </c>
      <c r="E68" s="24">
        <f>(E66-D66)*10000</f>
        <v>-23.154652591579268</v>
      </c>
      <c r="F68" s="24">
        <f>(F66-E66)*10000</f>
        <v>37.563551628132174</v>
      </c>
      <c r="G68" s="1"/>
      <c r="H68" s="32">
        <f>(H66-F66)*10000</f>
        <v>88.88088045620978</v>
      </c>
      <c r="I68" s="89"/>
      <c r="J68" s="1"/>
    </row>
    <row r="69">
      <c r="A69" s="1"/>
      <c r="B69" s="15" t="s">
        <v>174</v>
      </c>
      <c r="C69" s="7">
        <f>C46-C63</f>
        <v>-16.091000000000008</v>
      </c>
      <c r="D69" s="7">
        <f>D46-D63</f>
        <v>-5.376999999999995</v>
      </c>
      <c r="E69" s="7">
        <f>E46-E63</f>
        <v>-3.3000000000000114</v>
      </c>
      <c r="F69" s="7">
        <f>F46-F63</f>
        <v>3.0999999999999943</v>
      </c>
      <c r="G69" s="7">
        <f>G46-G63</f>
        <v>-21.59999999999991</v>
      </c>
      <c r="H69" s="34">
        <f>H46-H63</f>
        <v>-8.042983818690004</v>
      </c>
      <c r="I69" s="89"/>
      <c r="J69" s="1"/>
    </row>
    <row r="70">
      <c r="A70" s="1"/>
      <c r="B70" s="25" t="s">
        <v>175</v>
      </c>
      <c r="C70" s="5">
        <f>C69-C236</f>
        <v>-18.34800000000001</v>
      </c>
      <c r="D70" s="5">
        <f>D69-D236</f>
        <v>452.10699999999997</v>
      </c>
      <c r="E70" s="5">
        <f>E69-E236</f>
        <v>-8.700000000000012</v>
      </c>
      <c r="F70" s="5">
        <f>F69-F236</f>
        <v>614.3000000000001</v>
      </c>
      <c r="G70" s="5">
        <f>G69-G236</f>
        <v>1039.4</v>
      </c>
      <c r="H70" s="37">
        <f>H69-H236</f>
        <v>8.048016181310004</v>
      </c>
      <c r="I70" s="89"/>
      <c r="J70" s="1"/>
    </row>
    <row r="71">
      <c r="A71" s="1"/>
      <c r="B71" s="25" t="s">
        <v>61</v>
      </c>
      <c r="C71" s="5">
        <f>C69-F236</f>
        <v>595.109</v>
      </c>
      <c r="D71" s="5">
        <f>D69-C69</f>
        <v>10.714000000000013</v>
      </c>
      <c r="E71" s="5">
        <f>E69-D69</f>
        <v>2.076999999999984</v>
      </c>
      <c r="F71" s="5">
        <f>F69-E69</f>
        <v>6.400000000000006</v>
      </c>
      <c r="G71" s="1"/>
      <c r="H71" s="37">
        <f>H69-F69</f>
        <v>-11.142983818689999</v>
      </c>
      <c r="I71" s="89"/>
      <c r="J71" s="1"/>
    </row>
    <row r="72">
      <c r="A72" s="1"/>
      <c r="B72" s="25" t="s">
        <v>176</v>
      </c>
      <c r="C72" s="9">
        <f>C69/C22</f>
        <v>-0.07692087060027061</v>
      </c>
      <c r="D72" s="9">
        <f>D69/D22</f>
        <v>-0.023930642526847963</v>
      </c>
      <c r="E72" s="9">
        <f>E69/E22</f>
        <v>-0.015625000000000056</v>
      </c>
      <c r="F72" s="9">
        <f>F69/F22</f>
        <v>0.013759431868619592</v>
      </c>
      <c r="G72" s="9">
        <f>G69/G22</f>
        <v>-0.02481617647058813</v>
      </c>
      <c r="H72" s="20">
        <f>H69/H22</f>
        <v>-0.03790951217886229</v>
      </c>
      <c r="I72" s="89"/>
      <c r="J72" s="1"/>
    </row>
    <row r="73">
      <c r="A73" s="1"/>
      <c r="B73" s="25" t="s">
        <v>177</v>
      </c>
      <c r="C73" s="24">
        <f>(C72-C236/C227)*10000</f>
        <v>-873.2351804408618</v>
      </c>
      <c r="D73" s="24">
        <f>(D72-D236/D227)*10000</f>
        <v>19543.101102254896</v>
      </c>
      <c r="E73" s="24">
        <f>(E72-E236/E227)*10000</f>
        <v>-400.5938914027154</v>
      </c>
      <c r="F73" s="24">
        <f>(F72-F236/F227)*10000</f>
        <v>27241.807178996616</v>
      </c>
      <c r="G73" s="24">
        <f>(G72-G236/G227)*10000</f>
        <v>11610.561829795068</v>
      </c>
      <c r="H73" s="32">
        <f>(H72-H236/H227)*10000</f>
        <v>390.11358421408306</v>
      </c>
      <c r="I73" s="89"/>
      <c r="J73" s="1"/>
    </row>
    <row r="74">
      <c r="A74" s="1"/>
      <c r="B74" s="1"/>
      <c r="C74" s="1"/>
      <c r="D74" s="1"/>
      <c r="E74" s="1"/>
      <c r="F74" s="1"/>
      <c r="G74" s="1"/>
      <c r="H74" s="4"/>
      <c r="I74" s="89"/>
      <c r="J74" s="1"/>
    </row>
    <row r="75">
      <c r="A75" s="1"/>
      <c r="B75" s="16" t="s">
        <v>178</v>
      </c>
      <c r="C75" s="1"/>
      <c r="D75" s="1"/>
      <c r="E75" s="1"/>
      <c r="F75" s="1"/>
      <c r="G75" s="1"/>
      <c r="H75" s="4"/>
      <c r="I75" s="89"/>
      <c r="J75" s="1"/>
    </row>
    <row r="76">
      <c r="A76" s="1"/>
      <c r="B76" s="1" t="s">
        <v>179</v>
      </c>
      <c r="C76" s="3">
        <v>-15.524</v>
      </c>
      <c r="D76" s="3">
        <v>-14.256</v>
      </c>
      <c r="E76" s="3">
        <v>-13.9</v>
      </c>
      <c r="F76" s="3">
        <v>-13.9</v>
      </c>
      <c r="G76" s="3">
        <v>-57.6</v>
      </c>
      <c r="H76" s="12">
        <v>-13.7</v>
      </c>
      <c r="I76" s="89" t="s">
        <v>86</v>
      </c>
      <c r="J76" s="1"/>
    </row>
    <row r="77">
      <c r="A77" s="1"/>
      <c r="B77" s="25" t="s">
        <v>60</v>
      </c>
      <c r="C77" s="9">
        <f>C76/C237-1</f>
        <v>-0.11905572579729884</v>
      </c>
      <c r="D77" s="9">
        <f>D76/D237-1</f>
        <v>-0.17913283814130254</v>
      </c>
      <c r="E77" s="9">
        <f>E76/E237-1</f>
        <v>-0.1823529411764706</v>
      </c>
      <c r="F77" s="9">
        <f>F76/F237-1</f>
        <v>-0.1575757575757576</v>
      </c>
      <c r="G77" s="9">
        <f>G76/G237-1</f>
        <v>-0.15912408759124086</v>
      </c>
      <c r="H77" s="20">
        <f>H76/H237-1</f>
        <v>-0.11749549085287292</v>
      </c>
      <c r="I77" s="89"/>
      <c r="J77" s="1"/>
    </row>
    <row r="78">
      <c r="A78" s="1"/>
      <c r="B78" s="25" t="s">
        <v>61</v>
      </c>
      <c r="C78" s="5">
        <f>C76-F237</f>
        <v>0.9760000000000009</v>
      </c>
      <c r="D78" s="5">
        <f>D76-C76</f>
        <v>1.267999999999999</v>
      </c>
      <c r="E78" s="5">
        <f>E76-D76</f>
        <v>0.35599999999999987</v>
      </c>
      <c r="F78" s="5">
        <f>F76-E76</f>
        <v>0</v>
      </c>
      <c r="G78" s="1"/>
      <c r="H78" s="37">
        <f>H76-F76</f>
        <v>0.20000000000000107</v>
      </c>
      <c r="I78" s="89"/>
      <c r="J78" s="1"/>
    </row>
    <row r="79">
      <c r="A79" s="1"/>
      <c r="B79" s="1" t="s">
        <v>180</v>
      </c>
      <c r="C79" s="21">
        <f>-'Cash Flow Statement'!C34</f>
        <v>76.39</v>
      </c>
      <c r="D79" s="21">
        <f>-'Cash Flow Statement'!D34</f>
        <v>0</v>
      </c>
      <c r="E79" s="82">
        <v>0</v>
      </c>
      <c r="F79" s="21">
        <f>-'Cash Flow Statement'!F34</f>
        <v>0</v>
      </c>
      <c r="G79" s="21">
        <f>-'Cash Flow Statement'!G34</f>
        <v>76.4</v>
      </c>
      <c r="H79" s="12">
        <v>0</v>
      </c>
      <c r="I79" s="89" t="s">
        <v>181</v>
      </c>
      <c r="J79" s="1"/>
    </row>
    <row r="80">
      <c r="A80" s="1"/>
      <c r="B80" s="1" t="s">
        <v>182</v>
      </c>
      <c r="C80" s="3">
        <v>-0.967</v>
      </c>
      <c r="D80" s="3">
        <v>-0.731</v>
      </c>
      <c r="E80" s="3">
        <v>-3.1</v>
      </c>
      <c r="F80" s="3">
        <v>-1.3</v>
      </c>
      <c r="G80" s="3">
        <v>-6.2</v>
      </c>
      <c r="H80" s="10">
        <f>H193-H120</f>
        <v>-0.8</v>
      </c>
      <c r="I80" s="89" t="s">
        <v>86</v>
      </c>
      <c r="J80" s="1"/>
    </row>
    <row r="81">
      <c r="A81" s="1"/>
      <c r="B81" s="25" t="s">
        <v>175</v>
      </c>
      <c r="C81" s="5">
        <f>C80-C238</f>
        <v>-0.723</v>
      </c>
      <c r="D81" s="5">
        <f>D80-D238</f>
        <v>0.9900000000000001</v>
      </c>
      <c r="E81" s="5">
        <f>E80-E238</f>
        <v>-5</v>
      </c>
      <c r="F81" s="5">
        <f>F80-F238</f>
        <v>2.2</v>
      </c>
      <c r="G81" s="5">
        <f>G80-G238</f>
        <v>-2.6</v>
      </c>
      <c r="H81" s="37">
        <f>H80-H238</f>
        <v>0.16699999999999993</v>
      </c>
      <c r="I81" s="89"/>
      <c r="J81" s="1"/>
    </row>
    <row r="82">
      <c r="A82" s="1"/>
      <c r="B82" s="25" t="s">
        <v>61</v>
      </c>
      <c r="C82" s="5">
        <f>C80-F238</f>
        <v>2.533</v>
      </c>
      <c r="D82" s="5">
        <f>D80-C80</f>
        <v>0.236</v>
      </c>
      <c r="E82" s="5">
        <f>E80-D80</f>
        <v>-2.369</v>
      </c>
      <c r="F82" s="5">
        <f>F80-E80</f>
        <v>1.8</v>
      </c>
      <c r="G82" s="1"/>
      <c r="H82" s="37">
        <f>H80-F80</f>
        <v>0.5</v>
      </c>
      <c r="I82" s="89"/>
      <c r="J82" s="1"/>
    </row>
    <row r="83">
      <c r="A83" s="1"/>
      <c r="B83" s="15" t="s">
        <v>183</v>
      </c>
      <c r="C83" s="7">
        <f>C76+C79+C80</f>
        <v>59.899</v>
      </c>
      <c r="D83" s="7">
        <f>D76+D79+D80</f>
        <v>-14.987</v>
      </c>
      <c r="E83" s="7">
        <f>E76+E79+E80</f>
        <v>-17</v>
      </c>
      <c r="F83" s="7">
        <f>F76+F79+F80</f>
        <v>-15.200000000000001</v>
      </c>
      <c r="G83" s="7">
        <f>G76+G79+G80</f>
        <v>12.600000000000005</v>
      </c>
      <c r="H83" s="34">
        <f>H76+H79+H80</f>
        <v>-14.5</v>
      </c>
      <c r="I83" s="89"/>
      <c r="J83" s="1"/>
    </row>
    <row r="84">
      <c r="A84" s="1"/>
      <c r="B84" s="15" t="s">
        <v>184</v>
      </c>
      <c r="C84" s="7">
        <f>C69+C83</f>
        <v>43.80799999999999</v>
      </c>
      <c r="D84" s="7">
        <f>D69+D83</f>
        <v>-20.363999999999997</v>
      </c>
      <c r="E84" s="7">
        <f>E69+E83</f>
        <v>-20.30000000000001</v>
      </c>
      <c r="F84" s="7">
        <f>F69+F83</f>
        <v>-12.100000000000007</v>
      </c>
      <c r="G84" s="7">
        <f>G69+G83</f>
        <v>-8.999999999999904</v>
      </c>
      <c r="H84" s="34">
        <f>H69+H83</f>
        <v>-22.542983818690004</v>
      </c>
      <c r="I84" s="89"/>
      <c r="J84" s="1"/>
    </row>
    <row r="85">
      <c r="A85" s="1"/>
      <c r="B85" s="25" t="s">
        <v>175</v>
      </c>
      <c r="C85" s="5">
        <f>C84-C243</f>
        <v>59.416999999999994</v>
      </c>
      <c r="D85" s="5">
        <f>D84-D243</f>
        <v>456.208</v>
      </c>
      <c r="E85" s="5">
        <f>E84-E243</f>
        <v>-10.600000000000012</v>
      </c>
      <c r="F85" s="5">
        <f>F84-F243</f>
        <v>619.1</v>
      </c>
      <c r="G85" s="5">
        <f>G84-G243</f>
        <v>1124.1</v>
      </c>
      <c r="H85" s="37">
        <f>H84-H243</f>
        <v>-66.35098381869</v>
      </c>
      <c r="I85" s="89"/>
      <c r="J85" s="1"/>
    </row>
    <row r="86">
      <c r="A86" s="1"/>
      <c r="B86" s="25" t="s">
        <v>61</v>
      </c>
      <c r="C86" s="5">
        <f>C84-F243</f>
        <v>675.008</v>
      </c>
      <c r="D86" s="5">
        <f>D84-C84</f>
        <v>-64.172</v>
      </c>
      <c r="E86" s="5">
        <f>E84-D84</f>
        <v>0.06399999999998585</v>
      </c>
      <c r="F86" s="5">
        <f>F84-E84</f>
        <v>8.200000000000005</v>
      </c>
      <c r="G86" s="1"/>
      <c r="H86" s="37">
        <f>H84-F84</f>
        <v>-10.442983818689997</v>
      </c>
      <c r="I86" s="89"/>
      <c r="J86" s="1"/>
    </row>
    <row r="87">
      <c r="A87" s="1"/>
      <c r="B87" s="1" t="s">
        <v>185</v>
      </c>
      <c r="C87" s="3">
        <v>7.47</v>
      </c>
      <c r="D87" s="3">
        <v>-4.44</v>
      </c>
      <c r="E87" s="3">
        <v>-3.3</v>
      </c>
      <c r="F87" s="3">
        <v>-0.8</v>
      </c>
      <c r="G87" s="3">
        <v>-1.1</v>
      </c>
      <c r="H87" s="10">
        <f>H209+H156</f>
        <v>-4.293175792859401</v>
      </c>
      <c r="I87" s="89" t="s">
        <v>86</v>
      </c>
      <c r="J87" s="1"/>
    </row>
    <row r="88">
      <c r="A88" s="1"/>
      <c r="B88" s="25" t="s">
        <v>175</v>
      </c>
      <c r="C88" s="5">
        <f>C87-C244</f>
        <v>10.469999999999999</v>
      </c>
      <c r="D88" s="5">
        <f>D87-D244</f>
        <v>15.849999999999998</v>
      </c>
      <c r="E88" s="5">
        <f>E87-E244</f>
        <v>-4.5</v>
      </c>
      <c r="F88" s="5">
        <f>F87-F244</f>
        <v>18.2</v>
      </c>
      <c r="G88" s="5">
        <f>G87-G244</f>
        <v>40</v>
      </c>
      <c r="H88" s="37">
        <f>H87-H244</f>
        <v>-11.7631757928594</v>
      </c>
      <c r="I88" s="89"/>
      <c r="J88" s="1"/>
    </row>
    <row r="89">
      <c r="A89" s="1"/>
      <c r="B89" s="25" t="s">
        <v>61</v>
      </c>
      <c r="C89" s="5">
        <f>C87-F244</f>
        <v>26.47</v>
      </c>
      <c r="D89" s="5">
        <f>D87-C87</f>
        <v>-11.91</v>
      </c>
      <c r="E89" s="5">
        <f>E87-D87</f>
        <v>1.1400000000000006</v>
      </c>
      <c r="F89" s="5">
        <f>F87-E87</f>
        <v>2.5</v>
      </c>
      <c r="G89" s="1"/>
      <c r="H89" s="37">
        <f>H87-F87</f>
        <v>-3.493175792859401</v>
      </c>
      <c r="I89" s="89"/>
      <c r="J89" s="1"/>
    </row>
    <row r="90">
      <c r="A90" s="1"/>
      <c r="B90" s="25" t="s">
        <v>186</v>
      </c>
      <c r="C90" s="9">
        <f>C87/C84</f>
        <v>0.17051680058436816</v>
      </c>
      <c r="D90" s="9">
        <f>D87/D84</f>
        <v>0.21803182086034184</v>
      </c>
      <c r="E90" s="9">
        <f>E87/E84</f>
        <v>0.16256157635467972</v>
      </c>
      <c r="F90" s="9">
        <f>F87/F84</f>
        <v>0.0661157024793388</v>
      </c>
      <c r="G90" s="9">
        <f>G87/G84</f>
        <v>0.12222222222222354</v>
      </c>
      <c r="H90" s="20">
        <f>H87/H84</f>
        <v>0.19044399035144594</v>
      </c>
      <c r="I90" s="89"/>
      <c r="J90" s="1"/>
    </row>
    <row r="91">
      <c r="A91" s="1"/>
      <c r="B91" s="25" t="s">
        <v>187</v>
      </c>
      <c r="C91" s="24">
        <f>(C90-C244/C243)*10000</f>
        <v>-216.80008948593593</v>
      </c>
      <c r="D91" s="24">
        <f>(D90-D244/D243)*10000</f>
        <v>1754.569318614078</v>
      </c>
      <c r="E91" s="24">
        <f>(E90-E244/E243)*10000</f>
        <v>2862.7291656086527</v>
      </c>
      <c r="F91" s="24">
        <f>(F90-F244/F243)*10000</f>
        <v>360.1430830950357</v>
      </c>
      <c r="G91" s="24">
        <f>(G90-G244/G243)*10000</f>
        <v>859.5004853940648</v>
      </c>
      <c r="H91" s="32">
        <f>(H90-H244/H243)*10000</f>
        <v>199.27189767077775</v>
      </c>
      <c r="I91" s="89"/>
      <c r="J91" s="1"/>
    </row>
    <row r="92">
      <c r="A92" s="1"/>
      <c r="B92" s="15" t="s">
        <v>188</v>
      </c>
      <c r="C92" s="7">
        <f>C84-C87</f>
        <v>36.337999999999994</v>
      </c>
      <c r="D92" s="7">
        <f>D84-D87</f>
        <v>-15.923999999999996</v>
      </c>
      <c r="E92" s="7">
        <f>E84-E87</f>
        <v>-17.00000000000001</v>
      </c>
      <c r="F92" s="7">
        <f>F84-F87</f>
        <v>-11.300000000000006</v>
      </c>
      <c r="G92" s="7">
        <f>G84-G87</f>
        <v>-7.899999999999904</v>
      </c>
      <c r="H92" s="34">
        <f>H84-H87</f>
        <v>-18.249808025830603</v>
      </c>
      <c r="I92" s="89"/>
      <c r="J92" s="1"/>
    </row>
    <row r="93">
      <c r="A93" s="1"/>
      <c r="B93" s="25" t="s">
        <v>175</v>
      </c>
      <c r="C93" s="5">
        <f>C92-C245</f>
        <v>48.946999999999996</v>
      </c>
      <c r="D93" s="5">
        <f>D92-D245</f>
        <v>440.358</v>
      </c>
      <c r="E93" s="5">
        <f>E92-E245</f>
        <v>-6.10000000000001</v>
      </c>
      <c r="F93" s="5">
        <f>F92-F245</f>
        <v>600.9000000000001</v>
      </c>
      <c r="G93" s="5">
        <f>G92-G245</f>
        <v>1084.1000000000001</v>
      </c>
      <c r="H93" s="37">
        <f>H92-H245</f>
        <v>-54.5878080258306</v>
      </c>
      <c r="I93" s="89"/>
      <c r="J93" s="1"/>
    </row>
    <row r="94">
      <c r="A94" s="1"/>
      <c r="B94" s="25" t="s">
        <v>61</v>
      </c>
      <c r="C94" s="5">
        <f>C92-F245</f>
        <v>648.538</v>
      </c>
      <c r="D94" s="5">
        <f>D92-C92</f>
        <v>-52.261999999999986</v>
      </c>
      <c r="E94" s="5">
        <f>E92-D92</f>
        <v>-1.0760000000000147</v>
      </c>
      <c r="F94" s="5">
        <f>F92-E92</f>
        <v>5.700000000000005</v>
      </c>
      <c r="G94" s="1"/>
      <c r="H94" s="37">
        <f>H92-F92</f>
        <v>-6.949808025830597</v>
      </c>
      <c r="I94" s="89"/>
      <c r="J94" s="1"/>
    </row>
    <row r="95">
      <c r="A95" s="1"/>
      <c r="B95" s="25" t="s">
        <v>189</v>
      </c>
      <c r="C95" s="9">
        <f>C92/C22</f>
        <v>0.17370894263082665</v>
      </c>
      <c r="D95" s="9">
        <f>D92/D22</f>
        <v>-0.07087066237633013</v>
      </c>
      <c r="E95" s="9">
        <f>E92/E22</f>
        <v>-0.0804924242424243</v>
      </c>
      <c r="F95" s="9">
        <f>F92/F22</f>
        <v>-0.05015534842432315</v>
      </c>
      <c r="G95" s="9">
        <f>G92/G22</f>
        <v>-0.009076286764705772</v>
      </c>
      <c r="H95" s="20">
        <f>H92/H22</f>
        <v>-0.08601799222938226</v>
      </c>
      <c r="I95" s="89"/>
      <c r="J95" s="1"/>
    </row>
    <row r="96">
      <c r="A96" s="1"/>
      <c r="B96" s="25" t="s">
        <v>190</v>
      </c>
      <c r="C96" s="24">
        <f>(C95-C245/C227)*10000</f>
        <v>2318.2457471725575</v>
      </c>
      <c r="D96" s="24">
        <f>(D95-D245/D227)*10000</f>
        <v>19021.724323490413</v>
      </c>
      <c r="E96" s="24">
        <f>(E95-E245/E227)*10000</f>
        <v>-311.71157274098505</v>
      </c>
      <c r="F96" s="24">
        <f>(F95-F245/F227)*10000</f>
        <v>26647.005274071624</v>
      </c>
      <c r="G96" s="24">
        <f>(G95-G245/G227)*10000</f>
        <v>12114.445582112636</v>
      </c>
      <c r="H96" s="32">
        <f>(H95-H245/H227)*10000</f>
        <v>-2597.2693486020885</v>
      </c>
      <c r="I96" s="89"/>
      <c r="J96" s="1"/>
    </row>
    <row r="97">
      <c r="A97" s="1"/>
      <c r="B97" s="1" t="s">
        <v>191</v>
      </c>
      <c r="C97" s="1"/>
      <c r="D97" s="1"/>
      <c r="E97" s="1"/>
      <c r="F97" s="1"/>
      <c r="G97" s="33" t="b">
        <f>ABS(G92-SUM(C92:F92))&lt;0.15</f>
        <v>1</v>
      </c>
      <c r="H97" s="4"/>
      <c r="I97" s="89"/>
      <c r="J97" s="1"/>
    </row>
    <row r="98">
      <c r="A98" s="1"/>
      <c r="B98" s="1"/>
      <c r="C98" s="1"/>
      <c r="D98" s="1"/>
      <c r="E98" s="1"/>
      <c r="F98" s="1"/>
      <c r="G98" s="1"/>
      <c r="H98" s="4"/>
      <c r="I98" s="89"/>
      <c r="J98" s="1"/>
    </row>
    <row r="99">
      <c r="A99" s="1"/>
      <c r="B99" s="16" t="s">
        <v>192</v>
      </c>
      <c r="C99" s="1"/>
      <c r="D99" s="1"/>
      <c r="E99" s="1"/>
      <c r="F99" s="1"/>
      <c r="G99" s="1"/>
      <c r="H99" s="4"/>
      <c r="I99" s="89"/>
      <c r="J99" s="1"/>
    </row>
    <row r="100">
      <c r="A100" s="1"/>
      <c r="B100" s="1" t="s">
        <v>193</v>
      </c>
      <c r="C100" s="21">
        <f>'Share Count'!C10</f>
        <v>217.217836</v>
      </c>
      <c r="D100" s="21">
        <f>'Share Count'!D10</f>
        <v>217.40827</v>
      </c>
      <c r="E100" s="21">
        <f>'Share Count'!E10</f>
        <v>217.7</v>
      </c>
      <c r="F100" s="21">
        <f>'Share Count'!F10</f>
        <v>217.7</v>
      </c>
      <c r="G100" s="21">
        <f>'Share Count'!G10</f>
        <v>217.5</v>
      </c>
      <c r="H100" s="48">
        <f>'Share Count'!H10</f>
        <v>218.306016</v>
      </c>
      <c r="I100" s="89"/>
      <c r="J100" s="1"/>
    </row>
    <row r="101">
      <c r="A101" s="1"/>
      <c r="B101" s="1" t="s">
        <v>194</v>
      </c>
      <c r="C101" s="21">
        <f>'Share Count'!C16</f>
        <v>217.334926</v>
      </c>
      <c r="D101" s="21">
        <f>'Share Count'!D16</f>
        <v>217.40827</v>
      </c>
      <c r="E101" s="21">
        <f>'Share Count'!E16</f>
        <v>217.7</v>
      </c>
      <c r="F101" s="21">
        <f>'Share Count'!F16</f>
        <v>217.7</v>
      </c>
      <c r="G101" s="21">
        <f>'Share Count'!G16</f>
        <v>217.5</v>
      </c>
      <c r="H101" s="48">
        <f>'Share Count'!H16</f>
        <v>218.306016</v>
      </c>
      <c r="I101" s="89"/>
      <c r="J101" s="1"/>
    </row>
    <row r="102">
      <c r="A102" s="1"/>
      <c r="B102" s="1" t="s">
        <v>195</v>
      </c>
      <c r="C102" s="11">
        <f>C92/C101</f>
        <v>0.1671981612380147</v>
      </c>
      <c r="D102" s="11">
        <f>D92/D101</f>
        <v>-0.07324468383838387</v>
      </c>
      <c r="E102" s="11">
        <f>E92/E101</f>
        <v>-0.07808911345888843</v>
      </c>
      <c r="F102" s="11">
        <f>F92/F101</f>
        <v>-0.05190629306384936</v>
      </c>
      <c r="G102" s="11">
        <f>G92/G101</f>
        <v>-0.03632183908045933</v>
      </c>
      <c r="H102" s="73">
        <f>H92/H101</f>
        <v>-0.08359736648682464</v>
      </c>
      <c r="I102" s="89"/>
      <c r="J102" s="1"/>
    </row>
    <row r="103">
      <c r="A103" s="1"/>
      <c r="B103" s="1" t="s">
        <v>196</v>
      </c>
      <c r="C103" s="11">
        <f>C92/C100</f>
        <v>0.1672882884258178</v>
      </c>
      <c r="D103" s="11">
        <f>D92/D100</f>
        <v>-0.07324468383838387</v>
      </c>
      <c r="E103" s="11">
        <f>E92/E100</f>
        <v>-0.07808911345888843</v>
      </c>
      <c r="F103" s="11">
        <f>F92/F100</f>
        <v>-0.05190629306384936</v>
      </c>
      <c r="G103" s="11">
        <f>G92/G100</f>
        <v>-0.03632183908045933</v>
      </c>
      <c r="H103" s="73">
        <f>H92/H100</f>
        <v>-0.08359736648682464</v>
      </c>
      <c r="I103" s="89"/>
      <c r="J103" s="1"/>
    </row>
    <row r="104">
      <c r="A104" s="1"/>
      <c r="B104" s="15" t="s">
        <v>197</v>
      </c>
      <c r="C104" s="80">
        <f>C107</f>
        <v>0.17</v>
      </c>
      <c r="D104" s="80">
        <f>D107</f>
        <v>-0.07</v>
      </c>
      <c r="E104" s="80">
        <f>E107</f>
        <v>-0.08</v>
      </c>
      <c r="F104" s="80">
        <f>F107</f>
        <v>-0.05</v>
      </c>
      <c r="G104" s="80">
        <f>G107</f>
        <v>-0.04</v>
      </c>
      <c r="H104" s="78">
        <f>ROUND(H102,2)</f>
        <v>-0.08</v>
      </c>
      <c r="I104" s="89"/>
      <c r="J104" s="1"/>
    </row>
    <row r="105">
      <c r="A105" s="1"/>
      <c r="B105" s="25" t="s">
        <v>175</v>
      </c>
      <c r="C105" s="74">
        <f>C104-C251</f>
        <v>0.23</v>
      </c>
      <c r="D105" s="74">
        <f>D104-D251</f>
        <v>2.0300000000000002</v>
      </c>
      <c r="E105" s="74">
        <f>E104-E251</f>
        <v>-0.03</v>
      </c>
      <c r="F105" s="74">
        <f>F104-F251</f>
        <v>2.77</v>
      </c>
      <c r="G105" s="74">
        <f>G104-G251</f>
        <v>4.99</v>
      </c>
      <c r="H105" s="77">
        <f>H104-H251</f>
        <v>-0.25</v>
      </c>
      <c r="I105" s="89"/>
      <c r="J105" s="1"/>
    </row>
    <row r="106">
      <c r="A106" s="1"/>
      <c r="B106" s="25" t="s">
        <v>61</v>
      </c>
      <c r="C106" s="74">
        <f>C104-F251</f>
        <v>2.9899999999999998</v>
      </c>
      <c r="D106" s="74">
        <f>D104-C104</f>
        <v>-0.24000000000000002</v>
      </c>
      <c r="E106" s="74">
        <f>E104-D104</f>
        <v>-0.009999999999999995</v>
      </c>
      <c r="F106" s="74">
        <f>F104-E104</f>
        <v>0.03</v>
      </c>
      <c r="G106" s="1"/>
      <c r="H106" s="77">
        <f>H104-F104</f>
        <v>-0.03</v>
      </c>
      <c r="I106" s="89"/>
      <c r="J106" s="1"/>
    </row>
    <row r="107">
      <c r="A107" s="1"/>
      <c r="B107" s="1" t="s">
        <v>198</v>
      </c>
      <c r="C107" s="66">
        <v>0.17</v>
      </c>
      <c r="D107" s="66">
        <v>-0.07</v>
      </c>
      <c r="E107" s="66">
        <v>-0.08</v>
      </c>
      <c r="F107" s="66">
        <v>-0.05</v>
      </c>
      <c r="G107" s="66">
        <v>-0.04</v>
      </c>
      <c r="H107" s="4"/>
      <c r="I107" s="89" t="s">
        <v>72</v>
      </c>
      <c r="J107" s="1"/>
    </row>
    <row r="108">
      <c r="A108" s="1"/>
      <c r="B108" s="1" t="s">
        <v>199</v>
      </c>
      <c r="C108" s="66">
        <v>0.17</v>
      </c>
      <c r="D108" s="66">
        <v>-0.07</v>
      </c>
      <c r="E108" s="66">
        <v>-0.08</v>
      </c>
      <c r="F108" s="66">
        <v>-0.05</v>
      </c>
      <c r="G108" s="66">
        <v>-0.04</v>
      </c>
      <c r="H108" s="4"/>
      <c r="I108" s="89" t="s">
        <v>118</v>
      </c>
      <c r="J108" s="1"/>
    </row>
    <row r="109">
      <c r="A109" s="1"/>
      <c r="B109" s="1" t="s">
        <v>200</v>
      </c>
      <c r="C109" s="33" t="b">
        <f>ROUND(C102,2)=C107</f>
        <v>1</v>
      </c>
      <c r="D109" s="33" t="b">
        <f>ROUND(D102,2)=D107</f>
        <v>1</v>
      </c>
      <c r="E109" s="33" t="b">
        <f>ROUND(E102,2)=E107</f>
        <v>1</v>
      </c>
      <c r="F109" s="33" t="b">
        <f>ROUND(F102,2)=F107</f>
        <v>1</v>
      </c>
      <c r="G109" s="33" t="b">
        <f>ROUND(G102,2)=G107</f>
        <v>1</v>
      </c>
      <c r="H109" s="4"/>
      <c r="I109" s="89"/>
      <c r="J109" s="1"/>
    </row>
    <row r="110">
      <c r="A110" s="1"/>
      <c r="B110" s="1"/>
      <c r="C110" s="1"/>
      <c r="D110" s="1"/>
      <c r="E110" s="1"/>
      <c r="F110" s="1"/>
      <c r="G110" s="1"/>
      <c r="H110" s="4"/>
      <c r="I110" s="89"/>
      <c r="J110" s="1"/>
    </row>
    <row r="111">
      <c r="A111" s="1"/>
      <c r="B111" s="16" t="s">
        <v>201</v>
      </c>
      <c r="C111" s="1"/>
      <c r="D111" s="1"/>
      <c r="E111" s="1"/>
      <c r="F111" s="1"/>
      <c r="G111" s="1"/>
      <c r="H111" s="4"/>
      <c r="I111" s="89"/>
      <c r="J111" s="1"/>
    </row>
    <row r="112">
      <c r="A112" s="1"/>
      <c r="B112" s="25" t="s">
        <v>202</v>
      </c>
      <c r="C112" s="1"/>
      <c r="D112" s="1"/>
      <c r="E112" s="1"/>
      <c r="F112" s="1"/>
      <c r="G112" s="1"/>
      <c r="H112" s="4"/>
      <c r="I112" s="89"/>
      <c r="J112" s="1"/>
    </row>
    <row r="113">
      <c r="A113" s="1"/>
      <c r="B113" s="1" t="s">
        <v>188</v>
      </c>
      <c r="C113" s="8">
        <f>C92</f>
        <v>36.337999999999994</v>
      </c>
      <c r="D113" s="8">
        <f>D92</f>
        <v>-15.923999999999996</v>
      </c>
      <c r="E113" s="8">
        <f>E92</f>
        <v>-17.00000000000001</v>
      </c>
      <c r="F113" s="8">
        <f>F92</f>
        <v>-11.300000000000006</v>
      </c>
      <c r="G113" s="8">
        <f>G92</f>
        <v>-7.899999999999904</v>
      </c>
      <c r="H113" s="10">
        <f>H92</f>
        <v>-18.249808025830603</v>
      </c>
      <c r="I113" s="89"/>
      <c r="J113" s="1"/>
    </row>
    <row r="114">
      <c r="A114" s="1"/>
      <c r="B114" s="1" t="s">
        <v>203</v>
      </c>
      <c r="C114" s="3">
        <v>22.486</v>
      </c>
      <c r="D114" s="3">
        <v>22.369</v>
      </c>
      <c r="E114" s="3">
        <v>22</v>
      </c>
      <c r="F114" s="3">
        <v>22.2</v>
      </c>
      <c r="G114" s="8">
        <f>SUM(C114:F114)</f>
        <v>89.055</v>
      </c>
      <c r="H114" s="12">
        <v>21.9</v>
      </c>
      <c r="I114" s="89" t="s">
        <v>72</v>
      </c>
      <c r="J114" s="1"/>
    </row>
    <row r="115">
      <c r="A115" s="1"/>
      <c r="B115" s="25" t="s">
        <v>61</v>
      </c>
      <c r="C115" s="1"/>
      <c r="D115" s="5">
        <f>D114-C114</f>
        <v>-0.11700000000000088</v>
      </c>
      <c r="E115" s="5">
        <f>E114-D114</f>
        <v>-0.3689999999999998</v>
      </c>
      <c r="F115" s="5">
        <f>F114-E114</f>
        <v>0.1999999999999993</v>
      </c>
      <c r="G115" s="1"/>
      <c r="H115" s="37">
        <f>H114-F114</f>
        <v>-0.3000000000000007</v>
      </c>
      <c r="I115" s="89"/>
      <c r="J115" s="1"/>
    </row>
    <row r="116">
      <c r="A116" s="1"/>
      <c r="B116" s="25" t="s">
        <v>204</v>
      </c>
      <c r="C116" s="1"/>
      <c r="D116" s="1"/>
      <c r="E116" s="1"/>
      <c r="F116" s="1"/>
      <c r="G116" s="1"/>
      <c r="H116" s="37">
        <f>H114-C114</f>
        <v>-0.5860000000000021</v>
      </c>
      <c r="I116" s="89"/>
      <c r="J116" s="1"/>
    </row>
    <row r="117">
      <c r="A117" s="1"/>
      <c r="B117" s="1" t="s">
        <v>205</v>
      </c>
      <c r="C117" s="21">
        <f>'Cash Flow Statement'!C19</f>
        <v>4.962</v>
      </c>
      <c r="D117" s="21">
        <f>'Cash Flow Statement'!D19</f>
        <v>4.338000000000001</v>
      </c>
      <c r="E117" s="21">
        <f>'Cash Flow Statement'!E19</f>
        <v>1.0999999999999996</v>
      </c>
      <c r="F117" s="21">
        <f>'Cash Flow Statement'!F19</f>
        <v>3</v>
      </c>
      <c r="G117" s="8">
        <f>SUM(C117:F117)</f>
        <v>13.4</v>
      </c>
      <c r="H117" s="12">
        <v>4</v>
      </c>
      <c r="I117" s="89" t="s">
        <v>72</v>
      </c>
      <c r="J117" s="1"/>
    </row>
    <row r="118">
      <c r="A118" s="1"/>
      <c r="B118" s="25" t="s">
        <v>61</v>
      </c>
      <c r="C118" s="1"/>
      <c r="D118" s="5">
        <f>D117-C117</f>
        <v>-0.6239999999999988</v>
      </c>
      <c r="E118" s="5">
        <f>E117-D117</f>
        <v>-3.2380000000000013</v>
      </c>
      <c r="F118" s="5">
        <f>F117-E117</f>
        <v>1.9000000000000004</v>
      </c>
      <c r="G118" s="1"/>
      <c r="H118" s="37">
        <f>H117-F117</f>
        <v>1</v>
      </c>
      <c r="I118" s="89"/>
      <c r="J118" s="1"/>
    </row>
    <row r="119">
      <c r="A119" s="1"/>
      <c r="B119" s="25" t="s">
        <v>204</v>
      </c>
      <c r="C119" s="1"/>
      <c r="D119" s="1"/>
      <c r="E119" s="1"/>
      <c r="F119" s="1"/>
      <c r="G119" s="1"/>
      <c r="H119" s="37">
        <f>H117-C117</f>
        <v>-0.9619999999999997</v>
      </c>
      <c r="I119" s="89"/>
      <c r="J119" s="1"/>
    </row>
    <row r="120">
      <c r="A120" s="1"/>
      <c r="B120" s="1" t="s">
        <v>206</v>
      </c>
      <c r="C120" s="3">
        <v>0.035</v>
      </c>
      <c r="D120" s="3">
        <v>0.18</v>
      </c>
      <c r="E120" s="3">
        <v>1.9</v>
      </c>
      <c r="F120" s="3">
        <v>0.5</v>
      </c>
      <c r="G120" s="8">
        <f>SUM(C120:F120)</f>
        <v>2.615</v>
      </c>
      <c r="H120" s="12">
        <v>0</v>
      </c>
      <c r="I120" s="89" t="s">
        <v>72</v>
      </c>
      <c r="J120" s="1"/>
    </row>
    <row r="121">
      <c r="A121" s="1"/>
      <c r="B121" s="25" t="s">
        <v>61</v>
      </c>
      <c r="C121" s="1"/>
      <c r="D121" s="5">
        <f>D120-C120</f>
        <v>0.145</v>
      </c>
      <c r="E121" s="5">
        <f>E120-D120</f>
        <v>1.72</v>
      </c>
      <c r="F121" s="5">
        <f>F120-E120</f>
        <v>-1.4</v>
      </c>
      <c r="G121" s="1"/>
      <c r="H121" s="37">
        <f>H120-F120</f>
        <v>-0.5</v>
      </c>
      <c r="I121" s="89"/>
      <c r="J121" s="1"/>
    </row>
    <row r="122">
      <c r="A122" s="1"/>
      <c r="B122" s="25" t="s">
        <v>204</v>
      </c>
      <c r="C122" s="1"/>
      <c r="D122" s="1"/>
      <c r="E122" s="1"/>
      <c r="F122" s="1"/>
      <c r="G122" s="1"/>
      <c r="H122" s="37">
        <f>H120-C120</f>
        <v>-0.035</v>
      </c>
      <c r="I122" s="89"/>
      <c r="J122" s="1"/>
    </row>
    <row r="123">
      <c r="A123" s="1"/>
      <c r="B123" s="1" t="s">
        <v>207</v>
      </c>
      <c r="C123" s="3">
        <v>2.914</v>
      </c>
      <c r="D123" s="3">
        <v>2.272</v>
      </c>
      <c r="E123" s="3">
        <v>3.7</v>
      </c>
      <c r="F123" s="3">
        <v>1.7</v>
      </c>
      <c r="G123" s="8">
        <f>SUM(C123:F123)</f>
        <v>10.586</v>
      </c>
      <c r="H123" s="12">
        <v>2</v>
      </c>
      <c r="I123" s="89" t="s">
        <v>72</v>
      </c>
      <c r="J123" s="1"/>
    </row>
    <row r="124">
      <c r="A124" s="1"/>
      <c r="B124" s="25" t="s">
        <v>61</v>
      </c>
      <c r="C124" s="1"/>
      <c r="D124" s="5">
        <f>D123-C123</f>
        <v>-0.6420000000000003</v>
      </c>
      <c r="E124" s="5">
        <f>E123-D123</f>
        <v>1.4280000000000004</v>
      </c>
      <c r="F124" s="5">
        <f>F123-E123</f>
        <v>-2</v>
      </c>
      <c r="G124" s="1"/>
      <c r="H124" s="37">
        <f>H123-F123</f>
        <v>0.30000000000000004</v>
      </c>
      <c r="I124" s="89"/>
      <c r="J124" s="1"/>
    </row>
    <row r="125">
      <c r="A125" s="1"/>
      <c r="B125" s="25" t="s">
        <v>204</v>
      </c>
      <c r="C125" s="1"/>
      <c r="D125" s="1"/>
      <c r="E125" s="1"/>
      <c r="F125" s="1"/>
      <c r="G125" s="1"/>
      <c r="H125" s="37">
        <f>H123-C123</f>
        <v>-0.9140000000000001</v>
      </c>
      <c r="I125" s="89"/>
      <c r="J125" s="1"/>
    </row>
    <row r="126">
      <c r="A126" s="1"/>
      <c r="B126" s="1" t="s">
        <v>208</v>
      </c>
      <c r="C126" s="3">
        <v>0.335</v>
      </c>
      <c r="D126" s="3">
        <v>0.336</v>
      </c>
      <c r="E126" s="3">
        <v>0.4</v>
      </c>
      <c r="F126" s="3">
        <v>0.4</v>
      </c>
      <c r="G126" s="8">
        <f>SUM(C126:F126)</f>
        <v>1.471</v>
      </c>
      <c r="H126" s="12">
        <v>0.3</v>
      </c>
      <c r="I126" s="89" t="s">
        <v>72</v>
      </c>
      <c r="J126" s="1"/>
    </row>
    <row r="127">
      <c r="A127" s="1"/>
      <c r="B127" s="25" t="s">
        <v>61</v>
      </c>
      <c r="C127" s="1"/>
      <c r="D127" s="5">
        <f>D126-C126</f>
        <v>0.0010000000000000009</v>
      </c>
      <c r="E127" s="5">
        <f>E126-D126</f>
        <v>0.064</v>
      </c>
      <c r="F127" s="5">
        <f>F126-E126</f>
        <v>0</v>
      </c>
      <c r="G127" s="1"/>
      <c r="H127" s="37">
        <f>H126-F126</f>
        <v>-0.10000000000000003</v>
      </c>
      <c r="I127" s="89"/>
      <c r="J127" s="1"/>
    </row>
    <row r="128">
      <c r="A128" s="1"/>
      <c r="B128" s="25" t="s">
        <v>204</v>
      </c>
      <c r="C128" s="1"/>
      <c r="D128" s="1"/>
      <c r="E128" s="1"/>
      <c r="F128" s="1"/>
      <c r="G128" s="1"/>
      <c r="H128" s="37">
        <f>H126-C126</f>
        <v>-0.03500000000000003</v>
      </c>
      <c r="I128" s="89"/>
      <c r="J128" s="1"/>
    </row>
    <row r="129">
      <c r="A129" s="1"/>
      <c r="B129" s="1" t="s">
        <v>209</v>
      </c>
      <c r="C129" s="3">
        <v>6.03</v>
      </c>
      <c r="D129" s="3">
        <v>2.787</v>
      </c>
      <c r="E129" s="3">
        <v>4.6</v>
      </c>
      <c r="F129" s="3">
        <v>-1</v>
      </c>
      <c r="G129" s="8">
        <f>SUM(C129:F129)</f>
        <v>12.417</v>
      </c>
      <c r="H129" s="12">
        <v>0.5</v>
      </c>
      <c r="I129" s="89" t="s">
        <v>72</v>
      </c>
      <c r="J129" s="1"/>
    </row>
    <row r="130">
      <c r="A130" s="1"/>
      <c r="B130" s="25" t="s">
        <v>61</v>
      </c>
      <c r="C130" s="1"/>
      <c r="D130" s="5">
        <f>D129-C129</f>
        <v>-3.2430000000000003</v>
      </c>
      <c r="E130" s="5">
        <f>E129-D129</f>
        <v>1.8129999999999997</v>
      </c>
      <c r="F130" s="5">
        <f>F129-E129</f>
        <v>-5.6</v>
      </c>
      <c r="G130" s="1"/>
      <c r="H130" s="37">
        <f>H129-F129</f>
        <v>1.5</v>
      </c>
      <c r="I130" s="89"/>
      <c r="J130" s="1"/>
    </row>
    <row r="131">
      <c r="A131" s="1"/>
      <c r="B131" s="25" t="s">
        <v>204</v>
      </c>
      <c r="C131" s="1"/>
      <c r="D131" s="1"/>
      <c r="E131" s="1"/>
      <c r="F131" s="1"/>
      <c r="G131" s="1"/>
      <c r="H131" s="37">
        <f>H129-C129</f>
        <v>-5.53</v>
      </c>
      <c r="I131" s="89"/>
      <c r="J131" s="1"/>
    </row>
    <row r="132">
      <c r="A132" s="1"/>
      <c r="B132" s="1" t="s">
        <v>210</v>
      </c>
      <c r="C132" s="3">
        <v>2.045</v>
      </c>
      <c r="D132" s="3">
        <v>3.636</v>
      </c>
      <c r="E132" s="3">
        <v>4.1</v>
      </c>
      <c r="F132" s="3">
        <v>2.2</v>
      </c>
      <c r="G132" s="8">
        <f>SUM(C132:F132)</f>
        <v>11.981</v>
      </c>
      <c r="H132" s="12">
        <v>2.5</v>
      </c>
      <c r="I132" s="89" t="s">
        <v>72</v>
      </c>
      <c r="J132" s="1"/>
    </row>
    <row r="133">
      <c r="A133" s="1"/>
      <c r="B133" s="25" t="s">
        <v>61</v>
      </c>
      <c r="C133" s="1"/>
      <c r="D133" s="5">
        <f>D132-C132</f>
        <v>1.5910000000000002</v>
      </c>
      <c r="E133" s="5">
        <f>E132-D132</f>
        <v>0.4639999999999995</v>
      </c>
      <c r="F133" s="5">
        <f>F132-E132</f>
        <v>-1.8999999999999995</v>
      </c>
      <c r="G133" s="1"/>
      <c r="H133" s="37">
        <f>H132-F132</f>
        <v>0.2999999999999998</v>
      </c>
      <c r="I133" s="89"/>
      <c r="J133" s="1"/>
    </row>
    <row r="134">
      <c r="A134" s="1"/>
      <c r="B134" s="25" t="s">
        <v>204</v>
      </c>
      <c r="C134" s="1"/>
      <c r="D134" s="1"/>
      <c r="E134" s="1"/>
      <c r="F134" s="1"/>
      <c r="G134" s="1"/>
      <c r="H134" s="37">
        <f>H132-C132</f>
        <v>0.45500000000000007</v>
      </c>
      <c r="I134" s="89"/>
      <c r="J134" s="1"/>
    </row>
    <row r="135">
      <c r="A135" s="1"/>
      <c r="B135" s="1" t="s">
        <v>211</v>
      </c>
      <c r="C135" s="3">
        <v>5.902</v>
      </c>
      <c r="D135" s="3">
        <v>5.046</v>
      </c>
      <c r="E135" s="3">
        <v>5.3</v>
      </c>
      <c r="F135" s="3">
        <v>4.4</v>
      </c>
      <c r="G135" s="8">
        <f>SUM(C135:F135)</f>
        <v>20.648</v>
      </c>
      <c r="H135" s="12">
        <v>6</v>
      </c>
      <c r="I135" s="89" t="s">
        <v>72</v>
      </c>
      <c r="J135" s="1"/>
    </row>
    <row r="136">
      <c r="A136" s="1"/>
      <c r="B136" s="25" t="s">
        <v>61</v>
      </c>
      <c r="C136" s="1"/>
      <c r="D136" s="5">
        <f>D135-C135</f>
        <v>-0.8559999999999999</v>
      </c>
      <c r="E136" s="5">
        <f>E135-D135</f>
        <v>0.25399999999999956</v>
      </c>
      <c r="F136" s="5">
        <f>F135-E135</f>
        <v>-0.8999999999999995</v>
      </c>
      <c r="G136" s="1"/>
      <c r="H136" s="37">
        <f>H135-F135</f>
        <v>1.5999999999999996</v>
      </c>
      <c r="I136" s="89"/>
      <c r="J136" s="1"/>
    </row>
    <row r="137">
      <c r="A137" s="1"/>
      <c r="B137" s="25" t="s">
        <v>204</v>
      </c>
      <c r="C137" s="1"/>
      <c r="D137" s="1"/>
      <c r="E137" s="1"/>
      <c r="F137" s="1"/>
      <c r="G137" s="1"/>
      <c r="H137" s="37">
        <f>H135-C135</f>
        <v>0.09799999999999986</v>
      </c>
      <c r="I137" s="89"/>
      <c r="J137" s="1"/>
    </row>
    <row r="138">
      <c r="A138" s="1"/>
      <c r="B138" s="1" t="s">
        <v>212</v>
      </c>
      <c r="C138" s="3">
        <v>0.333</v>
      </c>
      <c r="D138" s="3">
        <v>6.124</v>
      </c>
      <c r="E138" s="3">
        <v>0.4</v>
      </c>
      <c r="F138" s="3">
        <v>0.1</v>
      </c>
      <c r="G138" s="8">
        <f>SUM(C138:F138)</f>
        <v>6.957</v>
      </c>
      <c r="H138" s="12">
        <v>0.5</v>
      </c>
      <c r="I138" s="89" t="s">
        <v>72</v>
      </c>
      <c r="J138" s="1"/>
    </row>
    <row r="139">
      <c r="A139" s="1"/>
      <c r="B139" s="25" t="s">
        <v>61</v>
      </c>
      <c r="C139" s="1"/>
      <c r="D139" s="5">
        <f>D138-C138</f>
        <v>5.7909999999999995</v>
      </c>
      <c r="E139" s="5">
        <f>E138-D138</f>
        <v>-5.723999999999999</v>
      </c>
      <c r="F139" s="5">
        <f>F138-E138</f>
        <v>-0.30000000000000004</v>
      </c>
      <c r="G139" s="1"/>
      <c r="H139" s="37">
        <f>H138-F138</f>
        <v>0.4</v>
      </c>
      <c r="I139" s="89"/>
      <c r="J139" s="1"/>
    </row>
    <row r="140">
      <c r="A140" s="1"/>
      <c r="B140" s="25" t="s">
        <v>204</v>
      </c>
      <c r="C140" s="1"/>
      <c r="D140" s="1"/>
      <c r="E140" s="1"/>
      <c r="F140" s="1"/>
      <c r="G140" s="1"/>
      <c r="H140" s="37">
        <f>H138-C138</f>
        <v>0.16699999999999998</v>
      </c>
      <c r="I140" s="89"/>
      <c r="J140" s="1"/>
    </row>
    <row r="141">
      <c r="A141" s="1"/>
      <c r="B141" s="1" t="s">
        <v>213</v>
      </c>
      <c r="C141" s="3">
        <v>0</v>
      </c>
      <c r="D141" s="3">
        <v>0</v>
      </c>
      <c r="E141" s="3">
        <v>0</v>
      </c>
      <c r="F141" s="3">
        <v>0</v>
      </c>
      <c r="G141" s="8">
        <f>SUM(C141:F141)</f>
        <v>0</v>
      </c>
      <c r="H141" s="10">
        <f>H59</f>
        <v>0</v>
      </c>
      <c r="I141" s="89" t="s">
        <v>72</v>
      </c>
      <c r="J141" s="1"/>
    </row>
    <row r="142">
      <c r="A142" s="1"/>
      <c r="B142" s="1" t="s">
        <v>214</v>
      </c>
      <c r="C142" s="3">
        <v>0</v>
      </c>
      <c r="D142" s="3">
        <v>0</v>
      </c>
      <c r="E142" s="3">
        <v>0.9</v>
      </c>
      <c r="F142" s="3">
        <v>0</v>
      </c>
      <c r="G142" s="8">
        <f>SUM(C142:F142)</f>
        <v>0.9</v>
      </c>
      <c r="H142" s="12">
        <v>0</v>
      </c>
      <c r="I142" s="89" t="s">
        <v>72</v>
      </c>
      <c r="J142" s="1"/>
    </row>
    <row r="143">
      <c r="A143" s="1"/>
      <c r="B143" s="25" t="s">
        <v>61</v>
      </c>
      <c r="C143" s="1"/>
      <c r="D143" s="5">
        <f>D142-C142</f>
        <v>0</v>
      </c>
      <c r="E143" s="5">
        <f>E142-D142</f>
        <v>0.9</v>
      </c>
      <c r="F143" s="5">
        <f>F142-E142</f>
        <v>-0.9</v>
      </c>
      <c r="G143" s="1"/>
      <c r="H143" s="37">
        <f>H142-F142</f>
        <v>0</v>
      </c>
      <c r="I143" s="89"/>
      <c r="J143" s="1"/>
    </row>
    <row r="144">
      <c r="A144" s="1"/>
      <c r="B144" s="25" t="s">
        <v>204</v>
      </c>
      <c r="C144" s="1"/>
      <c r="D144" s="1"/>
      <c r="E144" s="1"/>
      <c r="F144" s="1"/>
      <c r="G144" s="1"/>
      <c r="H144" s="37">
        <f>H142-C142</f>
        <v>0</v>
      </c>
      <c r="I144" s="89"/>
      <c r="J144" s="1"/>
    </row>
    <row r="145">
      <c r="A145" s="1"/>
      <c r="B145" s="1" t="s">
        <v>215</v>
      </c>
      <c r="C145" s="3">
        <v>0.569</v>
      </c>
      <c r="D145" s="3">
        <v>0.57</v>
      </c>
      <c r="E145" s="3">
        <v>0.6</v>
      </c>
      <c r="F145" s="3">
        <v>0</v>
      </c>
      <c r="G145" s="8">
        <f>SUM(C145:F145)</f>
        <v>1.7389999999999999</v>
      </c>
      <c r="H145" s="12">
        <v>0</v>
      </c>
      <c r="I145" s="89" t="s">
        <v>72</v>
      </c>
      <c r="J145" s="1"/>
    </row>
    <row r="146">
      <c r="A146" s="1"/>
      <c r="B146" s="25" t="s">
        <v>61</v>
      </c>
      <c r="C146" s="1"/>
      <c r="D146" s="5">
        <f>D145-C145</f>
        <v>0.0010000000000000009</v>
      </c>
      <c r="E146" s="5">
        <f>E145-D145</f>
        <v>0.030000000000000027</v>
      </c>
      <c r="F146" s="5">
        <f>F145-E145</f>
        <v>-0.6</v>
      </c>
      <c r="G146" s="1"/>
      <c r="H146" s="37">
        <f>H145-F145</f>
        <v>0</v>
      </c>
      <c r="I146" s="89"/>
      <c r="J146" s="1"/>
    </row>
    <row r="147">
      <c r="A147" s="1"/>
      <c r="B147" s="25" t="s">
        <v>204</v>
      </c>
      <c r="C147" s="1"/>
      <c r="D147" s="1"/>
      <c r="E147" s="1"/>
      <c r="F147" s="1"/>
      <c r="G147" s="1"/>
      <c r="H147" s="37">
        <f>H145-C145</f>
        <v>-0.569</v>
      </c>
      <c r="I147" s="89"/>
      <c r="J147" s="1"/>
    </row>
    <row r="148">
      <c r="A148" s="1"/>
      <c r="B148" s="1" t="s">
        <v>216</v>
      </c>
      <c r="C148" s="8">
        <f>-C79</f>
        <v>-76.39</v>
      </c>
      <c r="D148" s="8">
        <f>-D79</f>
        <v>0</v>
      </c>
      <c r="E148" s="8">
        <f>-E79</f>
        <v>0</v>
      </c>
      <c r="F148" s="8">
        <f>-F79</f>
        <v>0</v>
      </c>
      <c r="G148" s="8">
        <f>SUM(C148:F148)</f>
        <v>-76.39</v>
      </c>
      <c r="H148" s="10">
        <f>-H79</f>
        <v>0</v>
      </c>
      <c r="I148" s="89" t="s">
        <v>72</v>
      </c>
      <c r="J148" s="1"/>
    </row>
    <row r="149">
      <c r="A149" s="1"/>
      <c r="B149" s="1" t="s">
        <v>217</v>
      </c>
      <c r="C149" s="3">
        <v>0</v>
      </c>
      <c r="D149" s="3">
        <v>0</v>
      </c>
      <c r="E149" s="3">
        <v>0</v>
      </c>
      <c r="F149" s="3">
        <v>2.4</v>
      </c>
      <c r="G149" s="8">
        <f>SUM(C149:F149)</f>
        <v>2.4</v>
      </c>
      <c r="H149" s="12">
        <v>0</v>
      </c>
      <c r="I149" s="89" t="s">
        <v>72</v>
      </c>
      <c r="J149" s="1"/>
    </row>
    <row r="150">
      <c r="A150" s="1"/>
      <c r="B150" s="25" t="s">
        <v>61</v>
      </c>
      <c r="C150" s="1"/>
      <c r="D150" s="5">
        <f>D149-C149</f>
        <v>0</v>
      </c>
      <c r="E150" s="5">
        <f>E149-D149</f>
        <v>0</v>
      </c>
      <c r="F150" s="5">
        <f>F149-E149</f>
        <v>2.4</v>
      </c>
      <c r="G150" s="1"/>
      <c r="H150" s="37">
        <f>H149-F149</f>
        <v>-2.4</v>
      </c>
      <c r="I150" s="89"/>
      <c r="J150" s="1"/>
    </row>
    <row r="151">
      <c r="A151" s="1"/>
      <c r="B151" s="25" t="s">
        <v>204</v>
      </c>
      <c r="C151" s="1"/>
      <c r="D151" s="1"/>
      <c r="E151" s="1"/>
      <c r="F151" s="1"/>
      <c r="G151" s="1"/>
      <c r="H151" s="37">
        <f>H149-C149</f>
        <v>0</v>
      </c>
      <c r="I151" s="89"/>
      <c r="J151" s="1"/>
    </row>
    <row r="152">
      <c r="A152" s="1"/>
      <c r="B152" s="1" t="s">
        <v>218</v>
      </c>
      <c r="C152" s="3">
        <v>0.347</v>
      </c>
      <c r="D152" s="3">
        <v>0.638</v>
      </c>
      <c r="E152" s="3">
        <v>2.7</v>
      </c>
      <c r="F152" s="3">
        <v>0.5</v>
      </c>
      <c r="G152" s="8">
        <f>SUM(C152:F152)</f>
        <v>4.1850000000000005</v>
      </c>
      <c r="H152" s="12">
        <v>1.5</v>
      </c>
      <c r="I152" s="89" t="s">
        <v>72</v>
      </c>
      <c r="J152" s="1"/>
    </row>
    <row r="153">
      <c r="A153" s="1"/>
      <c r="B153" s="25" t="s">
        <v>61</v>
      </c>
      <c r="C153" s="1"/>
      <c r="D153" s="5">
        <f>D152-C152</f>
        <v>0.29100000000000004</v>
      </c>
      <c r="E153" s="5">
        <f>E152-D152</f>
        <v>2.0620000000000003</v>
      </c>
      <c r="F153" s="5">
        <f>F152-E152</f>
        <v>-2.2</v>
      </c>
      <c r="G153" s="1"/>
      <c r="H153" s="37">
        <f>H152-F152</f>
        <v>1</v>
      </c>
      <c r="I153" s="89"/>
      <c r="J153" s="1"/>
    </row>
    <row r="154">
      <c r="A154" s="1"/>
      <c r="B154" s="25" t="s">
        <v>204</v>
      </c>
      <c r="C154" s="1"/>
      <c r="D154" s="1"/>
      <c r="E154" s="1"/>
      <c r="F154" s="1"/>
      <c r="G154" s="1"/>
      <c r="H154" s="37">
        <f>H152-C152</f>
        <v>1.153</v>
      </c>
      <c r="I154" s="89"/>
      <c r="J154" s="1"/>
    </row>
    <row r="155">
      <c r="A155" s="1"/>
      <c r="B155" s="15" t="s">
        <v>219</v>
      </c>
      <c r="C155" s="7">
        <f>C114+C117+C120+C123+C126+C129+C132+C135+C138+C141+C142+C145+C148+C149+C152</f>
        <v>-30.431999999999995</v>
      </c>
      <c r="D155" s="7">
        <f>D114+D117+D120+D123+D126+D129+D132+D135+D138+D141+D142+D145+D148+D149+D152</f>
        <v>48.296</v>
      </c>
      <c r="E155" s="7">
        <f>E114+E117+E120+E123+E126+E129+E132+E135+E138+E141+E142+E145+E148+E149+E152</f>
        <v>47.699999999999996</v>
      </c>
      <c r="F155" s="7">
        <f>F114+F117+F120+F123+F126+F129+F132+F135+F138+F141+F142+F145+F148+F149+F152</f>
        <v>36.4</v>
      </c>
      <c r="G155" s="7">
        <f>G114+G117+G120+G123+G126+G129+G132+G135+G138+G141+G142+G145+G148+G149+G152</f>
        <v>101.96400000000001</v>
      </c>
      <c r="H155" s="34">
        <f>H114+H117+H120+H123+H126+H129+H132+H135+H138+H141+H142+H145+H148+H149+H152</f>
        <v>39.2</v>
      </c>
      <c r="I155" s="89"/>
      <c r="J155" s="1"/>
    </row>
    <row r="156">
      <c r="A156" s="1"/>
      <c r="B156" s="1" t="s">
        <v>220</v>
      </c>
      <c r="C156" s="3">
        <v>3.541</v>
      </c>
      <c r="D156" s="3">
        <v>-9.756</v>
      </c>
      <c r="E156" s="3">
        <v>-11.3</v>
      </c>
      <c r="F156" s="3">
        <v>-6.4</v>
      </c>
      <c r="G156" s="8">
        <f>SUM(C156:F156)</f>
        <v>-23.915</v>
      </c>
      <c r="H156" s="10">
        <f>-H213*H155</f>
        <v>-8.624</v>
      </c>
      <c r="I156" s="89" t="s">
        <v>72</v>
      </c>
      <c r="J156" s="1"/>
    </row>
    <row r="157">
      <c r="A157" s="1"/>
      <c r="B157" s="15" t="s">
        <v>221</v>
      </c>
      <c r="C157" s="7">
        <f>C113+C155+C156</f>
        <v>9.447</v>
      </c>
      <c r="D157" s="7">
        <f>D113+D155+D156</f>
        <v>22.616</v>
      </c>
      <c r="E157" s="7">
        <f>E113+E155+E156</f>
        <v>19.399999999999984</v>
      </c>
      <c r="F157" s="7">
        <f>F113+F155+F156</f>
        <v>18.699999999999996</v>
      </c>
      <c r="G157" s="7">
        <f>G113+G155+G156</f>
        <v>70.14900000000011</v>
      </c>
      <c r="H157" s="34">
        <f>H113+H155+H156</f>
        <v>12.326191974169399</v>
      </c>
      <c r="I157" s="89"/>
      <c r="J157" s="1"/>
    </row>
    <row r="158">
      <c r="A158" s="1"/>
      <c r="B158" s="1" t="s">
        <v>222</v>
      </c>
      <c r="C158" s="3">
        <v>9.447</v>
      </c>
      <c r="D158" s="3">
        <v>22.616</v>
      </c>
      <c r="E158" s="3">
        <v>19.4</v>
      </c>
      <c r="F158" s="3">
        <v>18.7</v>
      </c>
      <c r="G158" s="3">
        <v>70.2</v>
      </c>
      <c r="H158" s="4"/>
      <c r="I158" s="89" t="s">
        <v>72</v>
      </c>
      <c r="J158" s="1"/>
    </row>
    <row r="159">
      <c r="A159" s="1"/>
      <c r="B159" s="1" t="s">
        <v>223</v>
      </c>
      <c r="C159" s="33" t="b">
        <f>ABS(C157-C158)&lt;0.15</f>
        <v>1</v>
      </c>
      <c r="D159" s="33" t="b">
        <f>ABS(D157-D158)&lt;0.15</f>
        <v>1</v>
      </c>
      <c r="E159" s="33" t="b">
        <f>ABS(E157-E158)&lt;0.15</f>
        <v>1</v>
      </c>
      <c r="F159" s="33" t="b">
        <f>ABS(F157-F158)&lt;0.15</f>
        <v>1</v>
      </c>
      <c r="G159" s="33" t="b">
        <f>ABS(G157-G158)&lt;0.15</f>
        <v>1</v>
      </c>
      <c r="H159" s="4"/>
      <c r="I159" s="89"/>
      <c r="J159" s="1"/>
    </row>
    <row r="160">
      <c r="A160" s="1"/>
      <c r="B160" s="25" t="s">
        <v>60</v>
      </c>
      <c r="C160" s="9">
        <f>C157/C249-1</f>
        <v>-0.34295451384058984</v>
      </c>
      <c r="D160" s="9">
        <f>D157/D249-1</f>
        <v>-0.07128777923784502</v>
      </c>
      <c r="E160" s="9">
        <f>E157/E249-1</f>
        <v>-0.07177033492823037</v>
      </c>
      <c r="F160" s="9">
        <f>F157/F249-1</f>
        <v>0.6548672566371676</v>
      </c>
      <c r="G160" s="9">
        <f>G157/G249-1</f>
        <v>-0.010592383638926561</v>
      </c>
      <c r="H160" s="20">
        <f>H157/H249-1</f>
        <v>0.3047731527648354</v>
      </c>
      <c r="I160" s="89"/>
      <c r="J160" s="1"/>
    </row>
    <row r="161">
      <c r="A161" s="1"/>
      <c r="B161" s="25" t="s">
        <v>61</v>
      </c>
      <c r="C161" s="5">
        <f>C157-F249</f>
        <v>-1.8530000000000015</v>
      </c>
      <c r="D161" s="5">
        <f>D157-C157</f>
        <v>13.169</v>
      </c>
      <c r="E161" s="5">
        <f>E157-D157</f>
        <v>-3.2160000000000153</v>
      </c>
      <c r="F161" s="5">
        <f>F157-E157</f>
        <v>-0.6999999999999886</v>
      </c>
      <c r="G161" s="1"/>
      <c r="H161" s="37">
        <f>H157-F157</f>
        <v>-6.373808025830597</v>
      </c>
      <c r="I161" s="89"/>
      <c r="J161" s="1"/>
    </row>
    <row r="162">
      <c r="A162" s="1"/>
      <c r="B162" s="1" t="s">
        <v>224</v>
      </c>
      <c r="C162" s="21">
        <f>'Share Count'!C18</f>
        <v>217.334926</v>
      </c>
      <c r="D162" s="21">
        <f>'Share Count'!D18</f>
        <v>217.40827</v>
      </c>
      <c r="E162" s="21">
        <f>'Share Count'!E18</f>
        <v>217.7</v>
      </c>
      <c r="F162" s="21">
        <f>'Share Count'!F18</f>
        <v>217.7</v>
      </c>
      <c r="G162" s="21">
        <f>'Share Count'!G18</f>
        <v>217.5</v>
      </c>
      <c r="H162" s="48">
        <f>'Share Count'!H18</f>
        <v>218.306016</v>
      </c>
      <c r="I162" s="89"/>
      <c r="J162" s="1"/>
    </row>
    <row r="163">
      <c r="A163" s="1"/>
      <c r="B163" s="1" t="s">
        <v>225</v>
      </c>
      <c r="C163" s="11">
        <f>C157/C162</f>
        <v>0.04346747287180156</v>
      </c>
      <c r="D163" s="11">
        <f>D157/D162</f>
        <v>0.10402548164336159</v>
      </c>
      <c r="E163" s="11">
        <f>E157/E162</f>
        <v>0.08911345888837843</v>
      </c>
      <c r="F163" s="11">
        <f>F157/F162</f>
        <v>0.0858980248047772</v>
      </c>
      <c r="G163" s="11">
        <f>G157/G162</f>
        <v>0.322524137931035</v>
      </c>
      <c r="H163" s="73">
        <f>H157/H162</f>
        <v>0.05646290560389045</v>
      </c>
      <c r="I163" s="89"/>
      <c r="J163" s="1"/>
    </row>
    <row r="164">
      <c r="A164" s="1"/>
      <c r="B164" s="15" t="s">
        <v>226</v>
      </c>
      <c r="C164" s="80">
        <f>C165</f>
        <v>0.04</v>
      </c>
      <c r="D164" s="80">
        <f>D165</f>
        <v>0.1</v>
      </c>
      <c r="E164" s="80">
        <f>E165</f>
        <v>0.09</v>
      </c>
      <c r="F164" s="80">
        <f>F165</f>
        <v>0.09</v>
      </c>
      <c r="G164" s="80">
        <f>G165</f>
        <v>0.32</v>
      </c>
      <c r="H164" s="78">
        <f>ROUND(H163,2)</f>
        <v>0.06</v>
      </c>
      <c r="I164" s="89"/>
      <c r="J164" s="1"/>
    </row>
    <row r="165">
      <c r="A165" s="1"/>
      <c r="B165" s="1" t="s">
        <v>227</v>
      </c>
      <c r="C165" s="66">
        <v>0.04</v>
      </c>
      <c r="D165" s="66">
        <v>0.1</v>
      </c>
      <c r="E165" s="66">
        <v>0.09</v>
      </c>
      <c r="F165" s="66">
        <v>0.09</v>
      </c>
      <c r="G165" s="66">
        <v>0.32</v>
      </c>
      <c r="H165" s="4"/>
      <c r="I165" s="89" t="s">
        <v>72</v>
      </c>
      <c r="J165" s="1"/>
    </row>
    <row r="166">
      <c r="A166" s="1"/>
      <c r="B166" s="1" t="s">
        <v>228</v>
      </c>
      <c r="C166" s="33" t="b">
        <f>ROUND(C163,2)=C165</f>
        <v>1</v>
      </c>
      <c r="D166" s="33" t="b">
        <f>ROUND(D163,2)=D165</f>
        <v>1</v>
      </c>
      <c r="E166" s="33" t="b">
        <f>ROUND(E163,2)=E165</f>
        <v>1</v>
      </c>
      <c r="F166" s="33" t="b">
        <f>ROUND(F163,2)=F165</f>
        <v>1</v>
      </c>
      <c r="G166" s="33" t="b">
        <f>ROUND(G163,2)=G165</f>
        <v>1</v>
      </c>
      <c r="H166" s="4"/>
      <c r="I166" s="89"/>
      <c r="J166" s="1"/>
    </row>
    <row r="167">
      <c r="A167" s="1"/>
      <c r="B167" s="25" t="s">
        <v>175</v>
      </c>
      <c r="C167" s="74">
        <f>C164-C250</f>
        <v>-0.030000000000000006</v>
      </c>
      <c r="D167" s="74">
        <f>D164-D250</f>
        <v>-0.009999999999999995</v>
      </c>
      <c r="E167" s="74">
        <f>E164-E250</f>
        <v>-0.010000000000000009</v>
      </c>
      <c r="F167" s="74">
        <f>F164-F250</f>
        <v>0.039999999999999994</v>
      </c>
      <c r="G167" s="74">
        <f>G164-G250</f>
        <v>-0.010000000000000009</v>
      </c>
      <c r="H167" s="77">
        <f>H164-H250</f>
        <v>0.019999999999999997</v>
      </c>
      <c r="I167" s="89"/>
      <c r="J167" s="1"/>
    </row>
    <row r="168">
      <c r="A168" s="1"/>
      <c r="B168" s="25" t="s">
        <v>61</v>
      </c>
      <c r="C168" s="74">
        <f>C164-F250</f>
        <v>-0.010000000000000002</v>
      </c>
      <c r="D168" s="74">
        <f>D164-C164</f>
        <v>0.060000000000000005</v>
      </c>
      <c r="E168" s="74">
        <f>E164-D164</f>
        <v>-0.010000000000000009</v>
      </c>
      <c r="F168" s="74">
        <f>F164-E164</f>
        <v>0</v>
      </c>
      <c r="G168" s="1"/>
      <c r="H168" s="77">
        <f>H164-F164</f>
        <v>-0.03</v>
      </c>
      <c r="I168" s="89"/>
      <c r="J168" s="1"/>
    </row>
    <row r="169">
      <c r="A169" s="1"/>
      <c r="B169" s="1" t="s">
        <v>229</v>
      </c>
      <c r="C169" s="1"/>
      <c r="D169" s="1"/>
      <c r="E169" s="1"/>
      <c r="F169" s="1"/>
      <c r="G169" s="1"/>
      <c r="H169" s="75">
        <f>Inputs!C49</f>
        <v>0.05</v>
      </c>
      <c r="I169" s="89"/>
      <c r="J169" s="1"/>
    </row>
    <row r="170">
      <c r="A170" s="1"/>
      <c r="B170" s="25" t="s">
        <v>230</v>
      </c>
      <c r="C170" s="1"/>
      <c r="D170" s="1"/>
      <c r="E170" s="1"/>
      <c r="F170" s="1"/>
      <c r="G170" s="1"/>
      <c r="H170" s="77">
        <f>H164-H169</f>
        <v>0.009999999999999995</v>
      </c>
      <c r="I170" s="89"/>
      <c r="J170" s="1"/>
    </row>
    <row r="171">
      <c r="A171" s="1"/>
      <c r="B171" s="1"/>
      <c r="C171" s="1"/>
      <c r="D171" s="1"/>
      <c r="E171" s="1"/>
      <c r="F171" s="1"/>
      <c r="G171" s="1"/>
      <c r="H171" s="4"/>
      <c r="I171" s="89"/>
      <c r="J171" s="1"/>
    </row>
    <row r="172">
      <c r="A172" s="1"/>
      <c r="B172" s="16" t="s">
        <v>231</v>
      </c>
      <c r="C172" s="1"/>
      <c r="D172" s="1"/>
      <c r="E172" s="1"/>
      <c r="F172" s="1"/>
      <c r="G172" s="1"/>
      <c r="H172" s="4"/>
      <c r="I172" s="89"/>
      <c r="J172" s="1"/>
    </row>
    <row r="173">
      <c r="A173" s="1"/>
      <c r="B173" s="15" t="s">
        <v>232</v>
      </c>
      <c r="C173" s="7" t="s">
        <v>89</v>
      </c>
      <c r="D173" s="7" t="s">
        <v>89</v>
      </c>
      <c r="E173" s="30">
        <v>109.2</v>
      </c>
      <c r="F173" s="30">
        <v>111.9</v>
      </c>
      <c r="G173" s="30">
        <v>437.8</v>
      </c>
      <c r="H173" s="34">
        <f>H22*H176</f>
        <v>105.65701618131</v>
      </c>
      <c r="I173" s="89" t="s">
        <v>233</v>
      </c>
      <c r="J173" s="1"/>
    </row>
    <row r="174">
      <c r="A174" s="1"/>
      <c r="B174" s="25" t="s">
        <v>60</v>
      </c>
      <c r="C174" s="9" t="s">
        <v>89</v>
      </c>
      <c r="D174" s="9" t="s">
        <v>89</v>
      </c>
      <c r="E174" s="9">
        <f>E173/E246-1</f>
        <v>-0.037885462555066085</v>
      </c>
      <c r="F174" s="9">
        <f>F173/F246-1</f>
        <v>0.06876790830945567</v>
      </c>
      <c r="G174" s="9">
        <f>G173/G246-1</f>
        <v>-0.02581219403649304</v>
      </c>
      <c r="H174" s="20" t="s">
        <v>89</v>
      </c>
      <c r="I174" s="89"/>
      <c r="J174" s="1"/>
    </row>
    <row r="175">
      <c r="A175" s="1"/>
      <c r="B175" s="25" t="s">
        <v>61</v>
      </c>
      <c r="C175" s="1"/>
      <c r="D175" s="1"/>
      <c r="E175" s="1"/>
      <c r="F175" s="5">
        <f>F173-E173</f>
        <v>2.700000000000003</v>
      </c>
      <c r="G175" s="1"/>
      <c r="H175" s="37">
        <f>H173-F173</f>
        <v>-6.242983818690007</v>
      </c>
      <c r="I175" s="89"/>
      <c r="J175" s="1"/>
    </row>
    <row r="176">
      <c r="A176" s="1"/>
      <c r="B176" s="25" t="s">
        <v>234</v>
      </c>
      <c r="C176" s="9" t="s">
        <v>89</v>
      </c>
      <c r="D176" s="9" t="s">
        <v>89</v>
      </c>
      <c r="E176" s="9">
        <f>E173/E22</f>
        <v>0.5170454545454546</v>
      </c>
      <c r="F176" s="9">
        <f>F173/F22</f>
        <v>0.4966711051930759</v>
      </c>
      <c r="G176" s="9">
        <f>G173/G22</f>
        <v>0.5029871323529411</v>
      </c>
      <c r="H176" s="38">
        <v>0.498</v>
      </c>
      <c r="I176" s="89"/>
      <c r="J176" s="1"/>
    </row>
    <row r="177">
      <c r="A177" s="1"/>
      <c r="B177" s="25" t="s">
        <v>235</v>
      </c>
      <c r="C177" s="24" t="s">
        <v>89</v>
      </c>
      <c r="D177" s="24" t="s">
        <v>89</v>
      </c>
      <c r="E177" s="24">
        <f>(E176-E246/E227)*10000</f>
        <v>34.70793911970471</v>
      </c>
      <c r="F177" s="24">
        <f>(F176-F246/F227)*10000</f>
        <v>323.69553086645743</v>
      </c>
      <c r="G177" s="24">
        <f>(G176-G246/G227)*10000</f>
        <v>6.958615359075049</v>
      </c>
      <c r="H177" s="32" t="s">
        <v>89</v>
      </c>
      <c r="I177" s="89"/>
      <c r="J177" s="1"/>
    </row>
    <row r="178">
      <c r="A178" s="1"/>
      <c r="B178" s="25" t="s">
        <v>236</v>
      </c>
      <c r="C178" s="1"/>
      <c r="D178" s="1"/>
      <c r="E178" s="1"/>
      <c r="F178" s="24">
        <f>(F176-E176)*10000</f>
        <v>-203.74349352378695</v>
      </c>
      <c r="G178" s="1"/>
      <c r="H178" s="32">
        <f>(H176-F176)*10000</f>
        <v>13.28894806924108</v>
      </c>
      <c r="I178" s="89"/>
      <c r="J178" s="1"/>
    </row>
    <row r="179">
      <c r="A179" s="1"/>
      <c r="B179" s="1" t="s">
        <v>237</v>
      </c>
      <c r="C179" s="1"/>
      <c r="D179" s="1"/>
      <c r="E179" s="8">
        <f>E173-E46</f>
        <v>10.200000000000017</v>
      </c>
      <c r="F179" s="8">
        <f>F173-F46</f>
        <v>4.099999999999994</v>
      </c>
      <c r="G179" s="8">
        <f>G173-G46</f>
        <v>29.299999999999955</v>
      </c>
      <c r="H179" s="10">
        <f>H126+H129+H132+H149</f>
        <v>3.3</v>
      </c>
      <c r="I179" s="89"/>
      <c r="J179" s="1"/>
    </row>
    <row r="180">
      <c r="A180" s="1"/>
      <c r="B180" s="1" t="s">
        <v>238</v>
      </c>
      <c r="C180" s="8" t="s">
        <v>89</v>
      </c>
      <c r="D180" s="8" t="s">
        <v>89</v>
      </c>
      <c r="E180" s="8">
        <f>E173-E183</f>
        <v>67</v>
      </c>
      <c r="F180" s="3">
        <v>72.8</v>
      </c>
      <c r="G180" s="3">
        <v>283.9</v>
      </c>
      <c r="H180" s="12">
        <v>74.5</v>
      </c>
      <c r="I180" s="89" t="s">
        <v>239</v>
      </c>
      <c r="J180" s="1"/>
    </row>
    <row r="181">
      <c r="A181" s="1"/>
      <c r="B181" s="25" t="s">
        <v>61</v>
      </c>
      <c r="C181" s="1"/>
      <c r="D181" s="1"/>
      <c r="E181" s="1"/>
      <c r="F181" s="5">
        <f>F180-E180</f>
        <v>5.799999999999997</v>
      </c>
      <c r="G181" s="1"/>
      <c r="H181" s="37">
        <f>H180-F180</f>
        <v>1.7000000000000028</v>
      </c>
      <c r="I181" s="89"/>
      <c r="J181" s="1"/>
    </row>
    <row r="182">
      <c r="A182" s="1"/>
      <c r="B182" s="25" t="s">
        <v>60</v>
      </c>
      <c r="C182" s="1"/>
      <c r="D182" s="1"/>
      <c r="E182" s="9">
        <f>E180/(E246-E247)-1</f>
        <v>-0.05500705218617774</v>
      </c>
      <c r="F182" s="9">
        <f>F180/(F246-F247)-1</f>
        <v>0.0444763271162123</v>
      </c>
      <c r="G182" s="9">
        <f>G180/(G246-G247)-1</f>
        <v>-0.015261879986125493</v>
      </c>
      <c r="H182" s="4"/>
      <c r="I182" s="89"/>
      <c r="J182" s="1"/>
    </row>
    <row r="183">
      <c r="A183" s="1"/>
      <c r="B183" s="15" t="s">
        <v>240</v>
      </c>
      <c r="C183" s="7" t="s">
        <v>89</v>
      </c>
      <c r="D183" s="7" t="s">
        <v>89</v>
      </c>
      <c r="E183" s="30">
        <v>42.2</v>
      </c>
      <c r="F183" s="30">
        <v>39.1</v>
      </c>
      <c r="G183" s="30">
        <v>153.9</v>
      </c>
      <c r="H183" s="34">
        <f>H173-H180</f>
        <v>31.15701618131</v>
      </c>
      <c r="I183" s="89" t="s">
        <v>233</v>
      </c>
      <c r="J183" s="1"/>
    </row>
    <row r="184">
      <c r="A184" s="1"/>
      <c r="B184" s="25" t="s">
        <v>60</v>
      </c>
      <c r="C184" s="9" t="s">
        <v>89</v>
      </c>
      <c r="D184" s="9" t="s">
        <v>89</v>
      </c>
      <c r="E184" s="9">
        <f>E183/E247-1</f>
        <v>-0.009389671361502261</v>
      </c>
      <c r="F184" s="9">
        <f>F183/F247-1</f>
        <v>0.11714285714285722</v>
      </c>
      <c r="G184" s="9">
        <f>G183/G247-1</f>
        <v>-0.04469273743016755</v>
      </c>
      <c r="H184" s="20" t="s">
        <v>89</v>
      </c>
      <c r="I184" s="89"/>
      <c r="J184" s="1"/>
    </row>
    <row r="185">
      <c r="A185" s="1"/>
      <c r="B185" s="25" t="s">
        <v>61</v>
      </c>
      <c r="C185" s="1"/>
      <c r="D185" s="1"/>
      <c r="E185" s="1"/>
      <c r="F185" s="5">
        <f>F183-E183</f>
        <v>-3.1000000000000014</v>
      </c>
      <c r="G185" s="1"/>
      <c r="H185" s="37">
        <f>H183-F183</f>
        <v>-7.942983818690003</v>
      </c>
      <c r="I185" s="89"/>
      <c r="J185" s="1"/>
    </row>
    <row r="186">
      <c r="A186" s="1"/>
      <c r="B186" s="25" t="s">
        <v>241</v>
      </c>
      <c r="C186" s="9" t="s">
        <v>89</v>
      </c>
      <c r="D186" s="9" t="s">
        <v>89</v>
      </c>
      <c r="E186" s="9">
        <f>E183/E22</f>
        <v>0.19981060606060608</v>
      </c>
      <c r="F186" s="9">
        <f>F183/F22</f>
        <v>0.17354638260097646</v>
      </c>
      <c r="G186" s="9">
        <f>G183/G22</f>
        <v>0.17681525735294115</v>
      </c>
      <c r="H186" s="20">
        <f>H183/H22</f>
        <v>0.14685436537093016</v>
      </c>
      <c r="I186" s="89"/>
      <c r="J186" s="1"/>
    </row>
    <row r="187">
      <c r="A187" s="1"/>
      <c r="B187" s="25" t="s">
        <v>242</v>
      </c>
      <c r="C187" s="24" t="s">
        <v>89</v>
      </c>
      <c r="D187" s="24" t="s">
        <v>89</v>
      </c>
      <c r="E187" s="24">
        <f>(E186-E247/E227)*10000</f>
        <v>70.50425065130955</v>
      </c>
      <c r="F187" s="24">
        <f>(F186-F247/F227)*10000</f>
        <v>183.35739585455397</v>
      </c>
      <c r="G187" s="24">
        <f>(G186-G247/G227)*10000</f>
        <v>-32.45098073458741</v>
      </c>
      <c r="H187" s="32" t="s">
        <v>89</v>
      </c>
      <c r="I187" s="89"/>
      <c r="J187" s="1"/>
    </row>
    <row r="188">
      <c r="A188" s="1"/>
      <c r="B188" s="25" t="s">
        <v>243</v>
      </c>
      <c r="C188" s="1"/>
      <c r="D188" s="1"/>
      <c r="E188" s="1"/>
      <c r="F188" s="24">
        <f>(F186-E186)*10000</f>
        <v>-262.64223459629613</v>
      </c>
      <c r="G188" s="1"/>
      <c r="H188" s="32">
        <f>(H186-F186)*10000</f>
        <v>-266.920172300463</v>
      </c>
      <c r="I188" s="89"/>
      <c r="J188" s="1"/>
    </row>
    <row r="189">
      <c r="A189" s="1"/>
      <c r="B189" s="1" t="s">
        <v>244</v>
      </c>
      <c r="C189" s="21">
        <f>'Cash Flow Statement'!C13</f>
        <v>29.055</v>
      </c>
      <c r="D189" s="21">
        <f>'Cash Flow Statement'!D13</f>
        <v>28.927</v>
      </c>
      <c r="E189" s="21">
        <f>'Cash Flow Statement'!E13</f>
        <v>28.918000000000006</v>
      </c>
      <c r="F189" s="21">
        <f>'Cash Flow Statement'!F13</f>
        <v>29.39999999999999</v>
      </c>
      <c r="G189" s="21">
        <f>'Cash Flow Statement'!G13</f>
        <v>116.3</v>
      </c>
      <c r="H189" s="10">
        <f>H114+H190</f>
        <v>29.2</v>
      </c>
      <c r="I189" s="89" t="s">
        <v>72</v>
      </c>
      <c r="J189" s="1"/>
    </row>
    <row r="190">
      <c r="A190" s="1"/>
      <c r="B190" s="1" t="s">
        <v>245</v>
      </c>
      <c r="C190" s="8">
        <f>C189-C114</f>
        <v>6.568999999999999</v>
      </c>
      <c r="D190" s="8">
        <f>D189-D114</f>
        <v>6.558</v>
      </c>
      <c r="E190" s="8">
        <f>E189-E114</f>
        <v>6.918000000000006</v>
      </c>
      <c r="F190" s="8">
        <f>F189-F114</f>
        <v>7.199999999999992</v>
      </c>
      <c r="G190" s="8">
        <f>G189-G114</f>
        <v>27.24499999999999</v>
      </c>
      <c r="H190" s="12">
        <v>7.3</v>
      </c>
      <c r="I190" s="89"/>
      <c r="J190" s="1"/>
    </row>
    <row r="191">
      <c r="A191" s="1"/>
      <c r="B191" s="25" t="s">
        <v>61</v>
      </c>
      <c r="C191" s="1"/>
      <c r="D191" s="5">
        <f>D190-C190</f>
        <v>-0.010999999999999233</v>
      </c>
      <c r="E191" s="5">
        <f>E190-D190</f>
        <v>0.36000000000000654</v>
      </c>
      <c r="F191" s="5">
        <f>F190-E190</f>
        <v>0.2819999999999858</v>
      </c>
      <c r="G191" s="1"/>
      <c r="H191" s="37">
        <f>H190-F190</f>
        <v>0.10000000000000764</v>
      </c>
      <c r="I191" s="89"/>
      <c r="J191" s="1"/>
    </row>
    <row r="192">
      <c r="A192" s="1"/>
      <c r="B192" s="25" t="s">
        <v>60</v>
      </c>
      <c r="C192" s="9">
        <f>C190/(C240-C241)-1</f>
        <v>-0.013959771840288182</v>
      </c>
      <c r="D192" s="9">
        <f>D190/(D240-D241)-1</f>
        <v>-0.04610909090909099</v>
      </c>
      <c r="E192" s="9">
        <f>E190/(E240-E241)-1</f>
        <v>0.06430769230769329</v>
      </c>
      <c r="F192" s="9">
        <f>F190/(F240-F241)-1</f>
        <v>0.01408450704225217</v>
      </c>
      <c r="G192" s="9">
        <f>G190/(G240-G241)-1</f>
        <v>0.005350553505534927</v>
      </c>
      <c r="H192" s="20">
        <f>H190/(H240-H241)-1</f>
        <v>0.1112802557466892</v>
      </c>
      <c r="I192" s="89"/>
      <c r="J192" s="1"/>
    </row>
    <row r="193">
      <c r="A193" s="1"/>
      <c r="B193" s="1" t="s">
        <v>246</v>
      </c>
      <c r="C193" s="8">
        <f>C80+C120</f>
        <v>-0.9319999999999999</v>
      </c>
      <c r="D193" s="8">
        <f>D80+D120</f>
        <v>-0.5509999999999999</v>
      </c>
      <c r="E193" s="8">
        <f>E80+E120</f>
        <v>-1.2000000000000002</v>
      </c>
      <c r="F193" s="8">
        <f>F80+F120</f>
        <v>-0.8</v>
      </c>
      <c r="G193" s="8">
        <f>G80+G120</f>
        <v>-3.585</v>
      </c>
      <c r="H193" s="12">
        <v>-0.8</v>
      </c>
      <c r="I193" s="89"/>
      <c r="J193" s="1"/>
    </row>
    <row r="194">
      <c r="A194" s="1"/>
      <c r="B194" s="25" t="s">
        <v>175</v>
      </c>
      <c r="C194" s="5">
        <f>C193-(C238+C239)</f>
        <v>-0.3679999999999999</v>
      </c>
      <c r="D194" s="5">
        <f>D193-(D238+D239)</f>
        <v>0.7860000000000003</v>
      </c>
      <c r="E194" s="5">
        <f>E193-(E238+E239)</f>
        <v>-2.8</v>
      </c>
      <c r="F194" s="5">
        <f>F193-(F238+F239)</f>
        <v>3</v>
      </c>
      <c r="G194" s="5">
        <f>G193-(G238+G239)</f>
        <v>0.5149999999999997</v>
      </c>
      <c r="H194" s="37">
        <f>H193-(H238+H239)</f>
        <v>0.1319999999999999</v>
      </c>
      <c r="I194" s="89"/>
      <c r="J194" s="1"/>
    </row>
    <row r="195">
      <c r="A195" s="1"/>
      <c r="B195" s="25" t="s">
        <v>61</v>
      </c>
      <c r="C195" s="1"/>
      <c r="D195" s="5">
        <f>D193-C193</f>
        <v>0.381</v>
      </c>
      <c r="E195" s="5">
        <f>E193-D193</f>
        <v>-0.6490000000000002</v>
      </c>
      <c r="F195" s="5">
        <f>F193-E193</f>
        <v>0.40000000000000013</v>
      </c>
      <c r="G195" s="1"/>
      <c r="H195" s="37">
        <f>H193-F193</f>
        <v>0</v>
      </c>
      <c r="I195" s="89"/>
      <c r="J195" s="1"/>
    </row>
    <row r="196">
      <c r="A196" s="1"/>
      <c r="B196" s="15" t="s">
        <v>247</v>
      </c>
      <c r="C196" s="7">
        <f>C92+C87+C189-C76</f>
        <v>88.387</v>
      </c>
      <c r="D196" s="7">
        <f>D92+D87+D189-D76</f>
        <v>22.819000000000003</v>
      </c>
      <c r="E196" s="7">
        <f>E92+E87+E189-E76</f>
        <v>22.517999999999994</v>
      </c>
      <c r="F196" s="7">
        <f>F92+F87+F189-F76</f>
        <v>31.19999999999998</v>
      </c>
      <c r="G196" s="7">
        <f>G92+G87+G189-G76</f>
        <v>164.9000000000001</v>
      </c>
      <c r="H196" s="34">
        <f>H92+H87+H189-H76</f>
        <v>20.357016181309994</v>
      </c>
      <c r="I196" s="89"/>
      <c r="J196" s="1"/>
    </row>
    <row r="197">
      <c r="A197" s="1"/>
      <c r="B197" s="25" t="s">
        <v>60</v>
      </c>
      <c r="C197" s="9">
        <f>C196/(C245+C244+C240-C237)-1</f>
        <v>1.7783296136799418</v>
      </c>
      <c r="D197" s="9">
        <f>D196/(D245+D244+D240-D237)-1</f>
        <v>-1.053171806988601</v>
      </c>
      <c r="E197" s="9">
        <f>E196/(E245+E244+E240-E237)-1</f>
        <v>-0.38643051771117176</v>
      </c>
      <c r="F197" s="9">
        <f>F196/(F245+F244+F240-F237)-1</f>
        <v>-1.053388090349076</v>
      </c>
      <c r="G197" s="9">
        <f>G196/(G245+G244+G240-G237)-1</f>
        <v>-1.1744788911226327</v>
      </c>
      <c r="H197" s="20">
        <f>H196/(H245+H244+H240-H237)-1</f>
        <v>-0.7696831413973775</v>
      </c>
      <c r="I197" s="89"/>
      <c r="J197" s="1"/>
    </row>
    <row r="198">
      <c r="A198" s="1"/>
      <c r="B198" s="25" t="s">
        <v>61</v>
      </c>
      <c r="C198" s="5">
        <f>C196-(F245+F244+F240-F237)</f>
        <v>672.787</v>
      </c>
      <c r="D198" s="5">
        <f>D196-C196</f>
        <v>-65.568</v>
      </c>
      <c r="E198" s="5">
        <f>E196-D196</f>
        <v>-0.30100000000000904</v>
      </c>
      <c r="F198" s="5">
        <f>F196-E196</f>
        <v>8.681999999999988</v>
      </c>
      <c r="G198" s="1"/>
      <c r="H198" s="37">
        <f>H196-F196</f>
        <v>-10.842983818689987</v>
      </c>
      <c r="I198" s="89"/>
      <c r="J198" s="1"/>
    </row>
    <row r="199">
      <c r="A199" s="1"/>
      <c r="B199" s="15" t="s">
        <v>248</v>
      </c>
      <c r="C199" s="7">
        <f>C196+C155-C114</f>
        <v>35.46900000000001</v>
      </c>
      <c r="D199" s="7">
        <f>D196+D155-D114</f>
        <v>48.74600000000001</v>
      </c>
      <c r="E199" s="7">
        <f>E196+E155-E114</f>
        <v>48.21799999999999</v>
      </c>
      <c r="F199" s="7">
        <f>F196+F155-F114</f>
        <v>45.39999999999998</v>
      </c>
      <c r="G199" s="7">
        <f>G196+G155-G114</f>
        <v>177.80900000000008</v>
      </c>
      <c r="H199" s="34">
        <f>H196+H155-H114</f>
        <v>37.65701618131</v>
      </c>
      <c r="I199" s="89"/>
      <c r="J199" s="1"/>
    </row>
    <row r="200">
      <c r="A200" s="1"/>
      <c r="B200" s="1" t="s">
        <v>249</v>
      </c>
      <c r="C200" s="3">
        <v>35.469</v>
      </c>
      <c r="D200" s="3">
        <v>48.746</v>
      </c>
      <c r="E200" s="3">
        <v>48.2</v>
      </c>
      <c r="F200" s="3">
        <v>45.4</v>
      </c>
      <c r="G200" s="3">
        <v>177.8</v>
      </c>
      <c r="H200" s="4"/>
      <c r="I200" s="89" t="s">
        <v>72</v>
      </c>
      <c r="J200" s="1"/>
    </row>
    <row r="201">
      <c r="A201" s="1"/>
      <c r="B201" s="1" t="s">
        <v>223</v>
      </c>
      <c r="C201" s="33" t="b">
        <f>ABS(C199-C200)&lt;0.15</f>
        <v>1</v>
      </c>
      <c r="D201" s="33" t="b">
        <f>ABS(D199-D200)&lt;0.15</f>
        <v>1</v>
      </c>
      <c r="E201" s="33" t="b">
        <f>ABS(E199-E200)&lt;0.15</f>
        <v>1</v>
      </c>
      <c r="F201" s="33" t="b">
        <f>ABS(F199-F200)&lt;0.15</f>
        <v>1</v>
      </c>
      <c r="G201" s="33" t="b">
        <f>ABS(G199-G200)&lt;0.15</f>
        <v>1</v>
      </c>
      <c r="H201" s="4"/>
      <c r="I201" s="89"/>
      <c r="J201" s="1"/>
    </row>
    <row r="202">
      <c r="A202" s="1"/>
      <c r="B202" s="1" t="s">
        <v>250</v>
      </c>
      <c r="C202" s="1"/>
      <c r="D202" s="1"/>
      <c r="E202" s="1"/>
      <c r="F202" s="1"/>
      <c r="G202" s="1"/>
      <c r="H202" s="10">
        <f>H183+H190+H193</f>
        <v>37.65701618131</v>
      </c>
      <c r="I202" s="89"/>
      <c r="J202" s="1"/>
    </row>
    <row r="203">
      <c r="A203" s="1"/>
      <c r="B203" s="1" t="s">
        <v>251</v>
      </c>
      <c r="C203" s="1"/>
      <c r="D203" s="1"/>
      <c r="E203" s="1"/>
      <c r="F203" s="1"/>
      <c r="G203" s="1"/>
      <c r="H203" s="54" t="b">
        <f>ABS(H199-H202)&lt;0.001</f>
        <v>1</v>
      </c>
      <c r="I203" s="89"/>
      <c r="J203" s="1"/>
    </row>
    <row r="204">
      <c r="A204" s="1"/>
      <c r="B204" s="25" t="s">
        <v>60</v>
      </c>
      <c r="C204" s="9">
        <f>C199/C248-1</f>
        <v>-0.18861234387152837</v>
      </c>
      <c r="D204" s="9">
        <f>D199/D248-1</f>
        <v>-0.05128354839337479</v>
      </c>
      <c r="E204" s="9">
        <f>E199/E248-1</f>
        <v>-0.00786008230452695</v>
      </c>
      <c r="F204" s="9">
        <f>F199/F248-1</f>
        <v>0.11822660098522109</v>
      </c>
      <c r="G204" s="9">
        <f>G199/G248-1</f>
        <v>-0.034695982627578226</v>
      </c>
      <c r="H204" s="20">
        <f>H199/H248-1</f>
        <v>0.06168812713383498</v>
      </c>
      <c r="I204" s="89"/>
      <c r="J204" s="1"/>
    </row>
    <row r="205">
      <c r="A205" s="1"/>
      <c r="B205" s="25" t="s">
        <v>61</v>
      </c>
      <c r="C205" s="5">
        <f>C199-F248</f>
        <v>-5.130999999999993</v>
      </c>
      <c r="D205" s="5">
        <f>D199-C199</f>
        <v>13.277000000000001</v>
      </c>
      <c r="E205" s="5">
        <f>E199-D199</f>
        <v>-0.52800000000002</v>
      </c>
      <c r="F205" s="5">
        <f>F199-E199</f>
        <v>-2.818000000000012</v>
      </c>
      <c r="G205" s="1"/>
      <c r="H205" s="37">
        <f>H199-F199</f>
        <v>-7.742983818689979</v>
      </c>
      <c r="I205" s="89"/>
      <c r="J205" s="1"/>
    </row>
    <row r="206">
      <c r="A206" s="1"/>
      <c r="B206" s="25" t="s">
        <v>252</v>
      </c>
      <c r="C206" s="9">
        <f>C199/C22</f>
        <v>0.1695548045069292</v>
      </c>
      <c r="D206" s="9">
        <f>D199/D22</f>
        <v>0.21694682920099162</v>
      </c>
      <c r="E206" s="9">
        <f>E199/E22</f>
        <v>0.2283049242424242</v>
      </c>
      <c r="F206" s="9">
        <f>F199/F22</f>
        <v>0.20150909897913882</v>
      </c>
      <c r="G206" s="9">
        <f>G199/G22</f>
        <v>0.20428423713235302</v>
      </c>
      <c r="H206" s="20">
        <f>H199/H22</f>
        <v>0.1774912328217886</v>
      </c>
      <c r="I206" s="89"/>
      <c r="J206" s="1"/>
    </row>
    <row r="207">
      <c r="A207" s="1"/>
      <c r="B207" s="25" t="s">
        <v>253</v>
      </c>
      <c r="C207" s="24">
        <f>(C206-C248/C227)*10000</f>
        <v>-319.2562542614724</v>
      </c>
      <c r="D207" s="24">
        <f>(D206-D248/D227)*10000</f>
        <v>-52.33592665495168</v>
      </c>
      <c r="E207" s="24">
        <f>(E206-E248/E227)*10000</f>
        <v>83.95421979980777</v>
      </c>
      <c r="F207" s="24">
        <f>(F206-F248/F227)*10000</f>
        <v>214.6475308113438</v>
      </c>
      <c r="G207" s="24">
        <f>(G206-G248/G227)*10000</f>
        <v>-15.948284762308251</v>
      </c>
      <c r="H207" s="32">
        <f>(H206-H248/H227)*10000</f>
        <v>79.3642831485944</v>
      </c>
      <c r="I207" s="89"/>
      <c r="J207" s="1"/>
    </row>
    <row r="208">
      <c r="A208" s="1"/>
      <c r="B208" s="15" t="s">
        <v>254</v>
      </c>
      <c r="C208" s="7">
        <f>C84+C155</f>
        <v>13.375999999999998</v>
      </c>
      <c r="D208" s="7">
        <f>D84+D155</f>
        <v>27.932000000000002</v>
      </c>
      <c r="E208" s="7">
        <f>E84+E155</f>
        <v>27.399999999999984</v>
      </c>
      <c r="F208" s="7">
        <f>F84+F155</f>
        <v>24.29999999999999</v>
      </c>
      <c r="G208" s="7">
        <f>G84+G155</f>
        <v>92.96400000000011</v>
      </c>
      <c r="H208" s="34">
        <f>H84+H155</f>
        <v>16.65701618131</v>
      </c>
      <c r="I208" s="89"/>
      <c r="J208" s="1"/>
    </row>
    <row r="209">
      <c r="A209" s="1"/>
      <c r="B209" s="1" t="s">
        <v>255</v>
      </c>
      <c r="C209" s="8">
        <f>C87-C156</f>
        <v>3.929</v>
      </c>
      <c r="D209" s="8">
        <f>D87-D156</f>
        <v>5.316</v>
      </c>
      <c r="E209" s="8">
        <f>E87-E156</f>
        <v>8</v>
      </c>
      <c r="F209" s="8">
        <f>F87-F156</f>
        <v>5.6000000000000005</v>
      </c>
      <c r="G209" s="8">
        <f>G87-G156</f>
        <v>22.814999999999998</v>
      </c>
      <c r="H209" s="10">
        <f>H208*H210</f>
        <v>4.3308242071406</v>
      </c>
      <c r="I209" s="89"/>
      <c r="J209" s="1"/>
    </row>
    <row r="210">
      <c r="A210" s="1"/>
      <c r="B210" s="25" t="s">
        <v>256</v>
      </c>
      <c r="C210" s="9">
        <f>C209/C208</f>
        <v>0.29373504784689</v>
      </c>
      <c r="D210" s="9">
        <f>D209/D208</f>
        <v>0.1903193469855363</v>
      </c>
      <c r="E210" s="9">
        <f>E209/E208</f>
        <v>0.29197080291970817</v>
      </c>
      <c r="F210" s="9">
        <f>F209/F208</f>
        <v>0.23045267489711946</v>
      </c>
      <c r="G210" s="9">
        <f>G209/G208</f>
        <v>0.2454175809990961</v>
      </c>
      <c r="H210" s="38">
        <v>0.26</v>
      </c>
      <c r="I210" s="89"/>
      <c r="J210" s="1"/>
    </row>
    <row r="211">
      <c r="A211" s="1"/>
      <c r="B211" s="25" t="s">
        <v>257</v>
      </c>
      <c r="C211" s="24">
        <f>(C210-(1-C249/(C248-(C240-C241)+C237)))*10000</f>
        <v>337.2475448610768</v>
      </c>
      <c r="D211" s="24">
        <f>(D210-(1-D249/(D248-(D240-D241)+D237)))*10000</f>
        <v>876.2580632449499</v>
      </c>
      <c r="E211" s="24">
        <f>(E210-(1-E249/(E248-(E240-E241)+E237)))*10000</f>
        <v>1246.4012562887144</v>
      </c>
      <c r="F211" s="24">
        <f>(F210-(1-F249/(F248-(F240-F241)+F237)))*10000</f>
        <v>-1048.4144274993928</v>
      </c>
      <c r="G211" s="24">
        <f>(G210-(1-G249/(G248-(G240-G241)+G237)))*10000</f>
        <v>456.43314633407704</v>
      </c>
      <c r="H211" s="32">
        <f>(H210-(1-H249/(H248-(H240-H241)+H237)))*10000</f>
        <v>-337.3504784689052</v>
      </c>
      <c r="I211" s="89"/>
      <c r="J211" s="1"/>
    </row>
    <row r="212">
      <c r="A212" s="1"/>
      <c r="B212" s="25" t="s">
        <v>258</v>
      </c>
      <c r="C212" s="1"/>
      <c r="D212" s="24">
        <f>(D210-C210)*10000</f>
        <v>-1034.1570086135368</v>
      </c>
      <c r="E212" s="24">
        <f>(E210-D210)*10000</f>
        <v>1016.5145593417188</v>
      </c>
      <c r="F212" s="24">
        <f>(F210-E210)*10000</f>
        <v>-615.1812802258871</v>
      </c>
      <c r="G212" s="1"/>
      <c r="H212" s="32">
        <f>(H210-F210)*10000</f>
        <v>295.4732510288055</v>
      </c>
      <c r="I212" s="89"/>
      <c r="J212" s="1"/>
    </row>
    <row r="213">
      <c r="A213" s="1"/>
      <c r="B213" s="25" t="s">
        <v>259</v>
      </c>
      <c r="C213" s="9">
        <f>-C156/C155</f>
        <v>0.11635778128286016</v>
      </c>
      <c r="D213" s="9">
        <f>-D156/D155</f>
        <v>0.2020043067748882</v>
      </c>
      <c r="E213" s="9">
        <f>-E156/E155</f>
        <v>0.23689727463312374</v>
      </c>
      <c r="F213" s="9">
        <f>-F156/F155</f>
        <v>0.17582417582417584</v>
      </c>
      <c r="G213" s="9">
        <f>-G156/G155</f>
        <v>0.23454356439527674</v>
      </c>
      <c r="H213" s="38">
        <v>0.22</v>
      </c>
      <c r="I213" s="89"/>
      <c r="J213" s="1"/>
    </row>
    <row r="214">
      <c r="A214" s="1"/>
      <c r="B214" s="25" t="s">
        <v>260</v>
      </c>
      <c r="C214" s="24">
        <f>(C213-(-C242/(C249-C245-C242)))*10000</f>
        <v>-1134.432975150507</v>
      </c>
      <c r="D214" s="24">
        <f>(D213-(-D242/(D249-D245-D242)))*10000</f>
        <v>1561.903380507587</v>
      </c>
      <c r="E214" s="24">
        <f>(E213-(-E242/(E249-E245-E242)))*10000</f>
        <v>1506.903780813996</v>
      </c>
      <c r="F214" s="24">
        <f>(F213-(-F242/(F249-F245-F242)))*10000</f>
        <v>1377.1865283744337</v>
      </c>
      <c r="G214" s="24">
        <f>(G213-(-G242/(G249-G245-G242)))*10000</f>
        <v>1864.1390899706114</v>
      </c>
      <c r="H214" s="32">
        <f>(H213-(-H242/(H249-H245-H242)))*10000</f>
        <v>1036.4221871713985</v>
      </c>
      <c r="I214" s="89"/>
      <c r="J214" s="1"/>
    </row>
    <row r="215">
      <c r="A215" s="1"/>
      <c r="B215" s="25" t="s">
        <v>261</v>
      </c>
      <c r="C215" s="1"/>
      <c r="D215" s="24">
        <f>(D213-C213)*10000</f>
        <v>856.4652549202805</v>
      </c>
      <c r="E215" s="24">
        <f>(E213-D213)*10000</f>
        <v>348.92967858235534</v>
      </c>
      <c r="F215" s="24">
        <f>(F213-E213)*10000</f>
        <v>-610.730988089479</v>
      </c>
      <c r="G215" s="1"/>
      <c r="H215" s="32">
        <f>(H213-F213)*10000</f>
        <v>441.75824175824164</v>
      </c>
      <c r="I215" s="89"/>
      <c r="J215" s="1"/>
    </row>
    <row r="216">
      <c r="A216" s="1"/>
      <c r="B216" s="15" t="s">
        <v>262</v>
      </c>
      <c r="C216" s="7">
        <f>C208-C209</f>
        <v>9.446999999999997</v>
      </c>
      <c r="D216" s="7">
        <f>D208-D209</f>
        <v>22.616000000000003</v>
      </c>
      <c r="E216" s="7">
        <f>E208-E209</f>
        <v>19.399999999999984</v>
      </c>
      <c r="F216" s="7">
        <f>F208-F209</f>
        <v>18.69999999999999</v>
      </c>
      <c r="G216" s="7">
        <f>G208-G209</f>
        <v>70.14900000000011</v>
      </c>
      <c r="H216" s="34">
        <f>H208-H209</f>
        <v>12.326191974169399</v>
      </c>
      <c r="I216" s="89"/>
      <c r="J216" s="1"/>
    </row>
    <row r="217">
      <c r="A217" s="1"/>
      <c r="B217" s="1" t="s">
        <v>263</v>
      </c>
      <c r="C217" s="33" t="b">
        <f>ABS(C216-C157)&lt;0.001</f>
        <v>1</v>
      </c>
      <c r="D217" s="33" t="b">
        <f>ABS(D216-D157)&lt;0.001</f>
        <v>1</v>
      </c>
      <c r="E217" s="33" t="b">
        <f>ABS(E216-E157)&lt;0.001</f>
        <v>1</v>
      </c>
      <c r="F217" s="33" t="b">
        <f>ABS(F216-F157)&lt;0.001</f>
        <v>1</v>
      </c>
      <c r="G217" s="33" t="b">
        <f>ABS(G216-G157)&lt;0.001</f>
        <v>1</v>
      </c>
      <c r="H217" s="54" t="b">
        <f>ABS(H216-H157)&lt;0.001</f>
        <v>1</v>
      </c>
      <c r="I217" s="89"/>
      <c r="J217" s="1"/>
    </row>
    <row r="218">
      <c r="A218" s="1"/>
      <c r="B218" s="1"/>
      <c r="C218" s="1"/>
      <c r="D218" s="1"/>
      <c r="E218" s="1"/>
      <c r="F218" s="1"/>
      <c r="G218" s="1"/>
      <c r="H218" s="4"/>
      <c r="I218" s="89"/>
      <c r="J218" s="1"/>
    </row>
    <row r="219">
      <c r="A219" s="1"/>
      <c r="B219" s="16" t="s">
        <v>264</v>
      </c>
      <c r="C219" s="1"/>
      <c r="D219" s="1"/>
      <c r="E219" s="1"/>
      <c r="F219" s="1"/>
      <c r="G219" s="1"/>
      <c r="H219" s="4"/>
      <c r="I219" s="89"/>
      <c r="J219" s="1"/>
    </row>
    <row r="220">
      <c r="A220" s="1"/>
      <c r="B220" s="1" t="s">
        <v>117</v>
      </c>
      <c r="C220" s="21">
        <f>'Segment - Food Safety'!C129</f>
        <v>7.091</v>
      </c>
      <c r="D220" s="21">
        <f>'Segment - Food Safety'!D129</f>
        <v>16.577</v>
      </c>
      <c r="E220" s="21">
        <f>'Segment - Food Safety'!E129</f>
        <v>16.3</v>
      </c>
      <c r="F220" s="21">
        <f>'Segment - Food Safety'!F129</f>
        <v>23.431999999999995</v>
      </c>
      <c r="G220" s="21">
        <f>'Segment - Food Safety'!G129</f>
        <v>63.4</v>
      </c>
      <c r="H220" s="48">
        <f>'Segment - Food Safety'!H129</f>
        <v>17.37359504045</v>
      </c>
      <c r="I220" s="89"/>
      <c r="J220" s="1"/>
    </row>
    <row r="221">
      <c r="A221" s="1"/>
      <c r="B221" s="1" t="s">
        <v>139</v>
      </c>
      <c r="C221" s="21">
        <f>'Segment - Animal Safety'!C113</f>
        <v>4.472</v>
      </c>
      <c r="D221" s="21">
        <f>'Segment - Animal Safety'!D113</f>
        <v>8.825</v>
      </c>
      <c r="E221" s="21">
        <f>'Segment - Animal Safety'!E113</f>
        <v>5.7</v>
      </c>
      <c r="F221" s="21">
        <f>'Segment - Animal Safety'!F113</f>
        <v>5.503</v>
      </c>
      <c r="G221" s="21">
        <f>'Segment - Animal Safety'!G113</f>
        <v>24.5</v>
      </c>
      <c r="H221" s="48">
        <f>'Segment - Animal Safety'!H113</f>
        <v>5.422091000000001</v>
      </c>
      <c r="I221" s="89"/>
      <c r="J221" s="1"/>
    </row>
    <row r="222">
      <c r="A222" s="1"/>
      <c r="B222" s="1" t="s">
        <v>265</v>
      </c>
      <c r="C222" s="3">
        <v>-27.654</v>
      </c>
      <c r="D222" s="3">
        <v>-30.779</v>
      </c>
      <c r="E222" s="3">
        <v>-25.3</v>
      </c>
      <c r="F222" s="8">
        <f>G222-SUM(C222:E222)</f>
        <v>-25.766999999999996</v>
      </c>
      <c r="G222" s="3">
        <v>-109.5</v>
      </c>
      <c r="H222" s="10">
        <f>H69-H220-H221</f>
        <v>-30.838669859140005</v>
      </c>
      <c r="I222" s="89" t="s">
        <v>118</v>
      </c>
      <c r="J222" s="1"/>
    </row>
    <row r="223">
      <c r="A223" s="1"/>
      <c r="B223" s="15" t="s">
        <v>266</v>
      </c>
      <c r="C223" s="7">
        <f>C220+C221+C222</f>
        <v>-16.091</v>
      </c>
      <c r="D223" s="7">
        <f>D220+D221+D222</f>
        <v>-5.376999999999999</v>
      </c>
      <c r="E223" s="7">
        <f>E220+E221+E222</f>
        <v>-3.3000000000000007</v>
      </c>
      <c r="F223" s="7">
        <f>F220+F221+F222</f>
        <v>3.1679999999999993</v>
      </c>
      <c r="G223" s="7">
        <f>G220+G221+G222</f>
        <v>-21.599999999999994</v>
      </c>
      <c r="H223" s="34">
        <f>H220+H221+H222</f>
        <v>-8.042983818690004</v>
      </c>
      <c r="I223" s="89"/>
      <c r="J223" s="1"/>
    </row>
    <row r="224">
      <c r="A224" s="1"/>
      <c r="B224" s="1" t="s">
        <v>267</v>
      </c>
      <c r="C224" s="33" t="b">
        <f>ABS(C223-C69)&lt;0.15</f>
        <v>1</v>
      </c>
      <c r="D224" s="33" t="b">
        <f>ABS(D223-D69)&lt;0.15</f>
        <v>1</v>
      </c>
      <c r="E224" s="33" t="b">
        <f>ABS(E223-E69)&lt;0.15</f>
        <v>1</v>
      </c>
      <c r="F224" s="33" t="b">
        <f>ABS(F223-F69)&lt;0.15</f>
        <v>1</v>
      </c>
      <c r="G224" s="33" t="b">
        <f>ABS(G223-G69)&lt;0.15</f>
        <v>1</v>
      </c>
      <c r="H224" s="54" t="b">
        <f>ABS(H223-H69)&lt;0.15</f>
        <v>1</v>
      </c>
      <c r="I224" s="89"/>
      <c r="J224" s="1"/>
    </row>
    <row r="225">
      <c r="A225" s="1"/>
      <c r="B225" s="1"/>
      <c r="C225" s="1"/>
      <c r="D225" s="1"/>
      <c r="E225" s="1"/>
      <c r="F225" s="1"/>
      <c r="G225" s="1"/>
      <c r="H225" s="4"/>
      <c r="I225" s="89"/>
      <c r="J225" s="1"/>
    </row>
    <row r="226">
      <c r="A226" s="1"/>
      <c r="B226" s="16" t="s">
        <v>268</v>
      </c>
      <c r="C226" s="1"/>
      <c r="D226" s="1"/>
      <c r="E226" s="1"/>
      <c r="F226" s="1"/>
      <c r="G226" s="1"/>
      <c r="H226" s="4"/>
      <c r="I226" s="89"/>
      <c r="J226" s="1"/>
    </row>
    <row r="227">
      <c r="A227" s="1"/>
      <c r="B227" s="1" t="s">
        <v>148</v>
      </c>
      <c r="C227" s="21">
        <f>'Revenue summary'!C36</f>
        <v>216.964</v>
      </c>
      <c r="D227" s="21">
        <f>'Revenue summary'!D36</f>
        <v>231.25799999999998</v>
      </c>
      <c r="E227" s="21">
        <f>'Revenue summary'!E36</f>
        <v>221</v>
      </c>
      <c r="F227" s="21">
        <f>'Revenue summary'!F36</f>
        <v>225.5</v>
      </c>
      <c r="G227" s="21">
        <f>'Revenue summary'!G36</f>
        <v>894.7</v>
      </c>
      <c r="H227" s="48">
        <f>'Revenue summary'!H36</f>
        <v>209.18900000000002</v>
      </c>
      <c r="I227" s="89"/>
      <c r="J227" s="1"/>
    </row>
    <row r="228">
      <c r="A228" s="1"/>
      <c r="B228" s="1" t="s">
        <v>146</v>
      </c>
      <c r="C228" s="3">
        <v>192.518</v>
      </c>
      <c r="D228" s="3">
        <v>207.549</v>
      </c>
      <c r="E228" s="3">
        <v>196.5</v>
      </c>
      <c r="F228" s="3">
        <v>200.8</v>
      </c>
      <c r="G228" s="3">
        <v>797.4</v>
      </c>
      <c r="H228" s="10">
        <f>C10</f>
        <v>184.138</v>
      </c>
      <c r="I228" s="89" t="s">
        <v>72</v>
      </c>
      <c r="J228" s="1"/>
    </row>
    <row r="229">
      <c r="A229" s="1"/>
      <c r="B229" s="1" t="s">
        <v>147</v>
      </c>
      <c r="C229" s="3">
        <v>24.446</v>
      </c>
      <c r="D229" s="3">
        <v>23.709</v>
      </c>
      <c r="E229" s="3">
        <v>24.5</v>
      </c>
      <c r="F229" s="3">
        <v>24.7</v>
      </c>
      <c r="G229" s="3">
        <v>97.3</v>
      </c>
      <c r="H229" s="10">
        <f>C16</f>
        <v>25.051</v>
      </c>
      <c r="I229" s="89" t="s">
        <v>72</v>
      </c>
      <c r="J229" s="1"/>
    </row>
    <row r="230">
      <c r="A230" s="1"/>
      <c r="B230" s="1" t="s">
        <v>155</v>
      </c>
      <c r="C230" s="3">
        <v>14.202</v>
      </c>
      <c r="D230" s="3">
        <v>18.091</v>
      </c>
      <c r="E230" s="3">
        <v>14.9</v>
      </c>
      <c r="F230" s="3">
        <v>14.6</v>
      </c>
      <c r="G230" s="3">
        <v>61.8</v>
      </c>
      <c r="H230" s="10">
        <f>C37</f>
        <v>16.287</v>
      </c>
      <c r="I230" s="89" t="s">
        <v>72</v>
      </c>
      <c r="J230" s="1"/>
    </row>
    <row r="231">
      <c r="A231" s="1"/>
      <c r="B231" s="1" t="s">
        <v>160</v>
      </c>
      <c r="C231" s="3">
        <v>104.926</v>
      </c>
      <c r="D231" s="3">
        <v>113.33</v>
      </c>
      <c r="E231" s="3">
        <v>110.3</v>
      </c>
      <c r="F231" s="3">
        <v>92.9</v>
      </c>
      <c r="G231" s="3">
        <v>421.4</v>
      </c>
      <c r="H231" s="10">
        <f>C46</f>
        <v>94.97</v>
      </c>
      <c r="I231" s="89" t="s">
        <v>72</v>
      </c>
      <c r="J231" s="1"/>
    </row>
    <row r="232">
      <c r="A232" s="1"/>
      <c r="B232" s="1" t="s">
        <v>164</v>
      </c>
      <c r="C232" s="3">
        <v>45.799</v>
      </c>
      <c r="D232" s="3">
        <v>46.545</v>
      </c>
      <c r="E232" s="3">
        <v>44.6</v>
      </c>
      <c r="F232" s="3">
        <v>46.9</v>
      </c>
      <c r="G232" s="3">
        <v>183.8</v>
      </c>
      <c r="H232" s="10">
        <f>C53</f>
        <v>45.048</v>
      </c>
      <c r="I232" s="89" t="s">
        <v>72</v>
      </c>
      <c r="J232" s="1"/>
    </row>
    <row r="233">
      <c r="A233" s="1"/>
      <c r="B233" s="1" t="s">
        <v>165</v>
      </c>
      <c r="C233" s="3">
        <v>51.671</v>
      </c>
      <c r="D233" s="3">
        <v>57.771</v>
      </c>
      <c r="E233" s="3">
        <v>55.8</v>
      </c>
      <c r="F233" s="3">
        <v>53</v>
      </c>
      <c r="G233" s="3">
        <v>218.2</v>
      </c>
      <c r="H233" s="10">
        <f>C56</f>
        <v>60.888</v>
      </c>
      <c r="I233" s="89" t="s">
        <v>72</v>
      </c>
      <c r="J233" s="1"/>
    </row>
    <row r="234">
      <c r="A234" s="1"/>
      <c r="B234" s="1" t="s">
        <v>167</v>
      </c>
      <c r="C234" s="3">
        <v>5.199</v>
      </c>
      <c r="D234" s="3">
        <v>5.108</v>
      </c>
      <c r="E234" s="3">
        <v>4.5</v>
      </c>
      <c r="F234" s="3">
        <v>6.3</v>
      </c>
      <c r="G234" s="3">
        <v>21.1</v>
      </c>
      <c r="H234" s="10">
        <f>C60</f>
        <v>5.125</v>
      </c>
      <c r="I234" s="89" t="s">
        <v>72</v>
      </c>
      <c r="J234" s="1"/>
    </row>
    <row r="235">
      <c r="A235" s="1"/>
      <c r="B235" s="1" t="s">
        <v>168</v>
      </c>
      <c r="C235" s="3">
        <v>102.669</v>
      </c>
      <c r="D235" s="3">
        <v>570.814</v>
      </c>
      <c r="E235" s="3">
        <v>104.9</v>
      </c>
      <c r="F235" s="3">
        <v>704.1</v>
      </c>
      <c r="G235" s="3">
        <v>1482.4</v>
      </c>
      <c r="H235" s="10">
        <f>C63</f>
        <v>111.061</v>
      </c>
      <c r="I235" s="89" t="s">
        <v>72</v>
      </c>
      <c r="J235" s="1"/>
    </row>
    <row r="236">
      <c r="A236" s="1"/>
      <c r="B236" s="1" t="s">
        <v>174</v>
      </c>
      <c r="C236" s="3">
        <v>2.257</v>
      </c>
      <c r="D236" s="3">
        <v>-457.484</v>
      </c>
      <c r="E236" s="3">
        <v>5.4</v>
      </c>
      <c r="F236" s="3">
        <v>-611.2</v>
      </c>
      <c r="G236" s="3">
        <v>-1061</v>
      </c>
      <c r="H236" s="10">
        <f>C69</f>
        <v>-16.091000000000008</v>
      </c>
      <c r="I236" s="89" t="s">
        <v>72</v>
      </c>
      <c r="J236" s="1"/>
    </row>
    <row r="237">
      <c r="A237" s="1"/>
      <c r="B237" s="1" t="s">
        <v>179</v>
      </c>
      <c r="C237" s="3">
        <v>-17.622</v>
      </c>
      <c r="D237" s="3">
        <v>-17.367</v>
      </c>
      <c r="E237" s="3">
        <v>-17</v>
      </c>
      <c r="F237" s="3">
        <v>-16.5</v>
      </c>
      <c r="G237" s="3">
        <v>-68.5</v>
      </c>
      <c r="H237" s="10">
        <f>C76</f>
        <v>-15.524</v>
      </c>
      <c r="I237" s="89" t="s">
        <v>72</v>
      </c>
      <c r="J237" s="1"/>
    </row>
    <row r="238">
      <c r="A238" s="1"/>
      <c r="B238" s="1" t="s">
        <v>182</v>
      </c>
      <c r="C238" s="3">
        <v>-0.244</v>
      </c>
      <c r="D238" s="3">
        <v>-1.721</v>
      </c>
      <c r="E238" s="3">
        <v>1.9</v>
      </c>
      <c r="F238" s="3">
        <v>-3.5</v>
      </c>
      <c r="G238" s="3">
        <v>-3.6</v>
      </c>
      <c r="H238" s="10">
        <f>C80</f>
        <v>-0.967</v>
      </c>
      <c r="I238" s="89" t="s">
        <v>72</v>
      </c>
      <c r="J238" s="1"/>
    </row>
    <row r="239">
      <c r="A239" s="1"/>
      <c r="B239" s="1" t="s">
        <v>269</v>
      </c>
      <c r="C239" s="3">
        <v>-0.32</v>
      </c>
      <c r="D239" s="3">
        <v>0.384</v>
      </c>
      <c r="E239" s="3">
        <v>-0.3</v>
      </c>
      <c r="F239" s="3">
        <v>-0.3</v>
      </c>
      <c r="G239" s="3">
        <v>-0.5</v>
      </c>
      <c r="H239" s="10">
        <f>C120</f>
        <v>0.035</v>
      </c>
      <c r="I239" s="89" t="s">
        <v>72</v>
      </c>
      <c r="J239" s="1"/>
    </row>
    <row r="240">
      <c r="A240" s="1"/>
      <c r="B240" s="1" t="s">
        <v>270</v>
      </c>
      <c r="C240" s="3">
        <v>29.8</v>
      </c>
      <c r="D240" s="3">
        <v>30.049</v>
      </c>
      <c r="E240" s="3">
        <v>29.4</v>
      </c>
      <c r="F240" s="3">
        <v>30.3</v>
      </c>
      <c r="G240" s="3">
        <v>119.5</v>
      </c>
      <c r="H240" s="10">
        <f>C189</f>
        <v>29.055</v>
      </c>
      <c r="I240" s="89" t="s">
        <v>72</v>
      </c>
      <c r="J240" s="1"/>
    </row>
    <row r="241">
      <c r="A241" s="1"/>
      <c r="B241" s="1" t="s">
        <v>271</v>
      </c>
      <c r="C241" s="3">
        <v>23.138</v>
      </c>
      <c r="D241" s="3">
        <v>23.174</v>
      </c>
      <c r="E241" s="3">
        <v>22.9</v>
      </c>
      <c r="F241" s="3">
        <v>23.2</v>
      </c>
      <c r="G241" s="3">
        <v>92.4</v>
      </c>
      <c r="H241" s="10">
        <f>C114</f>
        <v>22.486</v>
      </c>
      <c r="I241" s="89" t="s">
        <v>72</v>
      </c>
      <c r="J241" s="1"/>
    </row>
    <row r="242">
      <c r="A242" s="1"/>
      <c r="B242" s="1" t="s">
        <v>272</v>
      </c>
      <c r="C242" s="3">
        <v>-8.052</v>
      </c>
      <c r="D242" s="3">
        <v>-23.077</v>
      </c>
      <c r="E242" s="3">
        <v>-3</v>
      </c>
      <c r="F242" s="3">
        <v>-24.7</v>
      </c>
      <c r="G242" s="3">
        <v>-58.8</v>
      </c>
      <c r="H242" s="10">
        <f>C156</f>
        <v>3.541</v>
      </c>
      <c r="I242" s="89" t="s">
        <v>72</v>
      </c>
      <c r="J242" s="1"/>
    </row>
    <row r="243">
      <c r="A243" s="1"/>
      <c r="B243" s="1" t="s">
        <v>184</v>
      </c>
      <c r="C243" s="3">
        <v>-15.609</v>
      </c>
      <c r="D243" s="3">
        <v>-476.572</v>
      </c>
      <c r="E243" s="3">
        <v>-9.7</v>
      </c>
      <c r="F243" s="3">
        <v>-631.2</v>
      </c>
      <c r="G243" s="3">
        <v>-1133.1</v>
      </c>
      <c r="H243" s="10">
        <f>C84</f>
        <v>43.80799999999999</v>
      </c>
      <c r="I243" s="89" t="s">
        <v>72</v>
      </c>
      <c r="J243" s="1"/>
    </row>
    <row r="244">
      <c r="A244" s="1"/>
      <c r="B244" s="1" t="s">
        <v>185</v>
      </c>
      <c r="C244" s="3">
        <v>-3</v>
      </c>
      <c r="D244" s="3">
        <v>-20.29</v>
      </c>
      <c r="E244" s="3">
        <v>1.2</v>
      </c>
      <c r="F244" s="3">
        <v>-19</v>
      </c>
      <c r="G244" s="3">
        <v>-41.1</v>
      </c>
      <c r="H244" s="10">
        <f>C87</f>
        <v>7.47</v>
      </c>
      <c r="I244" s="89" t="s">
        <v>72</v>
      </c>
      <c r="J244" s="1"/>
    </row>
    <row r="245">
      <c r="A245" s="1"/>
      <c r="B245" s="1" t="s">
        <v>273</v>
      </c>
      <c r="C245" s="3">
        <v>-12.609</v>
      </c>
      <c r="D245" s="3">
        <v>-456.282</v>
      </c>
      <c r="E245" s="3">
        <v>-10.9</v>
      </c>
      <c r="F245" s="3">
        <v>-612.2</v>
      </c>
      <c r="G245" s="3">
        <v>-1092</v>
      </c>
      <c r="H245" s="10">
        <f>C92</f>
        <v>36.337999999999994</v>
      </c>
      <c r="I245" s="89" t="s">
        <v>72</v>
      </c>
      <c r="J245" s="1"/>
    </row>
    <row r="246">
      <c r="A246" s="1"/>
      <c r="B246" s="1" t="s">
        <v>232</v>
      </c>
      <c r="C246" s="8" t="s">
        <v>89</v>
      </c>
      <c r="D246" s="8" t="s">
        <v>89</v>
      </c>
      <c r="E246" s="3">
        <v>113.5</v>
      </c>
      <c r="F246" s="3">
        <v>104.7</v>
      </c>
      <c r="G246" s="3">
        <v>449.4</v>
      </c>
      <c r="H246" s="10" t="str">
        <f>C173</f>
        <v>unavailable</v>
      </c>
      <c r="I246" s="89" t="s">
        <v>72</v>
      </c>
      <c r="J246" s="1"/>
    </row>
    <row r="247">
      <c r="A247" s="1"/>
      <c r="B247" s="1" t="s">
        <v>240</v>
      </c>
      <c r="C247" s="8" t="s">
        <v>89</v>
      </c>
      <c r="D247" s="8" t="s">
        <v>89</v>
      </c>
      <c r="E247" s="3">
        <v>42.6</v>
      </c>
      <c r="F247" s="3">
        <v>35</v>
      </c>
      <c r="G247" s="3">
        <v>161.1</v>
      </c>
      <c r="H247" s="10" t="str">
        <f>C183</f>
        <v>unavailable</v>
      </c>
      <c r="I247" s="89" t="s">
        <v>72</v>
      </c>
      <c r="J247" s="1"/>
    </row>
    <row r="248">
      <c r="A248" s="1"/>
      <c r="B248" s="1" t="s">
        <v>248</v>
      </c>
      <c r="C248" s="3">
        <v>43.714</v>
      </c>
      <c r="D248" s="3">
        <v>51.381</v>
      </c>
      <c r="E248" s="3">
        <v>48.6</v>
      </c>
      <c r="F248" s="3">
        <v>40.6</v>
      </c>
      <c r="G248" s="3">
        <v>184.2</v>
      </c>
      <c r="H248" s="10">
        <f>C199</f>
        <v>35.46900000000001</v>
      </c>
      <c r="I248" s="89" t="s">
        <v>72</v>
      </c>
      <c r="J248" s="1"/>
    </row>
    <row r="249">
      <c r="A249" s="1"/>
      <c r="B249" s="1" t="s">
        <v>274</v>
      </c>
      <c r="C249" s="3">
        <v>14.378</v>
      </c>
      <c r="D249" s="3">
        <v>24.352</v>
      </c>
      <c r="E249" s="3">
        <v>20.9</v>
      </c>
      <c r="F249" s="3">
        <v>11.3</v>
      </c>
      <c r="G249" s="3">
        <v>70.9</v>
      </c>
      <c r="H249" s="10">
        <f>C157</f>
        <v>9.447</v>
      </c>
      <c r="I249" s="89" t="s">
        <v>72</v>
      </c>
      <c r="J249" s="1"/>
    </row>
    <row r="250">
      <c r="A250" s="1"/>
      <c r="B250" s="1" t="s">
        <v>275</v>
      </c>
      <c r="C250" s="66">
        <v>0.07</v>
      </c>
      <c r="D250" s="66">
        <v>0.11</v>
      </c>
      <c r="E250" s="66">
        <v>0.1</v>
      </c>
      <c r="F250" s="66">
        <v>0.05</v>
      </c>
      <c r="G250" s="66">
        <v>0.33</v>
      </c>
      <c r="H250" s="73">
        <f>C164</f>
        <v>0.04</v>
      </c>
      <c r="I250" s="89" t="s">
        <v>72</v>
      </c>
      <c r="J250" s="1"/>
    </row>
    <row r="251">
      <c r="A251" s="1"/>
      <c r="B251" s="1" t="s">
        <v>276</v>
      </c>
      <c r="C251" s="66">
        <v>-0.06</v>
      </c>
      <c r="D251" s="66">
        <v>-2.1</v>
      </c>
      <c r="E251" s="66">
        <v>-0.05</v>
      </c>
      <c r="F251" s="66">
        <v>-2.82</v>
      </c>
      <c r="G251" s="66">
        <v>-5.03</v>
      </c>
      <c r="H251" s="73">
        <f>C104</f>
        <v>0.17</v>
      </c>
      <c r="I251" s="89" t="s">
        <v>72</v>
      </c>
      <c r="J251" s="1"/>
    </row>
    <row r="252">
      <c r="A252" s="1"/>
      <c r="B252" s="1"/>
      <c r="C252" s="1"/>
      <c r="D252" s="1"/>
      <c r="E252" s="1"/>
      <c r="F252" s="1"/>
      <c r="G252" s="1"/>
      <c r="H252" s="1"/>
      <c r="I252" s="1"/>
      <c r="J252" s="1"/>
    </row>
    <row r="253">
      <c r="A253" s="1"/>
      <c r="B253" s="1"/>
      <c r="C253" s="1"/>
      <c r="D253" s="1"/>
      <c r="E253" s="1"/>
      <c r="F253" s="1"/>
      <c r="G253" s="1"/>
      <c r="H253" s="1"/>
      <c r="I253" s="1"/>
      <c r="J253" s="1"/>
    </row>
  </sheetData>
  <legacyDrawing r:id="rId2"/>
</worksheet>
</file>

<file path=xl/worksheets/sheet6.xml><?xml version="1.0" encoding="utf-8"?>
<worksheet xmlns="http://schemas.openxmlformats.org/spreadsheetml/2006/main" xmlns:r="http://schemas.openxmlformats.org/officeDocument/2006/relationships">
  <dimension ref="A1:J62"/>
  <sheetViews>
    <sheetView showGridLines="0" workbookViewId="0"/>
  </sheetViews>
  <sheetFormatPr defaultColWidth="8.42578125" defaultRowHeight="15"/>
  <cols>
    <col min="1" max="1" width="2" customWidth="1"/>
    <col min="2" max="2" width="32" customWidth="1"/>
    <col min="3" max="8" width="12" customWidth="1"/>
    <col min="9" max="9" width="16" customWidth="1"/>
  </cols>
  <sheetData>
    <row r="1">
      <c r="A1" s="1"/>
      <c r="B1" s="1"/>
      <c r="C1" s="1"/>
      <c r="D1" s="1"/>
      <c r="E1" s="1"/>
      <c r="F1" s="1"/>
      <c r="G1" s="1"/>
      <c r="H1" s="1"/>
      <c r="I1" s="1"/>
      <c r="J1" s="1"/>
    </row>
    <row r="2">
      <c r="A2" s="1"/>
      <c r="B2" s="46" t="s">
        <v>1</v>
      </c>
      <c r="C2" s="1"/>
      <c r="D2" s="1"/>
      <c r="E2" s="1"/>
      <c r="F2" s="1"/>
      <c r="G2" s="1"/>
      <c r="H2" s="1"/>
      <c r="I2" s="1"/>
      <c r="J2" s="1"/>
    </row>
    <row r="3">
      <c r="A3" s="1"/>
      <c r="B3" s="15" t="s">
        <v>277</v>
      </c>
      <c r="C3" s="1"/>
      <c r="D3" s="1"/>
      <c r="E3" s="1"/>
      <c r="F3" s="1"/>
      <c r="G3" s="1"/>
      <c r="H3" s="1"/>
      <c r="I3" s="1"/>
      <c r="J3" s="1"/>
    </row>
    <row r="4">
      <c r="A4" s="1"/>
      <c r="B4" s="25" t="s">
        <v>2</v>
      </c>
      <c r="C4" s="1"/>
      <c r="D4" s="1"/>
      <c r="E4" s="1"/>
      <c r="F4" s="1"/>
      <c r="G4" s="1"/>
      <c r="H4" s="1"/>
      <c r="I4" s="1"/>
      <c r="J4" s="1"/>
    </row>
    <row r="5">
      <c r="A5" s="1"/>
      <c r="B5" s="28" t="s">
        <v>50</v>
      </c>
      <c r="C5" s="2" t="s">
        <v>51</v>
      </c>
      <c r="D5" s="2" t="s">
        <v>52</v>
      </c>
      <c r="E5" s="2" t="s">
        <v>53</v>
      </c>
      <c r="F5" s="2" t="s">
        <v>54</v>
      </c>
      <c r="G5" s="2" t="s">
        <v>55</v>
      </c>
      <c r="H5" s="2" t="s">
        <v>4</v>
      </c>
      <c r="I5" s="90" t="s">
        <v>56</v>
      </c>
      <c r="J5" s="1"/>
    </row>
    <row r="6">
      <c r="A6" s="1"/>
      <c r="B6" s="41" t="s">
        <v>5</v>
      </c>
      <c r="C6" s="17">
        <v>45900</v>
      </c>
      <c r="D6" s="17">
        <v>45991</v>
      </c>
      <c r="E6" s="17">
        <v>46081</v>
      </c>
      <c r="F6" s="17">
        <v>46173</v>
      </c>
      <c r="G6" s="17">
        <v>46173</v>
      </c>
      <c r="H6" s="17">
        <v>46265</v>
      </c>
      <c r="I6" s="92"/>
      <c r="J6" s="1"/>
    </row>
    <row r="7">
      <c r="A7" s="1"/>
      <c r="B7" s="14" t="s">
        <v>6</v>
      </c>
      <c r="C7" s="40">
        <v>92</v>
      </c>
      <c r="D7" s="40">
        <v>91</v>
      </c>
      <c r="E7" s="40">
        <v>90</v>
      </c>
      <c r="F7" s="40">
        <v>92</v>
      </c>
      <c r="G7" s="40">
        <v>365</v>
      </c>
      <c r="H7" s="40">
        <v>92</v>
      </c>
      <c r="I7" s="91"/>
      <c r="J7" s="1"/>
    </row>
    <row r="8">
      <c r="A8" s="1"/>
      <c r="B8" s="1"/>
      <c r="C8" s="1"/>
      <c r="D8" s="1"/>
      <c r="E8" s="1"/>
      <c r="F8" s="1"/>
      <c r="G8" s="1"/>
      <c r="H8" s="1"/>
      <c r="I8" s="89"/>
      <c r="J8" s="1"/>
    </row>
    <row r="9">
      <c r="A9" s="1"/>
      <c r="B9" s="16" t="s">
        <v>278</v>
      </c>
      <c r="C9" s="1"/>
      <c r="D9" s="1"/>
      <c r="E9" s="1"/>
      <c r="F9" s="1"/>
      <c r="G9" s="1"/>
      <c r="H9" s="4"/>
      <c r="I9" s="89"/>
      <c r="J9" s="1"/>
    </row>
    <row r="10">
      <c r="A10" s="1"/>
      <c r="B10" s="1" t="s">
        <v>279</v>
      </c>
      <c r="C10" s="3">
        <v>138.883</v>
      </c>
      <c r="D10" s="3">
        <v>145.34</v>
      </c>
      <c r="E10" s="3">
        <v>159.9</v>
      </c>
      <c r="F10" s="3">
        <v>185.5</v>
      </c>
      <c r="G10" s="8">
        <f>F10</f>
        <v>185.5</v>
      </c>
      <c r="H10" s="48">
        <f>'Cash Flow Statement'!H88</f>
        <v>153.0501919741694</v>
      </c>
      <c r="I10" s="89" t="s">
        <v>72</v>
      </c>
      <c r="J10" s="1"/>
    </row>
    <row r="11">
      <c r="A11" s="1"/>
      <c r="B11" s="1" t="s">
        <v>280</v>
      </c>
      <c r="C11" s="3">
        <v>138.459</v>
      </c>
      <c r="D11" s="3">
        <v>132</v>
      </c>
      <c r="E11" s="3">
        <v>137.1</v>
      </c>
      <c r="F11" s="3">
        <v>146.8</v>
      </c>
      <c r="G11" s="8">
        <f>F11</f>
        <v>146.8</v>
      </c>
      <c r="H11" s="48">
        <f>F11-'Cash Flow Statement'!H40</f>
        <v>141.8</v>
      </c>
      <c r="I11" s="89" t="s">
        <v>72</v>
      </c>
      <c r="J11" s="1"/>
    </row>
    <row r="12">
      <c r="A12" s="1"/>
      <c r="B12" s="1" t="s">
        <v>281</v>
      </c>
      <c r="C12" s="3">
        <v>193.414</v>
      </c>
      <c r="D12" s="3">
        <v>162.766</v>
      </c>
      <c r="E12" s="3">
        <v>161.7</v>
      </c>
      <c r="F12" s="3">
        <v>144.3</v>
      </c>
      <c r="G12" s="8">
        <f>F12</f>
        <v>144.3</v>
      </c>
      <c r="H12" s="48">
        <f>F12-'Cash Flow Statement'!H43</f>
        <v>147.3</v>
      </c>
      <c r="I12" s="89" t="s">
        <v>72</v>
      </c>
      <c r="J12" s="1"/>
    </row>
    <row r="13">
      <c r="A13" s="1"/>
      <c r="B13" s="1" t="s">
        <v>282</v>
      </c>
      <c r="C13" s="3">
        <v>53.304</v>
      </c>
      <c r="D13" s="3">
        <v>57.714</v>
      </c>
      <c r="E13" s="3">
        <v>63.1</v>
      </c>
      <c r="F13" s="3">
        <v>60</v>
      </c>
      <c r="G13" s="8">
        <f>F13</f>
        <v>60</v>
      </c>
      <c r="H13" s="48">
        <f>F13-'Cash Flow Statement'!H46</f>
        <v>60</v>
      </c>
      <c r="I13" s="89" t="s">
        <v>72</v>
      </c>
      <c r="J13" s="1"/>
    </row>
    <row r="14">
      <c r="A14" s="1"/>
      <c r="B14" s="1" t="s">
        <v>283</v>
      </c>
      <c r="C14" s="3">
        <v>0</v>
      </c>
      <c r="D14" s="3">
        <v>76.756</v>
      </c>
      <c r="E14" s="3">
        <v>68.2</v>
      </c>
      <c r="F14" s="3">
        <v>68</v>
      </c>
      <c r="G14" s="8">
        <f>F14</f>
        <v>68</v>
      </c>
      <c r="H14" s="10">
        <f>F14</f>
        <v>68</v>
      </c>
      <c r="I14" s="89" t="s">
        <v>72</v>
      </c>
      <c r="J14" s="1"/>
    </row>
    <row r="15">
      <c r="A15" s="1"/>
      <c r="B15" s="15" t="s">
        <v>284</v>
      </c>
      <c r="C15" s="7">
        <f>SUM(C10:C14)</f>
        <v>524.06</v>
      </c>
      <c r="D15" s="7">
        <f>SUM(D10:D14)</f>
        <v>574.576</v>
      </c>
      <c r="E15" s="7">
        <f>SUM(E10:E14)</f>
        <v>590</v>
      </c>
      <c r="F15" s="7">
        <f>SUM(F10:F14)</f>
        <v>604.6</v>
      </c>
      <c r="G15" s="7">
        <f>SUM(G10:G14)</f>
        <v>604.6</v>
      </c>
      <c r="H15" s="34">
        <f>SUM(H10:H14)</f>
        <v>570.1501919741694</v>
      </c>
      <c r="I15" s="89"/>
      <c r="J15" s="1"/>
    </row>
    <row r="16">
      <c r="A16" s="1"/>
      <c r="B16" s="1" t="s">
        <v>285</v>
      </c>
      <c r="C16" s="3">
        <v>345.893</v>
      </c>
      <c r="D16" s="3">
        <v>332.362</v>
      </c>
      <c r="E16" s="3">
        <v>331.9</v>
      </c>
      <c r="F16" s="3">
        <v>329.8</v>
      </c>
      <c r="G16" s="8">
        <f>F16</f>
        <v>329.8</v>
      </c>
      <c r="H16" s="48">
        <f>F16-'Cash Flow Statement'!H60-'Income Statement'!H190</f>
        <v>332.5</v>
      </c>
      <c r="I16" s="89" t="s">
        <v>72</v>
      </c>
      <c r="J16" s="1"/>
    </row>
    <row r="17">
      <c r="A17" s="1"/>
      <c r="B17" s="1" t="s">
        <v>286</v>
      </c>
      <c r="C17" s="3">
        <v>16.994</v>
      </c>
      <c r="D17" s="3">
        <v>15.096</v>
      </c>
      <c r="E17" s="3">
        <v>15.7</v>
      </c>
      <c r="F17" s="3">
        <v>16.6</v>
      </c>
      <c r="G17" s="8">
        <f>F17</f>
        <v>16.6</v>
      </c>
      <c r="H17" s="10">
        <f>F17</f>
        <v>16.6</v>
      </c>
      <c r="I17" s="89" t="s">
        <v>72</v>
      </c>
      <c r="J17" s="1"/>
    </row>
    <row r="18">
      <c r="A18" s="1"/>
      <c r="B18" s="1" t="s">
        <v>287</v>
      </c>
      <c r="C18" s="3">
        <v>1065.889</v>
      </c>
      <c r="D18" s="3">
        <v>1046.042</v>
      </c>
      <c r="E18" s="3">
        <v>1047.8</v>
      </c>
      <c r="F18" s="3">
        <v>1047.2</v>
      </c>
      <c r="G18" s="8">
        <f>F18</f>
        <v>1047.2</v>
      </c>
      <c r="H18" s="10">
        <f>F18</f>
        <v>1047.2</v>
      </c>
      <c r="I18" s="89" t="s">
        <v>72</v>
      </c>
      <c r="J18" s="1"/>
    </row>
    <row r="19">
      <c r="A19" s="1"/>
      <c r="B19" s="1" t="s">
        <v>288</v>
      </c>
      <c r="C19" s="3">
        <v>1389.141</v>
      </c>
      <c r="D19" s="3">
        <v>1359.375</v>
      </c>
      <c r="E19" s="3">
        <v>1341.8</v>
      </c>
      <c r="F19" s="3">
        <v>1318</v>
      </c>
      <c r="G19" s="8">
        <f>F19</f>
        <v>1318</v>
      </c>
      <c r="H19" s="48">
        <f>F19-'Income Statement'!H114</f>
        <v>1296.1</v>
      </c>
      <c r="I19" s="89" t="s">
        <v>72</v>
      </c>
      <c r="J19" s="1"/>
    </row>
    <row r="20">
      <c r="A20" s="1"/>
      <c r="B20" s="1" t="s">
        <v>289</v>
      </c>
      <c r="C20" s="3">
        <v>36.179</v>
      </c>
      <c r="D20" s="3">
        <v>32.502</v>
      </c>
      <c r="E20" s="3">
        <v>31.8</v>
      </c>
      <c r="F20" s="3">
        <v>29.8</v>
      </c>
      <c r="G20" s="8">
        <f>F20</f>
        <v>29.8</v>
      </c>
      <c r="H20" s="10">
        <f>F20</f>
        <v>29.8</v>
      </c>
      <c r="I20" s="89" t="s">
        <v>72</v>
      </c>
      <c r="J20" s="1"/>
    </row>
    <row r="21">
      <c r="A21" s="1"/>
      <c r="B21" s="15" t="s">
        <v>290</v>
      </c>
      <c r="C21" s="7">
        <f>C15+SUM(C16:C20)</f>
        <v>3378.156</v>
      </c>
      <c r="D21" s="7">
        <f>D15+SUM(D16:D20)</f>
        <v>3359.953</v>
      </c>
      <c r="E21" s="7">
        <f>E15+SUM(E16:E20)</f>
        <v>3359</v>
      </c>
      <c r="F21" s="7">
        <f>F15+SUM(F16:F20)</f>
        <v>3346</v>
      </c>
      <c r="G21" s="7">
        <f>G15+SUM(G16:G20)</f>
        <v>3346</v>
      </c>
      <c r="H21" s="34">
        <f>H15+SUM(H16:H20)</f>
        <v>3292.3501919741693</v>
      </c>
      <c r="I21" s="89"/>
      <c r="J21" s="1"/>
    </row>
    <row r="22">
      <c r="A22" s="1"/>
      <c r="B22" s="1" t="s">
        <v>291</v>
      </c>
      <c r="C22" s="3">
        <v>3378.156</v>
      </c>
      <c r="D22" s="3">
        <v>3359.953</v>
      </c>
      <c r="E22" s="3">
        <v>3359</v>
      </c>
      <c r="F22" s="3">
        <v>3346</v>
      </c>
      <c r="G22" s="3">
        <v>3346</v>
      </c>
      <c r="H22" s="4"/>
      <c r="I22" s="89" t="s">
        <v>72</v>
      </c>
      <c r="J22" s="1"/>
    </row>
    <row r="23">
      <c r="A23" s="1"/>
      <c r="B23" s="1"/>
      <c r="C23" s="1"/>
      <c r="D23" s="1"/>
      <c r="E23" s="1"/>
      <c r="F23" s="1"/>
      <c r="G23" s="1"/>
      <c r="H23" s="4"/>
      <c r="I23" s="89"/>
      <c r="J23" s="1"/>
    </row>
    <row r="24">
      <c r="A24" s="1"/>
      <c r="B24" s="16" t="s">
        <v>292</v>
      </c>
      <c r="C24" s="1"/>
      <c r="D24" s="1"/>
      <c r="E24" s="1"/>
      <c r="F24" s="1"/>
      <c r="G24" s="1"/>
      <c r="H24" s="4"/>
      <c r="I24" s="89"/>
      <c r="J24" s="1"/>
    </row>
    <row r="25">
      <c r="A25" s="1"/>
      <c r="B25" s="1" t="s">
        <v>293</v>
      </c>
      <c r="C25" s="3">
        <v>0</v>
      </c>
      <c r="D25" s="3">
        <v>0</v>
      </c>
      <c r="E25" s="3">
        <v>0</v>
      </c>
      <c r="F25" s="3">
        <v>0</v>
      </c>
      <c r="G25" s="8">
        <f>F25</f>
        <v>0</v>
      </c>
      <c r="H25" s="10">
        <f>F25</f>
        <v>0</v>
      </c>
      <c r="I25" s="89" t="s">
        <v>72</v>
      </c>
      <c r="J25" s="1"/>
    </row>
    <row r="26">
      <c r="A26" s="1"/>
      <c r="B26" s="1" t="s">
        <v>294</v>
      </c>
      <c r="C26" s="3">
        <v>76.596</v>
      </c>
      <c r="D26" s="3">
        <v>63.04</v>
      </c>
      <c r="E26" s="3">
        <v>75.2</v>
      </c>
      <c r="F26" s="3">
        <v>79.1</v>
      </c>
      <c r="G26" s="8">
        <f>F26</f>
        <v>79.1</v>
      </c>
      <c r="H26" s="48">
        <f>F26+'Cash Flow Statement'!H97</f>
        <v>79.1</v>
      </c>
      <c r="I26" s="89" t="s">
        <v>72</v>
      </c>
      <c r="J26" s="1"/>
    </row>
    <row r="27">
      <c r="A27" s="1"/>
      <c r="B27" s="1" t="s">
        <v>295</v>
      </c>
      <c r="C27" s="3">
        <v>20.273</v>
      </c>
      <c r="D27" s="3">
        <v>20.28</v>
      </c>
      <c r="E27" s="3">
        <v>23.5</v>
      </c>
      <c r="F27" s="3">
        <v>26.8</v>
      </c>
      <c r="G27" s="8">
        <f>F27</f>
        <v>26.8</v>
      </c>
      <c r="H27" s="48">
        <f>F27+'Cash Flow Statement'!H100</f>
        <v>18.8</v>
      </c>
      <c r="I27" s="89" t="s">
        <v>72</v>
      </c>
      <c r="J27" s="1"/>
    </row>
    <row r="28">
      <c r="A28" s="1"/>
      <c r="B28" s="1" t="s">
        <v>296</v>
      </c>
      <c r="C28" s="3">
        <v>9.449</v>
      </c>
      <c r="D28" s="3">
        <v>8.963</v>
      </c>
      <c r="E28" s="3">
        <v>9.9</v>
      </c>
      <c r="F28" s="3">
        <v>7.2</v>
      </c>
      <c r="G28" s="8">
        <f>F28</f>
        <v>7.2</v>
      </c>
      <c r="H28" s="10">
        <f>F28</f>
        <v>7.2</v>
      </c>
      <c r="I28" s="89" t="s">
        <v>72</v>
      </c>
      <c r="J28" s="1"/>
    </row>
    <row r="29">
      <c r="A29" s="1"/>
      <c r="B29" s="1" t="s">
        <v>297</v>
      </c>
      <c r="C29" s="3">
        <v>3.556</v>
      </c>
      <c r="D29" s="3">
        <v>11.018</v>
      </c>
      <c r="E29" s="3">
        <v>3.5</v>
      </c>
      <c r="F29" s="3">
        <v>11</v>
      </c>
      <c r="G29" s="8">
        <f>F29</f>
        <v>11</v>
      </c>
      <c r="H29" s="48">
        <f>F29+'Cash Flow Statement'!H103</f>
        <v>3.5999999999999996</v>
      </c>
      <c r="I29" s="89" t="s">
        <v>72</v>
      </c>
      <c r="J29" s="1"/>
    </row>
    <row r="30">
      <c r="A30" s="1"/>
      <c r="B30" s="1" t="s">
        <v>298</v>
      </c>
      <c r="C30" s="3">
        <v>5.824</v>
      </c>
      <c r="D30" s="3">
        <v>3.874</v>
      </c>
      <c r="E30" s="3">
        <v>3.9</v>
      </c>
      <c r="F30" s="3">
        <v>3.6</v>
      </c>
      <c r="G30" s="8">
        <f>F30</f>
        <v>3.6</v>
      </c>
      <c r="H30" s="10">
        <f>F30</f>
        <v>3.6</v>
      </c>
      <c r="I30" s="89" t="s">
        <v>72</v>
      </c>
      <c r="J30" s="1"/>
    </row>
    <row r="31">
      <c r="A31" s="1"/>
      <c r="B31" s="1" t="s">
        <v>299</v>
      </c>
      <c r="C31" s="3">
        <v>30.507</v>
      </c>
      <c r="D31" s="3">
        <v>30.768</v>
      </c>
      <c r="E31" s="3">
        <v>28.2</v>
      </c>
      <c r="F31" s="3">
        <v>23.9</v>
      </c>
      <c r="G31" s="8">
        <f>F31</f>
        <v>23.9</v>
      </c>
      <c r="H31" s="10">
        <f>F31</f>
        <v>23.9</v>
      </c>
      <c r="I31" s="89" t="s">
        <v>72</v>
      </c>
      <c r="J31" s="1"/>
    </row>
    <row r="32">
      <c r="A32" s="1"/>
      <c r="B32" s="1" t="s">
        <v>300</v>
      </c>
      <c r="C32" s="3">
        <v>0</v>
      </c>
      <c r="D32" s="3">
        <v>9.107</v>
      </c>
      <c r="E32" s="3">
        <v>6.4</v>
      </c>
      <c r="F32" s="3">
        <v>6.6</v>
      </c>
      <c r="G32" s="8">
        <f>F32</f>
        <v>6.6</v>
      </c>
      <c r="H32" s="10">
        <f>F32</f>
        <v>6.6</v>
      </c>
      <c r="I32" s="89" t="s">
        <v>72</v>
      </c>
      <c r="J32" s="1"/>
    </row>
    <row r="33">
      <c r="A33" s="1"/>
      <c r="B33" s="15" t="s">
        <v>301</v>
      </c>
      <c r="C33" s="7">
        <f>SUM(C25:C32)</f>
        <v>146.205</v>
      </c>
      <c r="D33" s="7">
        <f>SUM(D25:D32)</f>
        <v>147.05</v>
      </c>
      <c r="E33" s="7">
        <f>SUM(E25:E32)</f>
        <v>150.6</v>
      </c>
      <c r="F33" s="7">
        <f>SUM(F25:F32)</f>
        <v>158.2</v>
      </c>
      <c r="G33" s="7">
        <f>SUM(G25:G32)</f>
        <v>158.2</v>
      </c>
      <c r="H33" s="34">
        <f>SUM(H25:H32)</f>
        <v>142.79999999999998</v>
      </c>
      <c r="I33" s="89"/>
      <c r="J33" s="1"/>
    </row>
    <row r="34">
      <c r="A34" s="1"/>
      <c r="B34" s="1" t="s">
        <v>302</v>
      </c>
      <c r="C34" s="3">
        <v>277.253</v>
      </c>
      <c r="D34" s="3">
        <v>273.947</v>
      </c>
      <c r="E34" s="3">
        <v>269.2</v>
      </c>
      <c r="F34" s="3">
        <v>257.6</v>
      </c>
      <c r="G34" s="8">
        <f>F34</f>
        <v>257.6</v>
      </c>
      <c r="H34" s="48">
        <f>F34+'Cash Flow Statement'!H16</f>
        <v>252.60000000000002</v>
      </c>
      <c r="I34" s="89" t="s">
        <v>72</v>
      </c>
      <c r="J34" s="1"/>
    </row>
    <row r="35">
      <c r="A35" s="1"/>
      <c r="B35" s="1" t="s">
        <v>303</v>
      </c>
      <c r="C35" s="3">
        <v>792.53</v>
      </c>
      <c r="D35" s="3">
        <v>792.926</v>
      </c>
      <c r="E35" s="3">
        <v>793.3</v>
      </c>
      <c r="F35" s="3">
        <v>793.7</v>
      </c>
      <c r="G35" s="8">
        <f>F35</f>
        <v>793.7</v>
      </c>
      <c r="H35" s="48">
        <f>F35+'Cash Flow Statement'!H77+'Cash Flow Statement'!H25</f>
        <v>774.2</v>
      </c>
      <c r="I35" s="89" t="s">
        <v>72</v>
      </c>
      <c r="J35" s="1"/>
    </row>
    <row r="36">
      <c r="A36" s="1"/>
      <c r="B36" s="1" t="s">
        <v>304</v>
      </c>
      <c r="C36" s="3">
        <v>43.519</v>
      </c>
      <c r="D36" s="3">
        <v>41.542</v>
      </c>
      <c r="E36" s="3">
        <v>43.5</v>
      </c>
      <c r="F36" s="3">
        <v>43.6</v>
      </c>
      <c r="G36" s="8">
        <f>F36</f>
        <v>43.6</v>
      </c>
      <c r="H36" s="48">
        <f>F36+'Cash Flow Statement'!H55+'Cash Flow Statement'!H80</f>
        <v>43.5</v>
      </c>
      <c r="I36" s="89" t="s">
        <v>72</v>
      </c>
      <c r="J36" s="1"/>
    </row>
    <row r="37">
      <c r="A37" s="1"/>
      <c r="B37" s="15" t="s">
        <v>305</v>
      </c>
      <c r="C37" s="7">
        <f>C33+SUM(C34:C36)</f>
        <v>1259.5069999999998</v>
      </c>
      <c r="D37" s="7">
        <f>D33+SUM(D34:D36)</f>
        <v>1255.465</v>
      </c>
      <c r="E37" s="7">
        <f>E33+SUM(E34:E36)</f>
        <v>1256.6</v>
      </c>
      <c r="F37" s="7">
        <f>F33+SUM(F34:F36)</f>
        <v>1253.1000000000001</v>
      </c>
      <c r="G37" s="7">
        <f>G33+SUM(G34:G36)</f>
        <v>1253.1000000000001</v>
      </c>
      <c r="H37" s="34">
        <f>H33+SUM(H34:H36)</f>
        <v>1213.1000000000001</v>
      </c>
      <c r="I37" s="89"/>
      <c r="J37" s="1"/>
    </row>
    <row r="38">
      <c r="A38" s="1"/>
      <c r="B38" s="1"/>
      <c r="C38" s="1"/>
      <c r="D38" s="1"/>
      <c r="E38" s="1"/>
      <c r="F38" s="1"/>
      <c r="G38" s="1"/>
      <c r="H38" s="4"/>
      <c r="I38" s="89"/>
      <c r="J38" s="1"/>
    </row>
    <row r="39">
      <c r="A39" s="1"/>
      <c r="B39" s="16" t="s">
        <v>306</v>
      </c>
      <c r="C39" s="1"/>
      <c r="D39" s="1"/>
      <c r="E39" s="1"/>
      <c r="F39" s="1"/>
      <c r="G39" s="1"/>
      <c r="H39" s="4"/>
      <c r="I39" s="89"/>
      <c r="J39" s="1"/>
    </row>
    <row r="40">
      <c r="A40" s="1"/>
      <c r="B40" s="1" t="s">
        <v>307</v>
      </c>
      <c r="C40" s="3">
        <v>34.768</v>
      </c>
      <c r="D40" s="3">
        <v>34.804</v>
      </c>
      <c r="E40" s="3">
        <v>34.8</v>
      </c>
      <c r="F40" s="3">
        <v>34.8</v>
      </c>
      <c r="G40" s="8">
        <f>F40</f>
        <v>34.8</v>
      </c>
      <c r="H40" s="10">
        <f>F40</f>
        <v>34.8</v>
      </c>
      <c r="I40" s="89" t="s">
        <v>72</v>
      </c>
      <c r="J40" s="1"/>
    </row>
    <row r="41">
      <c r="A41" s="1"/>
      <c r="B41" s="1" t="s">
        <v>308</v>
      </c>
      <c r="C41" s="3">
        <v>2607.452</v>
      </c>
      <c r="D41" s="3">
        <v>2611.303</v>
      </c>
      <c r="E41" s="3">
        <v>2613.1</v>
      </c>
      <c r="F41" s="3">
        <v>2616</v>
      </c>
      <c r="G41" s="8">
        <f>F41</f>
        <v>2616</v>
      </c>
      <c r="H41" s="48">
        <f>F41+'Cash Flow Statement'!H19+'Cash Flow Statement'!H71+'Cash Flow Statement'!H74</f>
        <v>2620.6</v>
      </c>
      <c r="I41" s="89" t="s">
        <v>72</v>
      </c>
      <c r="J41" s="1"/>
    </row>
    <row r="42">
      <c r="A42" s="1"/>
      <c r="B42" s="1" t="s">
        <v>309</v>
      </c>
      <c r="C42" s="3">
        <v>-23.485</v>
      </c>
      <c r="D42" s="3">
        <v>-25.609</v>
      </c>
      <c r="E42" s="3">
        <v>-12.5</v>
      </c>
      <c r="F42" s="3">
        <v>-13.6</v>
      </c>
      <c r="G42" s="8">
        <f>F42</f>
        <v>-13.6</v>
      </c>
      <c r="H42" s="10">
        <f>F42</f>
        <v>-13.6</v>
      </c>
      <c r="I42" s="89" t="s">
        <v>72</v>
      </c>
      <c r="J42" s="1"/>
    </row>
    <row r="43">
      <c r="A43" s="1"/>
      <c r="B43" s="1" t="s">
        <v>310</v>
      </c>
      <c r="C43" s="3">
        <v>-500.086</v>
      </c>
      <c r="D43" s="3">
        <v>-516.01</v>
      </c>
      <c r="E43" s="3">
        <v>-533</v>
      </c>
      <c r="F43" s="3">
        <v>-544.3</v>
      </c>
      <c r="G43" s="8">
        <f>F43</f>
        <v>-544.3</v>
      </c>
      <c r="H43" s="48">
        <f>F43+'Income Statement'!H92</f>
        <v>-562.5498080258305</v>
      </c>
      <c r="I43" s="89" t="s">
        <v>72</v>
      </c>
      <c r="J43" s="1"/>
    </row>
    <row r="44">
      <c r="A44" s="1"/>
      <c r="B44" s="15" t="s">
        <v>311</v>
      </c>
      <c r="C44" s="7">
        <f>SUM(C40:C43)</f>
        <v>2118.6490000000003</v>
      </c>
      <c r="D44" s="7">
        <f>SUM(D40:D43)</f>
        <v>2104.488</v>
      </c>
      <c r="E44" s="7">
        <f>SUM(E40:E43)</f>
        <v>2102.4</v>
      </c>
      <c r="F44" s="7">
        <f>SUM(F40:F43)</f>
        <v>2092.9</v>
      </c>
      <c r="G44" s="7">
        <f>SUM(G40:G43)</f>
        <v>2092.9</v>
      </c>
      <c r="H44" s="34">
        <f>SUM(H40:H43)</f>
        <v>2079.2501919741694</v>
      </c>
      <c r="I44" s="89"/>
      <c r="J44" s="1"/>
    </row>
    <row r="45">
      <c r="A45" s="1"/>
      <c r="B45" s="15" t="s">
        <v>312</v>
      </c>
      <c r="C45" s="7">
        <f>C37+C44</f>
        <v>3378.156</v>
      </c>
      <c r="D45" s="7">
        <f>D37+D44</f>
        <v>3359.9529999999995</v>
      </c>
      <c r="E45" s="7">
        <f>E37+E44</f>
        <v>3359</v>
      </c>
      <c r="F45" s="7">
        <f>F37+F44</f>
        <v>3346</v>
      </c>
      <c r="G45" s="7">
        <f>G37+G44</f>
        <v>3346</v>
      </c>
      <c r="H45" s="34">
        <f>H37+H44</f>
        <v>3292.3501919741693</v>
      </c>
      <c r="I45" s="89"/>
      <c r="J45" s="1"/>
    </row>
    <row r="46">
      <c r="A46" s="1"/>
      <c r="B46" s="1" t="s">
        <v>313</v>
      </c>
      <c r="C46" s="8">
        <f>ROUND(C21-C37-C44,3)</f>
        <v>0</v>
      </c>
      <c r="D46" s="8">
        <f>ROUND(D21-D37-D44,3)</f>
        <v>0</v>
      </c>
      <c r="E46" s="8">
        <f>ROUND(E21-E37-E44,3)</f>
        <v>0</v>
      </c>
      <c r="F46" s="8">
        <f>ROUND(F21-F37-F44,3)</f>
        <v>0</v>
      </c>
      <c r="G46" s="8">
        <f>ROUND(G21-G37-G44,3)</f>
        <v>0</v>
      </c>
      <c r="H46" s="10">
        <f>ROUND(H21-H37-H44,3)</f>
        <v>0</v>
      </c>
      <c r="I46" s="89"/>
      <c r="J46" s="1"/>
    </row>
    <row r="47">
      <c r="A47" s="1"/>
      <c r="B47" s="1" t="s">
        <v>106</v>
      </c>
      <c r="C47" s="33" t="b">
        <f>ABS(C21-C37-C44)&lt;0.001</f>
        <v>1</v>
      </c>
      <c r="D47" s="33" t="b">
        <f>ABS(D21-D37-D44)&lt;0.001</f>
        <v>1</v>
      </c>
      <c r="E47" s="33" t="b">
        <f>ABS(E21-E37-E44)&lt;0.001</f>
        <v>1</v>
      </c>
      <c r="F47" s="33" t="b">
        <f>ABS(F21-F37-F44)&lt;0.001</f>
        <v>1</v>
      </c>
      <c r="G47" s="33" t="b">
        <f>ABS(G21-G37-G44)&lt;0.001</f>
        <v>1</v>
      </c>
      <c r="H47" s="54" t="b">
        <f>ABS(H21-H37-H44)&lt;0.001</f>
        <v>1</v>
      </c>
      <c r="I47" s="89"/>
      <c r="J47" s="1"/>
    </row>
    <row r="48">
      <c r="A48" s="1"/>
      <c r="B48" s="1" t="s">
        <v>314</v>
      </c>
      <c r="C48" s="33" t="b">
        <f>ABS(C21-C22)&lt;0.001</f>
        <v>1</v>
      </c>
      <c r="D48" s="33" t="b">
        <f>ABS(D21-D22)&lt;0.001</f>
        <v>1</v>
      </c>
      <c r="E48" s="33" t="b">
        <f>ABS(E21-E22)&lt;0.001</f>
        <v>1</v>
      </c>
      <c r="F48" s="33" t="b">
        <f>ABS(F21-F22)&lt;0.001</f>
        <v>1</v>
      </c>
      <c r="G48" s="33" t="b">
        <f>ABS(G21-G22)&lt;0.001</f>
        <v>1</v>
      </c>
      <c r="H48" s="4"/>
      <c r="I48" s="89"/>
      <c r="J48" s="1"/>
    </row>
    <row r="49">
      <c r="A49" s="1"/>
      <c r="B49" s="1"/>
      <c r="C49" s="1"/>
      <c r="D49" s="1"/>
      <c r="E49" s="1"/>
      <c r="F49" s="1"/>
      <c r="G49" s="1"/>
      <c r="H49" s="4"/>
      <c r="I49" s="89"/>
      <c r="J49" s="1"/>
    </row>
    <row r="50">
      <c r="A50" s="1"/>
      <c r="B50" s="16" t="s">
        <v>315</v>
      </c>
      <c r="C50" s="1"/>
      <c r="D50" s="1"/>
      <c r="E50" s="1"/>
      <c r="F50" s="1"/>
      <c r="G50" s="1"/>
      <c r="H50" s="4"/>
      <c r="I50" s="89"/>
      <c r="J50" s="1"/>
    </row>
    <row r="51">
      <c r="A51" s="1"/>
      <c r="B51" s="15" t="s">
        <v>316</v>
      </c>
      <c r="C51" s="7">
        <f>C25+C35</f>
        <v>792.53</v>
      </c>
      <c r="D51" s="7">
        <f>D25+D35</f>
        <v>792.926</v>
      </c>
      <c r="E51" s="7">
        <f>E25+E35</f>
        <v>793.3</v>
      </c>
      <c r="F51" s="7">
        <f>F25+F35</f>
        <v>793.7</v>
      </c>
      <c r="G51" s="7">
        <f>G25+G35</f>
        <v>793.7</v>
      </c>
      <c r="H51" s="34">
        <f>H25+H35</f>
        <v>774.2</v>
      </c>
      <c r="I51" s="89"/>
      <c r="J51" s="1"/>
    </row>
    <row r="52">
      <c r="A52" s="1"/>
      <c r="B52" s="1" t="s">
        <v>317</v>
      </c>
      <c r="C52" s="8">
        <f>C51-C10</f>
        <v>653.6469999999999</v>
      </c>
      <c r="D52" s="8">
        <f>D51-D10</f>
        <v>647.586</v>
      </c>
      <c r="E52" s="8">
        <f>E51-E10</f>
        <v>633.4</v>
      </c>
      <c r="F52" s="8">
        <f>F51-F10</f>
        <v>608.2</v>
      </c>
      <c r="G52" s="8">
        <f>G51-G10</f>
        <v>608.2</v>
      </c>
      <c r="H52" s="10">
        <f>H51-H10</f>
        <v>621.1498080258307</v>
      </c>
      <c r="I52" s="89"/>
      <c r="J52" s="1"/>
    </row>
    <row r="53">
      <c r="A53" s="1"/>
      <c r="B53" s="1" t="s">
        <v>318</v>
      </c>
      <c r="C53" s="21">
        <f>'Income Statement'!C199+'Income Statement'!D248+'Income Statement'!E248+'Income Statement'!F248</f>
        <v>176.05</v>
      </c>
      <c r="D53" s="21">
        <f>'Income Statement'!C199+'Income Statement'!D199+'Income Statement'!E248+'Income Statement'!F248</f>
        <v>173.41500000000002</v>
      </c>
      <c r="E53" s="21">
        <f>'Income Statement'!C199+'Income Statement'!D199+'Income Statement'!E199+'Income Statement'!F248</f>
        <v>173.033</v>
      </c>
      <c r="F53" s="21">
        <f>'Income Statement'!G199</f>
        <v>177.80900000000008</v>
      </c>
      <c r="G53" s="21">
        <f>'Income Statement'!G199</f>
        <v>177.80900000000008</v>
      </c>
      <c r="H53" s="48">
        <f>'Income Statement'!G199-'Income Statement'!C199+'Income Statement'!H199</f>
        <v>179.99701618131007</v>
      </c>
      <c r="I53" s="89"/>
      <c r="J53" s="1"/>
    </row>
    <row r="54">
      <c r="A54" s="1"/>
      <c r="B54" s="1" t="s">
        <v>319</v>
      </c>
      <c r="C54" s="49">
        <f>C52/C53</f>
        <v>3.7128486225504114</v>
      </c>
      <c r="D54" s="49">
        <f>D52/D53</f>
        <v>3.7343136406885216</v>
      </c>
      <c r="E54" s="49">
        <f>E52/E53</f>
        <v>3.6605734166315096</v>
      </c>
      <c r="F54" s="49">
        <f>F52/F53</f>
        <v>3.4205242704250054</v>
      </c>
      <c r="G54" s="49">
        <f>G52/G53</f>
        <v>3.4205242704250054</v>
      </c>
      <c r="H54" s="61">
        <f>H52/H53</f>
        <v>3.4508894714129577</v>
      </c>
      <c r="I54" s="89"/>
      <c r="J54" s="1"/>
    </row>
    <row r="55">
      <c r="A55" s="1"/>
      <c r="B55" s="25" t="s">
        <v>320</v>
      </c>
      <c r="C55" s="1"/>
      <c r="D55" s="53">
        <f>D54-C54</f>
        <v>0.021465018138110192</v>
      </c>
      <c r="E55" s="53">
        <f>E54-D54</f>
        <v>-0.07374022405701197</v>
      </c>
      <c r="F55" s="53">
        <f>F54-E54</f>
        <v>-0.2400491462065042</v>
      </c>
      <c r="G55" s="1"/>
      <c r="H55" s="56">
        <f>H54-F54</f>
        <v>0.030365200987952257</v>
      </c>
      <c r="I55" s="89"/>
      <c r="J55" s="1"/>
    </row>
    <row r="56">
      <c r="A56" s="1"/>
      <c r="B56" s="1"/>
      <c r="C56" s="1"/>
      <c r="D56" s="1"/>
      <c r="E56" s="1"/>
      <c r="F56" s="1"/>
      <c r="G56" s="1"/>
      <c r="H56" s="4"/>
      <c r="I56" s="89"/>
      <c r="J56" s="1"/>
    </row>
    <row r="57">
      <c r="A57" s="1"/>
      <c r="B57" s="16" t="s">
        <v>321</v>
      </c>
      <c r="C57" s="1"/>
      <c r="D57" s="1"/>
      <c r="E57" s="1"/>
      <c r="F57" s="1"/>
      <c r="G57" s="1"/>
      <c r="H57" s="4"/>
      <c r="I57" s="89"/>
      <c r="J57" s="1"/>
    </row>
    <row r="58">
      <c r="A58" s="1"/>
      <c r="B58" s="1" t="s">
        <v>322</v>
      </c>
      <c r="C58" s="3">
        <v>79.605</v>
      </c>
      <c r="D58" s="1"/>
      <c r="E58" s="1"/>
      <c r="F58" s="1"/>
      <c r="G58" s="1"/>
      <c r="H58" s="4"/>
      <c r="I58" s="89" t="s">
        <v>323</v>
      </c>
      <c r="J58" s="1"/>
    </row>
    <row r="59">
      <c r="A59" s="1"/>
      <c r="B59" s="1" t="s">
        <v>324</v>
      </c>
      <c r="C59" s="3">
        <v>14.134</v>
      </c>
      <c r="D59" s="1"/>
      <c r="E59" s="1"/>
      <c r="F59" s="1"/>
      <c r="G59" s="1"/>
      <c r="H59" s="4"/>
      <c r="I59" s="89" t="s">
        <v>323</v>
      </c>
      <c r="J59" s="1"/>
    </row>
    <row r="60">
      <c r="A60" s="1"/>
      <c r="B60" s="1" t="s">
        <v>325</v>
      </c>
      <c r="C60" s="3">
        <v>11.078</v>
      </c>
      <c r="D60" s="1"/>
      <c r="E60" s="1"/>
      <c r="F60" s="1"/>
      <c r="G60" s="1"/>
      <c r="H60" s="4"/>
      <c r="I60" s="89" t="s">
        <v>323</v>
      </c>
      <c r="J60" s="1"/>
    </row>
    <row r="61">
      <c r="A61" s="1"/>
      <c r="B61" s="1"/>
      <c r="C61" s="1"/>
      <c r="D61" s="1"/>
      <c r="E61" s="1"/>
      <c r="F61" s="1"/>
      <c r="G61" s="1"/>
      <c r="H61" s="1"/>
      <c r="I61" s="1"/>
      <c r="J61" s="1"/>
    </row>
    <row r="62">
      <c r="A62" s="1"/>
      <c r="B62" s="1"/>
      <c r="C62" s="1"/>
      <c r="D62" s="1"/>
      <c r="E62" s="1"/>
      <c r="F62" s="1"/>
      <c r="G62" s="1"/>
      <c r="H62" s="1"/>
      <c r="I62" s="1"/>
      <c r="J62" s="1"/>
    </row>
  </sheetData>
  <legacyDrawing r:id="rId2"/>
</worksheet>
</file>

<file path=xl/worksheets/sheet7.xml><?xml version="1.0" encoding="utf-8"?>
<worksheet xmlns="http://schemas.openxmlformats.org/spreadsheetml/2006/main" xmlns:r="http://schemas.openxmlformats.org/officeDocument/2006/relationships">
  <dimension ref="A1:J137"/>
  <sheetViews>
    <sheetView showGridLines="0" workbookViewId="0"/>
  </sheetViews>
  <sheetFormatPr defaultColWidth="8.42578125" defaultRowHeight="15"/>
  <cols>
    <col min="1" max="1" width="2" customWidth="1"/>
    <col min="2" max="2" width="32" customWidth="1"/>
    <col min="3" max="8" width="12" customWidth="1"/>
    <col min="9" max="9" width="16" customWidth="1"/>
  </cols>
  <sheetData>
    <row r="1">
      <c r="A1" s="1"/>
      <c r="B1" s="1"/>
      <c r="C1" s="1"/>
      <c r="D1" s="1"/>
      <c r="E1" s="1"/>
      <c r="F1" s="1"/>
      <c r="G1" s="1"/>
      <c r="H1" s="1"/>
      <c r="I1" s="1"/>
      <c r="J1" s="1"/>
    </row>
    <row r="2">
      <c r="A2" s="1"/>
      <c r="B2" s="46" t="s">
        <v>1</v>
      </c>
      <c r="C2" s="1"/>
      <c r="D2" s="1"/>
      <c r="E2" s="1"/>
      <c r="F2" s="1"/>
      <c r="G2" s="1"/>
      <c r="H2" s="1"/>
      <c r="I2" s="1"/>
      <c r="J2" s="1"/>
    </row>
    <row r="3">
      <c r="A3" s="1"/>
      <c r="B3" s="15" t="s">
        <v>326</v>
      </c>
      <c r="C3" s="1"/>
      <c r="D3" s="1"/>
      <c r="E3" s="1"/>
      <c r="F3" s="1"/>
      <c r="G3" s="1"/>
      <c r="H3" s="1"/>
      <c r="I3" s="1"/>
      <c r="J3" s="1"/>
    </row>
    <row r="4">
      <c r="A4" s="1"/>
      <c r="B4" s="25" t="s">
        <v>2</v>
      </c>
      <c r="C4" s="1"/>
      <c r="D4" s="1"/>
      <c r="E4" s="1"/>
      <c r="F4" s="1"/>
      <c r="G4" s="1"/>
      <c r="H4" s="1"/>
      <c r="I4" s="1"/>
      <c r="J4" s="1"/>
    </row>
    <row r="5">
      <c r="A5" s="1"/>
      <c r="B5" s="28" t="s">
        <v>50</v>
      </c>
      <c r="C5" s="2" t="s">
        <v>51</v>
      </c>
      <c r="D5" s="2" t="s">
        <v>52</v>
      </c>
      <c r="E5" s="2" t="s">
        <v>53</v>
      </c>
      <c r="F5" s="2" t="s">
        <v>54</v>
      </c>
      <c r="G5" s="2" t="s">
        <v>55</v>
      </c>
      <c r="H5" s="2" t="s">
        <v>4</v>
      </c>
      <c r="I5" s="90" t="s">
        <v>56</v>
      </c>
      <c r="J5" s="1"/>
    </row>
    <row r="6">
      <c r="A6" s="1"/>
      <c r="B6" s="41" t="s">
        <v>5</v>
      </c>
      <c r="C6" s="17">
        <v>45900</v>
      </c>
      <c r="D6" s="17">
        <v>45991</v>
      </c>
      <c r="E6" s="17">
        <v>46081</v>
      </c>
      <c r="F6" s="17">
        <v>46173</v>
      </c>
      <c r="G6" s="17">
        <v>46173</v>
      </c>
      <c r="H6" s="17">
        <v>46265</v>
      </c>
      <c r="I6" s="92"/>
      <c r="J6" s="1"/>
    </row>
    <row r="7">
      <c r="A7" s="1"/>
      <c r="B7" s="14" t="s">
        <v>6</v>
      </c>
      <c r="C7" s="40">
        <v>92</v>
      </c>
      <c r="D7" s="40">
        <v>91</v>
      </c>
      <c r="E7" s="40">
        <v>90</v>
      </c>
      <c r="F7" s="40">
        <v>92</v>
      </c>
      <c r="G7" s="40">
        <v>365</v>
      </c>
      <c r="H7" s="40">
        <v>92</v>
      </c>
      <c r="I7" s="91"/>
      <c r="J7" s="1"/>
    </row>
    <row r="8">
      <c r="A8" s="1"/>
      <c r="B8" s="1"/>
      <c r="C8" s="1"/>
      <c r="D8" s="1"/>
      <c r="E8" s="1"/>
      <c r="F8" s="1"/>
      <c r="G8" s="1"/>
      <c r="H8" s="1"/>
      <c r="I8" s="89"/>
      <c r="J8" s="1"/>
    </row>
    <row r="9">
      <c r="A9" s="1"/>
      <c r="B9" s="16" t="s">
        <v>327</v>
      </c>
      <c r="C9" s="1"/>
      <c r="D9" s="1"/>
      <c r="E9" s="1"/>
      <c r="F9" s="1"/>
      <c r="G9" s="1"/>
      <c r="H9" s="4"/>
      <c r="I9" s="89"/>
      <c r="J9" s="1"/>
    </row>
    <row r="10">
      <c r="A10" s="1"/>
      <c r="B10" s="1" t="s">
        <v>273</v>
      </c>
      <c r="C10" s="8">
        <f>C108</f>
        <v>36.338</v>
      </c>
      <c r="D10" s="8">
        <f>D108-C108</f>
        <v>-15.924</v>
      </c>
      <c r="E10" s="8">
        <f>E108-D108</f>
        <v>-17.014000000000003</v>
      </c>
      <c r="F10" s="8">
        <f>F108-E108</f>
        <v>-11.3</v>
      </c>
      <c r="G10" s="8">
        <f>F108</f>
        <v>-7.9</v>
      </c>
      <c r="H10" s="48">
        <f>'Income Statement'!H92</f>
        <v>-18.249808025830603</v>
      </c>
      <c r="I10" s="89"/>
      <c r="J10" s="1"/>
    </row>
    <row r="11">
      <c r="A11" s="1"/>
      <c r="B11" s="25" t="s">
        <v>61</v>
      </c>
      <c r="C11" s="1"/>
      <c r="D11" s="5">
        <f>D10-C10</f>
        <v>-52.262</v>
      </c>
      <c r="E11" s="5">
        <f>E10-D10</f>
        <v>-1.0900000000000034</v>
      </c>
      <c r="F11" s="5">
        <f>F10-E10</f>
        <v>5.714000000000002</v>
      </c>
      <c r="G11" s="1"/>
      <c r="H11" s="37">
        <f>H10-F10</f>
        <v>-6.9498080258306025</v>
      </c>
      <c r="I11" s="89"/>
      <c r="J11" s="1"/>
    </row>
    <row r="12">
      <c r="A12" s="1"/>
      <c r="B12" s="25" t="s">
        <v>204</v>
      </c>
      <c r="C12" s="1"/>
      <c r="D12" s="1"/>
      <c r="E12" s="1"/>
      <c r="F12" s="1"/>
      <c r="G12" s="1"/>
      <c r="H12" s="37">
        <f>H10-C10</f>
        <v>-54.587808025830604</v>
      </c>
      <c r="I12" s="89"/>
      <c r="J12" s="1"/>
    </row>
    <row r="13">
      <c r="A13" s="1"/>
      <c r="B13" s="1" t="s">
        <v>270</v>
      </c>
      <c r="C13" s="8">
        <f>C109</f>
        <v>29.055</v>
      </c>
      <c r="D13" s="8">
        <f>D109-C109</f>
        <v>28.927</v>
      </c>
      <c r="E13" s="8">
        <f>E109-D109</f>
        <v>28.918000000000006</v>
      </c>
      <c r="F13" s="8">
        <f>F109-E109</f>
        <v>29.39999999999999</v>
      </c>
      <c r="G13" s="8">
        <f>F109</f>
        <v>116.3</v>
      </c>
      <c r="H13" s="48">
        <f>'Income Statement'!H189</f>
        <v>29.2</v>
      </c>
      <c r="I13" s="89"/>
      <c r="J13" s="1"/>
    </row>
    <row r="14">
      <c r="A14" s="1"/>
      <c r="B14" s="25" t="s">
        <v>61</v>
      </c>
      <c r="C14" s="1"/>
      <c r="D14" s="5">
        <f>D13-C13</f>
        <v>-0.1280000000000001</v>
      </c>
      <c r="E14" s="5">
        <f>E13-D13</f>
        <v>-0.008999999999993236</v>
      </c>
      <c r="F14" s="5">
        <f>F13-E13</f>
        <v>0.4819999999999851</v>
      </c>
      <c r="G14" s="1"/>
      <c r="H14" s="37">
        <f>H13-F13</f>
        <v>-0.19999999999999218</v>
      </c>
      <c r="I14" s="89"/>
      <c r="J14" s="1"/>
    </row>
    <row r="15">
      <c r="A15" s="1"/>
      <c r="B15" s="25" t="s">
        <v>204</v>
      </c>
      <c r="C15" s="1"/>
      <c r="D15" s="1"/>
      <c r="E15" s="1"/>
      <c r="F15" s="1"/>
      <c r="G15" s="1"/>
      <c r="H15" s="37">
        <f>H13-C13</f>
        <v>0.14499999999999957</v>
      </c>
      <c r="I15" s="89"/>
      <c r="J15" s="1"/>
    </row>
    <row r="16">
      <c r="A16" s="1"/>
      <c r="B16" s="1" t="s">
        <v>328</v>
      </c>
      <c r="C16" s="8">
        <f>C110</f>
        <v>-5.83</v>
      </c>
      <c r="D16" s="8">
        <f>D110-C110</f>
        <v>-5.4</v>
      </c>
      <c r="E16" s="8">
        <f>E110-D110</f>
        <v>-4.27</v>
      </c>
      <c r="F16" s="8">
        <f>F110-E110</f>
        <v>-8.8</v>
      </c>
      <c r="G16" s="8">
        <f>F110</f>
        <v>-24.3</v>
      </c>
      <c r="H16" s="12">
        <v>-5</v>
      </c>
      <c r="I16" s="89"/>
      <c r="J16" s="1"/>
    </row>
    <row r="17">
      <c r="A17" s="1"/>
      <c r="B17" s="25" t="s">
        <v>61</v>
      </c>
      <c r="C17" s="1"/>
      <c r="D17" s="5">
        <f>D16-C16</f>
        <v>0.4299999999999997</v>
      </c>
      <c r="E17" s="5">
        <f>E16-D16</f>
        <v>1.1300000000000008</v>
      </c>
      <c r="F17" s="5">
        <f>F16-E16</f>
        <v>-4.530000000000001</v>
      </c>
      <c r="G17" s="1"/>
      <c r="H17" s="37">
        <f>H16-F16</f>
        <v>3.8000000000000007</v>
      </c>
      <c r="I17" s="89"/>
      <c r="J17" s="1"/>
    </row>
    <row r="18">
      <c r="A18" s="1"/>
      <c r="B18" s="25" t="s">
        <v>204</v>
      </c>
      <c r="C18" s="1"/>
      <c r="D18" s="1"/>
      <c r="E18" s="1"/>
      <c r="F18" s="1"/>
      <c r="G18" s="1"/>
      <c r="H18" s="37">
        <f>H16-C16</f>
        <v>0.8300000000000001</v>
      </c>
      <c r="I18" s="89"/>
      <c r="J18" s="1"/>
    </row>
    <row r="19">
      <c r="A19" s="1"/>
      <c r="B19" s="1" t="s">
        <v>329</v>
      </c>
      <c r="C19" s="8">
        <f>C111</f>
        <v>4.962</v>
      </c>
      <c r="D19" s="8">
        <f>D111-C111</f>
        <v>4.338000000000001</v>
      </c>
      <c r="E19" s="8">
        <f>E111-D111</f>
        <v>1.0999999999999996</v>
      </c>
      <c r="F19" s="8">
        <f>F111-E111</f>
        <v>3</v>
      </c>
      <c r="G19" s="8">
        <f>F111</f>
        <v>13.4</v>
      </c>
      <c r="H19" s="48">
        <f>'Income Statement'!H117</f>
        <v>4</v>
      </c>
      <c r="I19" s="89"/>
      <c r="J19" s="1"/>
    </row>
    <row r="20">
      <c r="A20" s="1"/>
      <c r="B20" s="25" t="s">
        <v>61</v>
      </c>
      <c r="C20" s="1"/>
      <c r="D20" s="5">
        <f>D19-C19</f>
        <v>-0.6239999999999988</v>
      </c>
      <c r="E20" s="5">
        <f>E19-D19</f>
        <v>-3.2380000000000013</v>
      </c>
      <c r="F20" s="5">
        <f>F19-E19</f>
        <v>1.9000000000000004</v>
      </c>
      <c r="G20" s="1"/>
      <c r="H20" s="37">
        <f>H19-F19</f>
        <v>1</v>
      </c>
      <c r="I20" s="89"/>
      <c r="J20" s="1"/>
    </row>
    <row r="21">
      <c r="A21" s="1"/>
      <c r="B21" s="25" t="s">
        <v>204</v>
      </c>
      <c r="C21" s="1"/>
      <c r="D21" s="1"/>
      <c r="E21" s="1"/>
      <c r="F21" s="1"/>
      <c r="G21" s="1"/>
      <c r="H21" s="37">
        <f>H19-C19</f>
        <v>-0.9619999999999997</v>
      </c>
      <c r="I21" s="89"/>
      <c r="J21" s="1"/>
    </row>
    <row r="22">
      <c r="A22" s="1"/>
      <c r="B22" s="1" t="s">
        <v>330</v>
      </c>
      <c r="C22" s="8">
        <f>C112</f>
        <v>0.699</v>
      </c>
      <c r="D22" s="8">
        <f>D112-C112</f>
        <v>0.267</v>
      </c>
      <c r="E22" s="8">
        <f>E112-D112</f>
        <v>0.23399999999999999</v>
      </c>
      <c r="F22" s="8">
        <f>F112-E112</f>
        <v>0</v>
      </c>
      <c r="G22" s="8">
        <f>F112</f>
        <v>1.2</v>
      </c>
      <c r="H22" s="12">
        <v>0</v>
      </c>
      <c r="I22" s="89"/>
      <c r="J22" s="1"/>
    </row>
    <row r="23">
      <c r="A23" s="1"/>
      <c r="B23" s="25" t="s">
        <v>61</v>
      </c>
      <c r="C23" s="1"/>
      <c r="D23" s="5">
        <f>D22-C22</f>
        <v>-0.43199999999999994</v>
      </c>
      <c r="E23" s="5">
        <f>E22-D22</f>
        <v>-0.03300000000000003</v>
      </c>
      <c r="F23" s="5">
        <f>F22-E22</f>
        <v>-0.23399999999999999</v>
      </c>
      <c r="G23" s="1"/>
      <c r="H23" s="37">
        <f>H22-F22</f>
        <v>0</v>
      </c>
      <c r="I23" s="89"/>
      <c r="J23" s="1"/>
    </row>
    <row r="24">
      <c r="A24" s="1"/>
      <c r="B24" s="25" t="s">
        <v>204</v>
      </c>
      <c r="C24" s="1"/>
      <c r="D24" s="1"/>
      <c r="E24" s="1"/>
      <c r="F24" s="1"/>
      <c r="G24" s="1"/>
      <c r="H24" s="37">
        <f>H22-C22</f>
        <v>-0.699</v>
      </c>
      <c r="I24" s="89"/>
      <c r="J24" s="1"/>
    </row>
    <row r="25">
      <c r="A25" s="1"/>
      <c r="B25" s="1" t="s">
        <v>331</v>
      </c>
      <c r="C25" s="8">
        <f>C113</f>
        <v>0.539</v>
      </c>
      <c r="D25" s="8">
        <f>D113-C113</f>
        <v>0.4819999999999999</v>
      </c>
      <c r="E25" s="8">
        <f>E113-D113</f>
        <v>0.4790000000000001</v>
      </c>
      <c r="F25" s="8">
        <f>F113-E113</f>
        <v>0.5</v>
      </c>
      <c r="G25" s="8">
        <f>F113</f>
        <v>2</v>
      </c>
      <c r="H25" s="12">
        <v>0.5</v>
      </c>
      <c r="I25" s="89"/>
      <c r="J25" s="1"/>
    </row>
    <row r="26">
      <c r="A26" s="1"/>
      <c r="B26" s="25" t="s">
        <v>61</v>
      </c>
      <c r="C26" s="1"/>
      <c r="D26" s="5">
        <f>D25-C25</f>
        <v>-0.05700000000000016</v>
      </c>
      <c r="E26" s="5">
        <f>E25-D25</f>
        <v>-0.0029999999999997806</v>
      </c>
      <c r="F26" s="5">
        <f>F25-E25</f>
        <v>0.020999999999999908</v>
      </c>
      <c r="G26" s="1"/>
      <c r="H26" s="37">
        <f>H25-F25</f>
        <v>0</v>
      </c>
      <c r="I26" s="89"/>
      <c r="J26" s="1"/>
    </row>
    <row r="27">
      <c r="A27" s="1"/>
      <c r="B27" s="25" t="s">
        <v>204</v>
      </c>
      <c r="C27" s="1"/>
      <c r="D27" s="1"/>
      <c r="E27" s="1"/>
      <c r="F27" s="1"/>
      <c r="G27" s="1"/>
      <c r="H27" s="37">
        <f>H25-C25</f>
        <v>-0.039000000000000035</v>
      </c>
      <c r="I27" s="89"/>
      <c r="J27" s="1"/>
    </row>
    <row r="28">
      <c r="A28" s="1"/>
      <c r="B28" s="1" t="s">
        <v>332</v>
      </c>
      <c r="C28" s="8">
        <f>C114</f>
        <v>0.393</v>
      </c>
      <c r="D28" s="8">
        <f>D114-C114</f>
        <v>0</v>
      </c>
      <c r="E28" s="8">
        <f>E114-D114</f>
        <v>0.007000000000000006</v>
      </c>
      <c r="F28" s="8">
        <f>F114-E114</f>
        <v>0</v>
      </c>
      <c r="G28" s="8">
        <f>F114</f>
        <v>0.4</v>
      </c>
      <c r="H28" s="12">
        <v>0</v>
      </c>
      <c r="I28" s="89"/>
      <c r="J28" s="1"/>
    </row>
    <row r="29">
      <c r="A29" s="1"/>
      <c r="B29" s="25" t="s">
        <v>61</v>
      </c>
      <c r="C29" s="1"/>
      <c r="D29" s="5">
        <f>D28-C28</f>
        <v>-0.393</v>
      </c>
      <c r="E29" s="5">
        <f>E28-D28</f>
        <v>0.007000000000000006</v>
      </c>
      <c r="F29" s="5">
        <f>F28-E28</f>
        <v>-0.007000000000000006</v>
      </c>
      <c r="G29" s="1"/>
      <c r="H29" s="37">
        <f>H28-F28</f>
        <v>0</v>
      </c>
      <c r="I29" s="89"/>
      <c r="J29" s="1"/>
    </row>
    <row r="30">
      <c r="A30" s="1"/>
      <c r="B30" s="25" t="s">
        <v>204</v>
      </c>
      <c r="C30" s="1"/>
      <c r="D30" s="1"/>
      <c r="E30" s="1"/>
      <c r="F30" s="1"/>
      <c r="G30" s="1"/>
      <c r="H30" s="37">
        <f>H28-C28</f>
        <v>-0.393</v>
      </c>
      <c r="I30" s="89"/>
      <c r="J30" s="1"/>
    </row>
    <row r="31">
      <c r="A31" s="1"/>
      <c r="B31" s="1" t="s">
        <v>333</v>
      </c>
      <c r="C31" s="8">
        <f>C115</f>
        <v>0</v>
      </c>
      <c r="D31" s="8">
        <f>D115-C115</f>
        <v>0</v>
      </c>
      <c r="E31" s="8">
        <f>E115-D115</f>
        <v>0</v>
      </c>
      <c r="F31" s="8">
        <f>F115-E115</f>
        <v>5.6</v>
      </c>
      <c r="G31" s="8">
        <f>F115</f>
        <v>5.6</v>
      </c>
      <c r="H31" s="12">
        <v>0</v>
      </c>
      <c r="I31" s="89"/>
      <c r="J31" s="1"/>
    </row>
    <row r="32">
      <c r="A32" s="1"/>
      <c r="B32" s="25" t="s">
        <v>61</v>
      </c>
      <c r="C32" s="1"/>
      <c r="D32" s="5">
        <f>D31-C31</f>
        <v>0</v>
      </c>
      <c r="E32" s="5">
        <f>E31-D31</f>
        <v>0</v>
      </c>
      <c r="F32" s="5">
        <f>F31-E31</f>
        <v>5.6</v>
      </c>
      <c r="G32" s="1"/>
      <c r="H32" s="37">
        <f>H31-F31</f>
        <v>-5.6</v>
      </c>
      <c r="I32" s="89"/>
      <c r="J32" s="1"/>
    </row>
    <row r="33">
      <c r="A33" s="1"/>
      <c r="B33" s="25" t="s">
        <v>204</v>
      </c>
      <c r="C33" s="1"/>
      <c r="D33" s="1"/>
      <c r="E33" s="1"/>
      <c r="F33" s="1"/>
      <c r="G33" s="1"/>
      <c r="H33" s="37">
        <f>H31-C31</f>
        <v>0</v>
      </c>
      <c r="I33" s="89"/>
      <c r="J33" s="1"/>
    </row>
    <row r="34">
      <c r="A34" s="1"/>
      <c r="B34" s="1" t="s">
        <v>180</v>
      </c>
      <c r="C34" s="8">
        <f>C116</f>
        <v>-76.39</v>
      </c>
      <c r="D34" s="8">
        <f>D116-C116</f>
        <v>0</v>
      </c>
      <c r="E34" s="8">
        <f>E116-D116</f>
        <v>-0.010000000000005116</v>
      </c>
      <c r="F34" s="8">
        <f>F116-E116</f>
        <v>0</v>
      </c>
      <c r="G34" s="8">
        <f>F116</f>
        <v>-76.4</v>
      </c>
      <c r="H34" s="48">
        <f>-'Income Statement'!H79</f>
        <v>0</v>
      </c>
      <c r="I34" s="89"/>
      <c r="J34" s="1"/>
    </row>
    <row r="35">
      <c r="A35" s="1"/>
      <c r="B35" s="25" t="s">
        <v>61</v>
      </c>
      <c r="C35" s="1"/>
      <c r="D35" s="5">
        <f>D34-C34</f>
        <v>76.39</v>
      </c>
      <c r="E35" s="5">
        <f>E34-D34</f>
        <v>-0.010000000000005116</v>
      </c>
      <c r="F35" s="5">
        <f>F34-E34</f>
        <v>0.010000000000005116</v>
      </c>
      <c r="G35" s="1"/>
      <c r="H35" s="37">
        <f>H34-F34</f>
        <v>0</v>
      </c>
      <c r="I35" s="89"/>
      <c r="J35" s="1"/>
    </row>
    <row r="36">
      <c r="A36" s="1"/>
      <c r="B36" s="25" t="s">
        <v>204</v>
      </c>
      <c r="C36" s="1"/>
      <c r="D36" s="1"/>
      <c r="E36" s="1"/>
      <c r="F36" s="1"/>
      <c r="G36" s="1"/>
      <c r="H36" s="37">
        <f>H34-C34</f>
        <v>76.39</v>
      </c>
      <c r="I36" s="89"/>
      <c r="J36" s="1"/>
    </row>
    <row r="37">
      <c r="A37" s="1"/>
      <c r="B37" s="1" t="s">
        <v>334</v>
      </c>
      <c r="C37" s="8">
        <f>C117</f>
        <v>-0.382</v>
      </c>
      <c r="D37" s="8">
        <f>D117-C117</f>
        <v>-0.044999999999999984</v>
      </c>
      <c r="E37" s="8">
        <f>E117-D117</f>
        <v>0.22699999999999998</v>
      </c>
      <c r="F37" s="8">
        <f>F117-E117</f>
        <v>1</v>
      </c>
      <c r="G37" s="8">
        <f>F117</f>
        <v>0.8</v>
      </c>
      <c r="H37" s="12">
        <v>0</v>
      </c>
      <c r="I37" s="89"/>
      <c r="J37" s="1"/>
    </row>
    <row r="38">
      <c r="A38" s="1"/>
      <c r="B38" s="25" t="s">
        <v>61</v>
      </c>
      <c r="C38" s="1"/>
      <c r="D38" s="5">
        <f>D37-C37</f>
        <v>0.337</v>
      </c>
      <c r="E38" s="5">
        <f>E37-D37</f>
        <v>0.27199999999999996</v>
      </c>
      <c r="F38" s="5">
        <f>F37-E37</f>
        <v>0.773</v>
      </c>
      <c r="G38" s="1"/>
      <c r="H38" s="37">
        <f>H37-F37</f>
        <v>-1</v>
      </c>
      <c r="I38" s="89"/>
      <c r="J38" s="1"/>
    </row>
    <row r="39">
      <c r="A39" s="1"/>
      <c r="B39" s="25" t="s">
        <v>204</v>
      </c>
      <c r="C39" s="1"/>
      <c r="D39" s="1"/>
      <c r="E39" s="1"/>
      <c r="F39" s="1"/>
      <c r="G39" s="1"/>
      <c r="H39" s="37">
        <f>H37-C37</f>
        <v>0.382</v>
      </c>
      <c r="I39" s="89"/>
      <c r="J39" s="1"/>
    </row>
    <row r="40">
      <c r="A40" s="1"/>
      <c r="B40" s="1" t="s">
        <v>335</v>
      </c>
      <c r="C40" s="8">
        <f>C118</f>
        <v>17.607</v>
      </c>
      <c r="D40" s="8">
        <f>D118-C118</f>
        <v>-6.258999999999999</v>
      </c>
      <c r="E40" s="8">
        <f>E118-D118</f>
        <v>5.252000000000001</v>
      </c>
      <c r="F40" s="8">
        <f>F118-E118</f>
        <v>-9.8</v>
      </c>
      <c r="G40" s="8">
        <f>F118</f>
        <v>6.8</v>
      </c>
      <c r="H40" s="12">
        <v>5</v>
      </c>
      <c r="I40" s="89"/>
      <c r="J40" s="1"/>
    </row>
    <row r="41">
      <c r="A41" s="1"/>
      <c r="B41" s="25" t="s">
        <v>61</v>
      </c>
      <c r="C41" s="1"/>
      <c r="D41" s="5">
        <f>D40-C40</f>
        <v>-23.866</v>
      </c>
      <c r="E41" s="5">
        <f>E40-D40</f>
        <v>11.511</v>
      </c>
      <c r="F41" s="5">
        <f>F40-E40</f>
        <v>-15.052000000000001</v>
      </c>
      <c r="G41" s="1"/>
      <c r="H41" s="37">
        <f>H40-F40</f>
        <v>14.8</v>
      </c>
      <c r="I41" s="89"/>
      <c r="J41" s="1"/>
    </row>
    <row r="42">
      <c r="A42" s="1"/>
      <c r="B42" s="25" t="s">
        <v>204</v>
      </c>
      <c r="C42" s="1"/>
      <c r="D42" s="1"/>
      <c r="E42" s="1"/>
      <c r="F42" s="1"/>
      <c r="G42" s="1"/>
      <c r="H42" s="37">
        <f>H40-C40</f>
        <v>-12.607</v>
      </c>
      <c r="I42" s="89"/>
      <c r="J42" s="1"/>
    </row>
    <row r="43">
      <c r="A43" s="1"/>
      <c r="B43" s="1" t="s">
        <v>336</v>
      </c>
      <c r="C43" s="8">
        <f>C119</f>
        <v>-1.958</v>
      </c>
      <c r="D43" s="8">
        <f>D119-C119</f>
        <v>18.662999999999997</v>
      </c>
      <c r="E43" s="8">
        <f>E119-D119</f>
        <v>4.795000000000002</v>
      </c>
      <c r="F43" s="8">
        <f>F119-E119</f>
        <v>16.700000000000003</v>
      </c>
      <c r="G43" s="8">
        <f>F119</f>
        <v>38.2</v>
      </c>
      <c r="H43" s="12">
        <v>-3</v>
      </c>
      <c r="I43" s="89"/>
      <c r="J43" s="1"/>
    </row>
    <row r="44">
      <c r="A44" s="1"/>
      <c r="B44" s="25" t="s">
        <v>61</v>
      </c>
      <c r="C44" s="1"/>
      <c r="D44" s="5">
        <f>D43-C43</f>
        <v>20.620999999999995</v>
      </c>
      <c r="E44" s="5">
        <f>E43-D43</f>
        <v>-13.867999999999995</v>
      </c>
      <c r="F44" s="5">
        <f>F43-E43</f>
        <v>11.905000000000001</v>
      </c>
      <c r="G44" s="1"/>
      <c r="H44" s="37">
        <f>H43-F43</f>
        <v>-19.700000000000003</v>
      </c>
      <c r="I44" s="89"/>
      <c r="J44" s="1"/>
    </row>
    <row r="45">
      <c r="A45" s="1"/>
      <c r="B45" s="25" t="s">
        <v>204</v>
      </c>
      <c r="C45" s="1"/>
      <c r="D45" s="1"/>
      <c r="E45" s="1"/>
      <c r="F45" s="1"/>
      <c r="G45" s="1"/>
      <c r="H45" s="37">
        <f>H43-C43</f>
        <v>-1.042</v>
      </c>
      <c r="I45" s="89"/>
      <c r="J45" s="1"/>
    </row>
    <row r="46">
      <c r="A46" s="1"/>
      <c r="B46" s="1" t="s">
        <v>337</v>
      </c>
      <c r="C46" s="8">
        <f>C120</f>
        <v>1.239</v>
      </c>
      <c r="D46" s="8">
        <f>D120-C120</f>
        <v>-5.671</v>
      </c>
      <c r="E46" s="8">
        <f>E120-D120</f>
        <v>-5.568</v>
      </c>
      <c r="F46" s="8">
        <f>F120-E120</f>
        <v>3.3</v>
      </c>
      <c r="G46" s="8">
        <f>F120</f>
        <v>-6.7</v>
      </c>
      <c r="H46" s="12">
        <v>0</v>
      </c>
      <c r="I46" s="89"/>
      <c r="J46" s="1"/>
    </row>
    <row r="47">
      <c r="A47" s="1"/>
      <c r="B47" s="25" t="s">
        <v>61</v>
      </c>
      <c r="C47" s="1"/>
      <c r="D47" s="5">
        <f>D46-C46</f>
        <v>-6.91</v>
      </c>
      <c r="E47" s="5">
        <f>E46-D46</f>
        <v>0.10300000000000065</v>
      </c>
      <c r="F47" s="5">
        <f>F46-E46</f>
        <v>8.867999999999999</v>
      </c>
      <c r="G47" s="1"/>
      <c r="H47" s="37">
        <f>H46-F46</f>
        <v>-3.3</v>
      </c>
      <c r="I47" s="89"/>
      <c r="J47" s="1"/>
    </row>
    <row r="48">
      <c r="A48" s="1"/>
      <c r="B48" s="25" t="s">
        <v>204</v>
      </c>
      <c r="C48" s="1"/>
      <c r="D48" s="1"/>
      <c r="E48" s="1"/>
      <c r="F48" s="1"/>
      <c r="G48" s="1"/>
      <c r="H48" s="37">
        <f>H46-C46</f>
        <v>-1.239</v>
      </c>
      <c r="I48" s="89"/>
      <c r="J48" s="1"/>
    </row>
    <row r="49">
      <c r="A49" s="1"/>
      <c r="B49" s="1" t="s">
        <v>338</v>
      </c>
      <c r="C49" s="8">
        <f>C121</f>
        <v>14.169</v>
      </c>
      <c r="D49" s="8">
        <f>D121-C121</f>
        <v>-9.31</v>
      </c>
      <c r="E49" s="8">
        <f>E121-D121</f>
        <v>15.641</v>
      </c>
      <c r="F49" s="8">
        <f>F121-E121</f>
        <v>-0.6999999999999993</v>
      </c>
      <c r="G49" s="8">
        <f>F121</f>
        <v>19.8</v>
      </c>
      <c r="H49" s="10">
        <f>H97+H100</f>
        <v>-8</v>
      </c>
      <c r="I49" s="89"/>
      <c r="J49" s="1"/>
    </row>
    <row r="50">
      <c r="A50" s="1"/>
      <c r="B50" s="25" t="s">
        <v>61</v>
      </c>
      <c r="C50" s="1"/>
      <c r="D50" s="5">
        <f>D49-C49</f>
        <v>-23.479</v>
      </c>
      <c r="E50" s="5">
        <f>E49-D49</f>
        <v>24.951</v>
      </c>
      <c r="F50" s="5">
        <f>F49-E49</f>
        <v>-16.341</v>
      </c>
      <c r="G50" s="1"/>
      <c r="H50" s="37">
        <f>H49-F49</f>
        <v>-7.300000000000001</v>
      </c>
      <c r="I50" s="89"/>
      <c r="J50" s="1"/>
    </row>
    <row r="51">
      <c r="A51" s="1"/>
      <c r="B51" s="25" t="s">
        <v>204</v>
      </c>
      <c r="C51" s="1"/>
      <c r="D51" s="1"/>
      <c r="E51" s="1"/>
      <c r="F51" s="1"/>
      <c r="G51" s="1"/>
      <c r="H51" s="37">
        <f>H49-C49</f>
        <v>-22.169</v>
      </c>
      <c r="I51" s="89"/>
      <c r="J51" s="1"/>
    </row>
    <row r="52">
      <c r="A52" s="1"/>
      <c r="B52" s="1" t="s">
        <v>339</v>
      </c>
      <c r="C52" s="8">
        <f>C122</f>
        <v>-7.521</v>
      </c>
      <c r="D52" s="8">
        <f>D122-C122</f>
        <v>7.461</v>
      </c>
      <c r="E52" s="8">
        <f>E122-D122</f>
        <v>-7.54</v>
      </c>
      <c r="F52" s="8">
        <f>F122-E122</f>
        <v>7.6</v>
      </c>
      <c r="G52" s="8">
        <f>F122</f>
        <v>0</v>
      </c>
      <c r="H52" s="10">
        <f>H103</f>
        <v>-7.4</v>
      </c>
      <c r="I52" s="89"/>
      <c r="J52" s="1"/>
    </row>
    <row r="53">
      <c r="A53" s="1"/>
      <c r="B53" s="25" t="s">
        <v>61</v>
      </c>
      <c r="C53" s="1"/>
      <c r="D53" s="5">
        <f>D52-C52</f>
        <v>14.982</v>
      </c>
      <c r="E53" s="5">
        <f>E52-D52</f>
        <v>-15.001000000000001</v>
      </c>
      <c r="F53" s="5">
        <f>F52-E52</f>
        <v>15.14</v>
      </c>
      <c r="G53" s="1"/>
      <c r="H53" s="37">
        <f>H52-F52</f>
        <v>-15</v>
      </c>
      <c r="I53" s="89"/>
      <c r="J53" s="1"/>
    </row>
    <row r="54">
      <c r="A54" s="1"/>
      <c r="B54" s="25" t="s">
        <v>204</v>
      </c>
      <c r="C54" s="1"/>
      <c r="D54" s="1"/>
      <c r="E54" s="1"/>
      <c r="F54" s="1"/>
      <c r="G54" s="1"/>
      <c r="H54" s="37">
        <f>H52-C52</f>
        <v>0.12099999999999955</v>
      </c>
      <c r="I54" s="89"/>
      <c r="J54" s="1"/>
    </row>
    <row r="55">
      <c r="A55" s="1"/>
      <c r="B55" s="1" t="s">
        <v>340</v>
      </c>
      <c r="C55" s="8">
        <f>C123</f>
        <v>-2.067</v>
      </c>
      <c r="D55" s="8">
        <f>D123-C123</f>
        <v>1.9150000000000003</v>
      </c>
      <c r="E55" s="8">
        <f>E123-D123</f>
        <v>0.45199999999999996</v>
      </c>
      <c r="F55" s="8">
        <f>F123-E123</f>
        <v>-6.3</v>
      </c>
      <c r="G55" s="8">
        <f>F123</f>
        <v>-6</v>
      </c>
      <c r="H55" s="12">
        <v>0</v>
      </c>
      <c r="I55" s="89"/>
      <c r="J55" s="1"/>
    </row>
    <row r="56">
      <c r="A56" s="1"/>
      <c r="B56" s="25" t="s">
        <v>61</v>
      </c>
      <c r="C56" s="1"/>
      <c r="D56" s="5">
        <f>D55-C55</f>
        <v>3.982</v>
      </c>
      <c r="E56" s="5">
        <f>E55-D55</f>
        <v>-1.4630000000000003</v>
      </c>
      <c r="F56" s="5">
        <f>F55-E55</f>
        <v>-6.752</v>
      </c>
      <c r="G56" s="1"/>
      <c r="H56" s="37">
        <f>H55-F55</f>
        <v>6.3</v>
      </c>
      <c r="I56" s="89"/>
      <c r="J56" s="1"/>
    </row>
    <row r="57">
      <c r="A57" s="1"/>
      <c r="B57" s="25" t="s">
        <v>204</v>
      </c>
      <c r="C57" s="1"/>
      <c r="D57" s="1"/>
      <c r="E57" s="1"/>
      <c r="F57" s="1"/>
      <c r="G57" s="1"/>
      <c r="H57" s="37">
        <f>H55-C55</f>
        <v>2.067</v>
      </c>
      <c r="I57" s="89"/>
      <c r="J57" s="1"/>
    </row>
    <row r="58">
      <c r="A58" s="1"/>
      <c r="B58" s="15" t="s">
        <v>341</v>
      </c>
      <c r="C58" s="7">
        <f>C10+C13+C16+C19+C22+C25+C28+C31+C34+C37+C40+C43+C46+C49+C52+C55</f>
        <v>10.853000000000005</v>
      </c>
      <c r="D58" s="7">
        <f>D10+D13+D16+D19+D22+D25+D28+D31+D34+D37+D40+D43+D46+D49+D52+D55</f>
        <v>19.444</v>
      </c>
      <c r="E58" s="7">
        <f>E10+E13+E16+E19+E22+E25+E28+E31+E34+E37+E40+E43+E46+E49+E52+E55</f>
        <v>22.703000000000003</v>
      </c>
      <c r="F58" s="7">
        <f>F10+F13+F16+F19+F22+F25+F28+F31+F34+F37+F40+F43+F46+F49+F52+F55</f>
        <v>30.199999999999992</v>
      </c>
      <c r="G58" s="7">
        <f>G10+G13+G16+G19+G22+G25+G28+G31+G34+G37+G40+G43+G46+G49+G52+G55</f>
        <v>83.19999999999999</v>
      </c>
      <c r="H58" s="34">
        <f>H10+H13+H16+H19+H22+H25+H28+H31+H34+H37+H40+H43+H46+H49+H52+H55</f>
        <v>-2.9498080258306043</v>
      </c>
      <c r="I58" s="89"/>
      <c r="J58" s="1"/>
    </row>
    <row r="59">
      <c r="A59" s="1"/>
      <c r="B59" s="1"/>
      <c r="C59" s="1"/>
      <c r="D59" s="1"/>
      <c r="E59" s="1"/>
      <c r="F59" s="1"/>
      <c r="G59" s="1"/>
      <c r="H59" s="4"/>
      <c r="I59" s="89"/>
      <c r="J59" s="1"/>
    </row>
    <row r="60">
      <c r="A60" s="1"/>
      <c r="B60" s="1" t="s">
        <v>342</v>
      </c>
      <c r="C60" s="8">
        <f>C124</f>
        <v>-24.002</v>
      </c>
      <c r="D60" s="8">
        <f>D124-C124</f>
        <v>-11.669</v>
      </c>
      <c r="E60" s="8">
        <f>E124-D124</f>
        <v>-11.628999999999998</v>
      </c>
      <c r="F60" s="8">
        <f>F124-E124</f>
        <v>-4</v>
      </c>
      <c r="G60" s="8">
        <f>F124</f>
        <v>-51.3</v>
      </c>
      <c r="H60" s="12">
        <v>-10</v>
      </c>
      <c r="I60" s="89"/>
      <c r="J60" s="1"/>
    </row>
    <row r="61">
      <c r="A61" s="1"/>
      <c r="B61" s="25" t="s">
        <v>61</v>
      </c>
      <c r="C61" s="1"/>
      <c r="D61" s="5">
        <f>D60-C60</f>
        <v>12.332999999999998</v>
      </c>
      <c r="E61" s="5">
        <f>E60-D60</f>
        <v>0.0400000000000027</v>
      </c>
      <c r="F61" s="5">
        <f>F60-E60</f>
        <v>7.628999999999998</v>
      </c>
      <c r="G61" s="1"/>
      <c r="H61" s="37">
        <f>H60-F60</f>
        <v>-6</v>
      </c>
      <c r="I61" s="89"/>
      <c r="J61" s="1"/>
    </row>
    <row r="62">
      <c r="A62" s="1"/>
      <c r="B62" s="25" t="s">
        <v>204</v>
      </c>
      <c r="C62" s="1"/>
      <c r="D62" s="1"/>
      <c r="E62" s="1"/>
      <c r="F62" s="1"/>
      <c r="G62" s="1"/>
      <c r="H62" s="37">
        <f>H60-C60</f>
        <v>14.001999999999999</v>
      </c>
      <c r="I62" s="89"/>
      <c r="J62" s="1"/>
    </row>
    <row r="63">
      <c r="A63" s="1"/>
      <c r="B63" s="1" t="s">
        <v>343</v>
      </c>
      <c r="C63" s="8">
        <f>C125</f>
        <v>121.724</v>
      </c>
      <c r="D63" s="8">
        <f>D125-C125</f>
        <v>0</v>
      </c>
      <c r="E63" s="8">
        <f>E125-D125</f>
        <v>-0.02400000000000091</v>
      </c>
      <c r="F63" s="8">
        <f>F125-E125</f>
        <v>0</v>
      </c>
      <c r="G63" s="8">
        <f>F125</f>
        <v>121.7</v>
      </c>
      <c r="H63" s="12">
        <v>0</v>
      </c>
      <c r="I63" s="89"/>
      <c r="J63" s="1"/>
    </row>
    <row r="64">
      <c r="A64" s="1"/>
      <c r="B64" s="25" t="s">
        <v>61</v>
      </c>
      <c r="C64" s="1"/>
      <c r="D64" s="5">
        <f>D63-C63</f>
        <v>-121.724</v>
      </c>
      <c r="E64" s="5">
        <f>E63-D63</f>
        <v>-0.02400000000000091</v>
      </c>
      <c r="F64" s="5">
        <f>F63-E63</f>
        <v>0.02400000000000091</v>
      </c>
      <c r="G64" s="1"/>
      <c r="H64" s="37">
        <f>H63-F63</f>
        <v>0</v>
      </c>
      <c r="I64" s="89"/>
      <c r="J64" s="1"/>
    </row>
    <row r="65">
      <c r="A65" s="1"/>
      <c r="B65" s="25" t="s">
        <v>204</v>
      </c>
      <c r="C65" s="1"/>
      <c r="D65" s="1"/>
      <c r="E65" s="1"/>
      <c r="F65" s="1"/>
      <c r="G65" s="1"/>
      <c r="H65" s="37">
        <f>H63-C63</f>
        <v>-121.724</v>
      </c>
      <c r="I65" s="89"/>
      <c r="J65" s="1"/>
    </row>
    <row r="66">
      <c r="A66" s="1"/>
      <c r="B66" s="1" t="s">
        <v>344</v>
      </c>
      <c r="C66" s="8">
        <f>C126</f>
        <v>0.003</v>
      </c>
      <c r="D66" s="8">
        <f>D126-C126</f>
        <v>0</v>
      </c>
      <c r="E66" s="8">
        <f>E126-D126</f>
        <v>0.097</v>
      </c>
      <c r="F66" s="8">
        <f>F126-E126</f>
        <v>0</v>
      </c>
      <c r="G66" s="8">
        <f>F126</f>
        <v>0.1</v>
      </c>
      <c r="H66" s="12">
        <v>0</v>
      </c>
      <c r="I66" s="89"/>
      <c r="J66" s="1"/>
    </row>
    <row r="67">
      <c r="A67" s="1"/>
      <c r="B67" s="25" t="s">
        <v>61</v>
      </c>
      <c r="C67" s="1"/>
      <c r="D67" s="5">
        <f>D66-C66</f>
        <v>-0.003</v>
      </c>
      <c r="E67" s="5">
        <f>E66-D66</f>
        <v>0.097</v>
      </c>
      <c r="F67" s="5">
        <f>F66-E66</f>
        <v>-0.097</v>
      </c>
      <c r="G67" s="1"/>
      <c r="H67" s="37">
        <f>H66-F66</f>
        <v>0</v>
      </c>
      <c r="I67" s="89"/>
      <c r="J67" s="1"/>
    </row>
    <row r="68">
      <c r="A68" s="1"/>
      <c r="B68" s="25" t="s">
        <v>204</v>
      </c>
      <c r="C68" s="1"/>
      <c r="D68" s="1"/>
      <c r="E68" s="1"/>
      <c r="F68" s="1"/>
      <c r="G68" s="1"/>
      <c r="H68" s="37">
        <f>H66-C66</f>
        <v>-0.003</v>
      </c>
      <c r="I68" s="89"/>
      <c r="J68" s="1"/>
    </row>
    <row r="69">
      <c r="A69" s="1"/>
      <c r="B69" s="15" t="s">
        <v>345</v>
      </c>
      <c r="C69" s="7">
        <f>C60+C63+C66</f>
        <v>97.72500000000001</v>
      </c>
      <c r="D69" s="7">
        <f>D60+D63+D66</f>
        <v>-11.669</v>
      </c>
      <c r="E69" s="7">
        <f>E60+E63+E66</f>
        <v>-11.556</v>
      </c>
      <c r="F69" s="7">
        <f>F60+F63+F66</f>
        <v>-4</v>
      </c>
      <c r="G69" s="7">
        <f>G60+G63+G66</f>
        <v>70.5</v>
      </c>
      <c r="H69" s="34">
        <f>H60+H63+H66</f>
        <v>-10</v>
      </c>
      <c r="I69" s="89"/>
      <c r="J69" s="1"/>
    </row>
    <row r="70">
      <c r="A70" s="1"/>
      <c r="B70" s="1"/>
      <c r="C70" s="1"/>
      <c r="D70" s="1"/>
      <c r="E70" s="1"/>
      <c r="F70" s="1"/>
      <c r="G70" s="1"/>
      <c r="H70" s="4"/>
      <c r="I70" s="89"/>
      <c r="J70" s="1"/>
    </row>
    <row r="71">
      <c r="A71" s="1"/>
      <c r="B71" s="1" t="s">
        <v>346</v>
      </c>
      <c r="C71" s="8">
        <f>C127</f>
        <v>0.905</v>
      </c>
      <c r="D71" s="8">
        <f>D127-C127</f>
        <v>-0.027000000000000024</v>
      </c>
      <c r="E71" s="8">
        <f>E127-D127</f>
        <v>0.822</v>
      </c>
      <c r="F71" s="8">
        <f>F127-E127</f>
        <v>-0.09999999999999987</v>
      </c>
      <c r="G71" s="8">
        <f>F127</f>
        <v>1.6</v>
      </c>
      <c r="H71" s="12">
        <v>0.9</v>
      </c>
      <c r="I71" s="89"/>
      <c r="J71" s="1"/>
    </row>
    <row r="72">
      <c r="A72" s="1"/>
      <c r="B72" s="25" t="s">
        <v>61</v>
      </c>
      <c r="C72" s="1"/>
      <c r="D72" s="5">
        <f>D71-C71</f>
        <v>-0.932</v>
      </c>
      <c r="E72" s="5">
        <f>E71-D71</f>
        <v>0.849</v>
      </c>
      <c r="F72" s="5">
        <f>F71-E71</f>
        <v>-0.9219999999999998</v>
      </c>
      <c r="G72" s="1"/>
      <c r="H72" s="37">
        <f>H71-F71</f>
        <v>0.9999999999999999</v>
      </c>
      <c r="I72" s="89"/>
      <c r="J72" s="1"/>
    </row>
    <row r="73">
      <c r="A73" s="1"/>
      <c r="B73" s="25" t="s">
        <v>204</v>
      </c>
      <c r="C73" s="1"/>
      <c r="D73" s="1"/>
      <c r="E73" s="1"/>
      <c r="F73" s="1"/>
      <c r="G73" s="1"/>
      <c r="H73" s="37">
        <f>H71-C71</f>
        <v>-0.0050000000000000044</v>
      </c>
      <c r="I73" s="89"/>
      <c r="J73" s="1"/>
    </row>
    <row r="74">
      <c r="A74" s="1"/>
      <c r="B74" s="1" t="s">
        <v>347</v>
      </c>
      <c r="C74" s="8">
        <f>C128</f>
        <v>-0.223</v>
      </c>
      <c r="D74" s="8">
        <f>D128-C128</f>
        <v>-0.42400000000000004</v>
      </c>
      <c r="E74" s="8">
        <f>E128-D128</f>
        <v>-0.052999999999999936</v>
      </c>
      <c r="F74" s="8">
        <f>F128-E128</f>
        <v>-0.20000000000000007</v>
      </c>
      <c r="G74" s="8">
        <f>F128</f>
        <v>-0.9</v>
      </c>
      <c r="H74" s="12">
        <v>-0.3</v>
      </c>
      <c r="I74" s="89"/>
      <c r="J74" s="1"/>
    </row>
    <row r="75">
      <c r="A75" s="1"/>
      <c r="B75" s="25" t="s">
        <v>61</v>
      </c>
      <c r="C75" s="1"/>
      <c r="D75" s="5">
        <f>D74-C74</f>
        <v>-0.20100000000000004</v>
      </c>
      <c r="E75" s="5">
        <f>E74-D74</f>
        <v>0.3710000000000001</v>
      </c>
      <c r="F75" s="5">
        <f>F74-E74</f>
        <v>-0.14700000000000013</v>
      </c>
      <c r="G75" s="1"/>
      <c r="H75" s="37">
        <f>H74-F74</f>
        <v>-0.09999999999999992</v>
      </c>
      <c r="I75" s="89"/>
      <c r="J75" s="1"/>
    </row>
    <row r="76">
      <c r="A76" s="1"/>
      <c r="B76" s="25" t="s">
        <v>204</v>
      </c>
      <c r="C76" s="1"/>
      <c r="D76" s="1"/>
      <c r="E76" s="1"/>
      <c r="F76" s="1"/>
      <c r="G76" s="1"/>
      <c r="H76" s="37">
        <f>H74-C74</f>
        <v>-0.07699999999999999</v>
      </c>
      <c r="I76" s="89"/>
      <c r="J76" s="1"/>
    </row>
    <row r="77">
      <c r="A77" s="1"/>
      <c r="B77" s="1" t="s">
        <v>348</v>
      </c>
      <c r="C77" s="8">
        <f>C129</f>
        <v>-100</v>
      </c>
      <c r="D77" s="8">
        <f>D129-C129</f>
        <v>0</v>
      </c>
      <c r="E77" s="8">
        <f>E129-D129</f>
        <v>0</v>
      </c>
      <c r="F77" s="8">
        <f>F129-E129</f>
        <v>0</v>
      </c>
      <c r="G77" s="8">
        <f>F129</f>
        <v>-100</v>
      </c>
      <c r="H77" s="12">
        <v>-20</v>
      </c>
      <c r="I77" s="89"/>
      <c r="J77" s="1"/>
    </row>
    <row r="78">
      <c r="A78" s="1"/>
      <c r="B78" s="25" t="s">
        <v>61</v>
      </c>
      <c r="C78" s="1"/>
      <c r="D78" s="5">
        <f>D77-C77</f>
        <v>100</v>
      </c>
      <c r="E78" s="5">
        <f>E77-D77</f>
        <v>0</v>
      </c>
      <c r="F78" s="5">
        <f>F77-E77</f>
        <v>0</v>
      </c>
      <c r="G78" s="1"/>
      <c r="H78" s="37">
        <f>H77-F77</f>
        <v>-20</v>
      </c>
      <c r="I78" s="89"/>
      <c r="J78" s="1"/>
    </row>
    <row r="79">
      <c r="A79" s="1"/>
      <c r="B79" s="25" t="s">
        <v>204</v>
      </c>
      <c r="C79" s="1"/>
      <c r="D79" s="1"/>
      <c r="E79" s="1"/>
      <c r="F79" s="1"/>
      <c r="G79" s="1"/>
      <c r="H79" s="37">
        <f>H77-C77</f>
        <v>80</v>
      </c>
      <c r="I79" s="89"/>
      <c r="J79" s="1"/>
    </row>
    <row r="80">
      <c r="A80" s="1"/>
      <c r="B80" s="1" t="s">
        <v>349</v>
      </c>
      <c r="C80" s="8">
        <f>C130</f>
        <v>-0.075</v>
      </c>
      <c r="D80" s="8">
        <f>D130-C130</f>
        <v>0</v>
      </c>
      <c r="E80" s="8">
        <f>E130-D130</f>
        <v>-0.02500000000000001</v>
      </c>
      <c r="F80" s="8">
        <f>F130-E130</f>
        <v>0</v>
      </c>
      <c r="G80" s="8">
        <f>F130</f>
        <v>-0.1</v>
      </c>
      <c r="H80" s="12">
        <v>-0.1</v>
      </c>
      <c r="I80" s="89"/>
      <c r="J80" s="1"/>
    </row>
    <row r="81">
      <c r="A81" s="1"/>
      <c r="B81" s="25" t="s">
        <v>61</v>
      </c>
      <c r="C81" s="1"/>
      <c r="D81" s="5">
        <f>D80-C80</f>
        <v>0.075</v>
      </c>
      <c r="E81" s="5">
        <f>E80-D80</f>
        <v>-0.02500000000000001</v>
      </c>
      <c r="F81" s="5">
        <f>F80-E80</f>
        <v>0.02500000000000001</v>
      </c>
      <c r="G81" s="1"/>
      <c r="H81" s="37">
        <f>H80-F80</f>
        <v>-0.1</v>
      </c>
      <c r="I81" s="89"/>
      <c r="J81" s="1"/>
    </row>
    <row r="82">
      <c r="A82" s="1"/>
      <c r="B82" s="25" t="s">
        <v>204</v>
      </c>
      <c r="C82" s="1"/>
      <c r="D82" s="1"/>
      <c r="E82" s="1"/>
      <c r="F82" s="1"/>
      <c r="G82" s="1"/>
      <c r="H82" s="37">
        <f>H80-C80</f>
        <v>-0.02500000000000001</v>
      </c>
      <c r="I82" s="89"/>
      <c r="J82" s="1"/>
    </row>
    <row r="83">
      <c r="A83" s="1"/>
      <c r="B83" s="15" t="s">
        <v>350</v>
      </c>
      <c r="C83" s="7">
        <f>C71+C74+C77+C80</f>
        <v>-99.393</v>
      </c>
      <c r="D83" s="7">
        <f>D71+D74+D77+D80</f>
        <v>-0.45100000000000007</v>
      </c>
      <c r="E83" s="7">
        <f>E71+E74+E77+E80</f>
        <v>0.744</v>
      </c>
      <c r="F83" s="7">
        <f>F71+F74+F77+F80</f>
        <v>-0.29999999999999993</v>
      </c>
      <c r="G83" s="7">
        <f>G71+G74+G77+G80</f>
        <v>-99.39999999999999</v>
      </c>
      <c r="H83" s="34">
        <f>H71+H74+H77+H80</f>
        <v>-19.5</v>
      </c>
      <c r="I83" s="89"/>
      <c r="J83" s="1"/>
    </row>
    <row r="84">
      <c r="A84" s="1"/>
      <c r="B84" s="1"/>
      <c r="C84" s="1"/>
      <c r="D84" s="1"/>
      <c r="E84" s="1"/>
      <c r="F84" s="1"/>
      <c r="G84" s="1"/>
      <c r="H84" s="4"/>
      <c r="I84" s="89"/>
      <c r="J84" s="1"/>
    </row>
    <row r="85">
      <c r="A85" s="1"/>
      <c r="B85" s="1" t="s">
        <v>351</v>
      </c>
      <c r="C85" s="8">
        <f>C131</f>
        <v>0.694</v>
      </c>
      <c r="D85" s="8">
        <f>D131-C131</f>
        <v>-0.867</v>
      </c>
      <c r="E85" s="8">
        <f>E131-D131</f>
        <v>2.673</v>
      </c>
      <c r="F85" s="8">
        <f>F131-E131</f>
        <v>-0.2999999999999998</v>
      </c>
      <c r="G85" s="8">
        <f>F131</f>
        <v>2.2</v>
      </c>
      <c r="H85" s="12">
        <v>0</v>
      </c>
      <c r="I85" s="89"/>
      <c r="J85" s="1"/>
    </row>
    <row r="86">
      <c r="A86" s="1"/>
      <c r="B86" s="15" t="s">
        <v>352</v>
      </c>
      <c r="C86" s="7">
        <f>C58+C69+C83+C85</f>
        <v>9.879000000000016</v>
      </c>
      <c r="D86" s="7">
        <f>D58+D69+D83+D85</f>
        <v>6.456999999999998</v>
      </c>
      <c r="E86" s="7">
        <f>E58+E69+E83+E85</f>
        <v>14.564000000000004</v>
      </c>
      <c r="F86" s="7">
        <f>F58+F69+F83+F85</f>
        <v>25.59999999999999</v>
      </c>
      <c r="G86" s="7">
        <f>G58+G69+G83+G85</f>
        <v>56.5</v>
      </c>
      <c r="H86" s="34">
        <f>H58+H69+H83+H85</f>
        <v>-32.449808025830606</v>
      </c>
      <c r="I86" s="89"/>
      <c r="J86" s="1"/>
    </row>
    <row r="87">
      <c r="A87" s="1"/>
      <c r="B87" s="1" t="s">
        <v>353</v>
      </c>
      <c r="C87" s="3">
        <v>129.004</v>
      </c>
      <c r="D87" s="8">
        <f>C88</f>
        <v>138.883</v>
      </c>
      <c r="E87" s="8">
        <f>D88</f>
        <v>145.34</v>
      </c>
      <c r="F87" s="8">
        <f>E88</f>
        <v>159.904</v>
      </c>
      <c r="G87" s="8">
        <f>C87</f>
        <v>129.004</v>
      </c>
      <c r="H87" s="48">
        <f>'Balance Sheet'!F10</f>
        <v>185.5</v>
      </c>
      <c r="I87" s="89" t="s">
        <v>323</v>
      </c>
      <c r="J87" s="1"/>
    </row>
    <row r="88">
      <c r="A88" s="1"/>
      <c r="B88" s="15" t="s">
        <v>354</v>
      </c>
      <c r="C88" s="7">
        <f>C87+C86</f>
        <v>138.883</v>
      </c>
      <c r="D88" s="7">
        <f>D87+D86</f>
        <v>145.34</v>
      </c>
      <c r="E88" s="7">
        <f>E87+E86</f>
        <v>159.904</v>
      </c>
      <c r="F88" s="7">
        <f>F87+F86</f>
        <v>185.504</v>
      </c>
      <c r="G88" s="7">
        <f>G87+G86</f>
        <v>185.504</v>
      </c>
      <c r="H88" s="34">
        <f>H87+H86</f>
        <v>153.0501919741694</v>
      </c>
      <c r="I88" s="89"/>
      <c r="J88" s="1"/>
    </row>
    <row r="89">
      <c r="A89" s="1"/>
      <c r="B89" s="1" t="s">
        <v>355</v>
      </c>
      <c r="C89" s="21">
        <f>'Balance Sheet'!C10</f>
        <v>138.883</v>
      </c>
      <c r="D89" s="21">
        <f>'Balance Sheet'!D10</f>
        <v>145.34</v>
      </c>
      <c r="E89" s="21">
        <f>'Balance Sheet'!E10</f>
        <v>159.9</v>
      </c>
      <c r="F89" s="21">
        <f>'Balance Sheet'!F10</f>
        <v>185.5</v>
      </c>
      <c r="G89" s="21">
        <f>'Balance Sheet'!G10</f>
        <v>185.5</v>
      </c>
      <c r="H89" s="48">
        <f>'Balance Sheet'!H10</f>
        <v>153.0501919741694</v>
      </c>
      <c r="I89" s="89"/>
      <c r="J89" s="1"/>
    </row>
    <row r="90">
      <c r="A90" s="1"/>
      <c r="B90" s="1" t="s">
        <v>356</v>
      </c>
      <c r="C90" s="8">
        <f>ROUND(C88-C89,1)</f>
        <v>0</v>
      </c>
      <c r="D90" s="8">
        <f>ROUND(D88-D89,1)</f>
        <v>0</v>
      </c>
      <c r="E90" s="8">
        <f>ROUND(E88-E89,1)</f>
        <v>0</v>
      </c>
      <c r="F90" s="8">
        <f>ROUND(F88-F89,1)</f>
        <v>0</v>
      </c>
      <c r="G90" s="8">
        <f>ROUND(G88-G89,1)</f>
        <v>0</v>
      </c>
      <c r="H90" s="10">
        <f>ROUND(H88-H89,1)</f>
        <v>0</v>
      </c>
      <c r="I90" s="89"/>
      <c r="J90" s="1"/>
    </row>
    <row r="91">
      <c r="A91" s="1"/>
      <c r="B91" s="1" t="s">
        <v>357</v>
      </c>
      <c r="C91" s="33" t="b">
        <f>ABS(C88-C89)&lt;0.05</f>
        <v>1</v>
      </c>
      <c r="D91" s="33" t="b">
        <f>ABS(D88-D89)&lt;0.05</f>
        <v>1</v>
      </c>
      <c r="E91" s="33" t="b">
        <f>ABS(E88-E89)&lt;0.05</f>
        <v>1</v>
      </c>
      <c r="F91" s="33" t="b">
        <f>ABS(F88-F89)&lt;0.05</f>
        <v>1</v>
      </c>
      <c r="G91" s="33" t="b">
        <f>ABS(G88-G89)&lt;0.05</f>
        <v>1</v>
      </c>
      <c r="H91" s="54" t="b">
        <f>ABS(H88-H89)&lt;0.05</f>
        <v>1</v>
      </c>
      <c r="I91" s="89"/>
      <c r="J91" s="1"/>
    </row>
    <row r="92">
      <c r="A92" s="1"/>
      <c r="B92" s="15" t="s">
        <v>358</v>
      </c>
      <c r="C92" s="7">
        <f>C58+C60</f>
        <v>-13.148999999999994</v>
      </c>
      <c r="D92" s="7">
        <f>D58+D60</f>
        <v>7.774999999999999</v>
      </c>
      <c r="E92" s="7">
        <f>E58+E60</f>
        <v>11.074000000000005</v>
      </c>
      <c r="F92" s="7">
        <f>F58+F60</f>
        <v>26.199999999999992</v>
      </c>
      <c r="G92" s="7">
        <f>G58+G60</f>
        <v>31.89999999999999</v>
      </c>
      <c r="H92" s="34">
        <f>H58+H60</f>
        <v>-12.949808025830604</v>
      </c>
      <c r="I92" s="89"/>
      <c r="J92" s="1"/>
    </row>
    <row r="93">
      <c r="A93" s="1"/>
      <c r="B93" s="1" t="s">
        <v>359</v>
      </c>
      <c r="C93" s="3">
        <v>-13.1</v>
      </c>
      <c r="D93" s="3">
        <v>7.7</v>
      </c>
      <c r="E93" s="3">
        <v>11.1</v>
      </c>
      <c r="F93" s="3">
        <v>26.2</v>
      </c>
      <c r="G93" s="3">
        <v>31.9</v>
      </c>
      <c r="H93" s="4"/>
      <c r="I93" s="89" t="s">
        <v>239</v>
      </c>
      <c r="J93" s="1"/>
    </row>
    <row r="94">
      <c r="A94" s="1"/>
      <c r="B94" s="1" t="s">
        <v>360</v>
      </c>
      <c r="C94" s="33" t="b">
        <f>ABS(C92-C93)&lt;0.1</f>
        <v>1</v>
      </c>
      <c r="D94" s="33" t="b">
        <f>ABS(D92-D93)&lt;0.1</f>
        <v>1</v>
      </c>
      <c r="E94" s="33" t="b">
        <f>ABS(E92-E93)&lt;0.1</f>
        <v>1</v>
      </c>
      <c r="F94" s="33" t="b">
        <f>ABS(F92-F93)&lt;0.1</f>
        <v>1</v>
      </c>
      <c r="G94" s="33" t="b">
        <f>ABS(G92-G93)&lt;0.1</f>
        <v>1</v>
      </c>
      <c r="H94" s="4"/>
      <c r="I94" s="89"/>
      <c r="J94" s="1"/>
    </row>
    <row r="95">
      <c r="A95" s="1"/>
      <c r="B95" s="1"/>
      <c r="C95" s="1"/>
      <c r="D95" s="1"/>
      <c r="E95" s="1"/>
      <c r="F95" s="1"/>
      <c r="G95" s="1"/>
      <c r="H95" s="4"/>
      <c r="I95" s="89"/>
      <c r="J95" s="1"/>
    </row>
    <row r="96">
      <c r="A96" s="1"/>
      <c r="B96" s="16" t="s">
        <v>361</v>
      </c>
      <c r="C96" s="1"/>
      <c r="D96" s="1"/>
      <c r="E96" s="1"/>
      <c r="F96" s="1"/>
      <c r="G96" s="1"/>
      <c r="H96" s="4"/>
      <c r="I96" s="89"/>
      <c r="J96" s="1"/>
    </row>
    <row r="97">
      <c r="A97" s="1"/>
      <c r="B97" s="1" t="s">
        <v>362</v>
      </c>
      <c r="C97" s="21">
        <f>'Balance Sheet'!C26-'Balance Sheet'!C58</f>
        <v>-3.0090000000000003</v>
      </c>
      <c r="D97" s="21">
        <f>'Balance Sheet'!D26-'Balance Sheet'!C26</f>
        <v>-13.556000000000004</v>
      </c>
      <c r="E97" s="21">
        <f>'Balance Sheet'!E26-'Balance Sheet'!D26</f>
        <v>12.160000000000004</v>
      </c>
      <c r="F97" s="21">
        <f>'Balance Sheet'!F26-'Balance Sheet'!E26</f>
        <v>3.8999999999999915</v>
      </c>
      <c r="G97" s="21">
        <f>'Balance Sheet'!G26-'Balance Sheet'!C58</f>
        <v>-0.5050000000000097</v>
      </c>
      <c r="H97" s="12">
        <v>0</v>
      </c>
      <c r="I97" s="89"/>
      <c r="J97" s="1"/>
    </row>
    <row r="98">
      <c r="A98" s="1"/>
      <c r="B98" s="25" t="s">
        <v>61</v>
      </c>
      <c r="C98" s="1"/>
      <c r="D98" s="5">
        <f>D97-C97</f>
        <v>-10.547000000000004</v>
      </c>
      <c r="E98" s="5">
        <f>E97-D97</f>
        <v>25.716000000000008</v>
      </c>
      <c r="F98" s="5">
        <f>F97-E97</f>
        <v>-8.260000000000012</v>
      </c>
      <c r="G98" s="1"/>
      <c r="H98" s="37">
        <f>H97-F97</f>
        <v>-3.8999999999999915</v>
      </c>
      <c r="I98" s="89"/>
      <c r="J98" s="1"/>
    </row>
    <row r="99">
      <c r="A99" s="1"/>
      <c r="B99" s="25" t="s">
        <v>204</v>
      </c>
      <c r="C99" s="1"/>
      <c r="D99" s="1"/>
      <c r="E99" s="1"/>
      <c r="F99" s="1"/>
      <c r="G99" s="1"/>
      <c r="H99" s="37">
        <f>H97-C97</f>
        <v>3.0090000000000003</v>
      </c>
      <c r="I99" s="89"/>
      <c r="J99" s="1"/>
    </row>
    <row r="100">
      <c r="A100" s="1"/>
      <c r="B100" s="1" t="s">
        <v>363</v>
      </c>
      <c r="C100" s="21">
        <f>'Balance Sheet'!C27-'Balance Sheet'!C59</f>
        <v>6.138999999999999</v>
      </c>
      <c r="D100" s="21">
        <f>'Balance Sheet'!D27-'Balance Sheet'!C27</f>
        <v>0.0070000000000014495</v>
      </c>
      <c r="E100" s="21">
        <f>'Balance Sheet'!E27-'Balance Sheet'!D27</f>
        <v>3.219999999999999</v>
      </c>
      <c r="F100" s="21">
        <f>'Balance Sheet'!F27-'Balance Sheet'!E27</f>
        <v>3.3000000000000007</v>
      </c>
      <c r="G100" s="21">
        <f>'Balance Sheet'!G27-'Balance Sheet'!C59</f>
        <v>12.666</v>
      </c>
      <c r="H100" s="12">
        <v>-8</v>
      </c>
      <c r="I100" s="89"/>
      <c r="J100" s="1"/>
    </row>
    <row r="101">
      <c r="A101" s="1"/>
      <c r="B101" s="25" t="s">
        <v>61</v>
      </c>
      <c r="C101" s="1"/>
      <c r="D101" s="5">
        <f>D100-C100</f>
        <v>-6.131999999999998</v>
      </c>
      <c r="E101" s="5">
        <f>E100-D100</f>
        <v>3.2129999999999974</v>
      </c>
      <c r="F101" s="5">
        <f>F100-E100</f>
        <v>0.08000000000000185</v>
      </c>
      <c r="G101" s="1"/>
      <c r="H101" s="37">
        <f>H100-F100</f>
        <v>-11.3</v>
      </c>
      <c r="I101" s="89"/>
      <c r="J101" s="1"/>
    </row>
    <row r="102">
      <c r="A102" s="1"/>
      <c r="B102" s="25" t="s">
        <v>204</v>
      </c>
      <c r="C102" s="1"/>
      <c r="D102" s="1"/>
      <c r="E102" s="1"/>
      <c r="F102" s="1"/>
      <c r="G102" s="1"/>
      <c r="H102" s="37">
        <f>H100-C100</f>
        <v>-14.139</v>
      </c>
      <c r="I102" s="89"/>
      <c r="J102" s="1"/>
    </row>
    <row r="103">
      <c r="A103" s="1"/>
      <c r="B103" s="1" t="s">
        <v>364</v>
      </c>
      <c r="C103" s="21">
        <f>'Balance Sheet'!C29-'Balance Sheet'!C60</f>
        <v>-7.521999999999999</v>
      </c>
      <c r="D103" s="21">
        <f>'Balance Sheet'!D29-'Balance Sheet'!C29</f>
        <v>7.462000000000001</v>
      </c>
      <c r="E103" s="21">
        <f>'Balance Sheet'!E29-'Balance Sheet'!D29</f>
        <v>-7.518000000000001</v>
      </c>
      <c r="F103" s="21">
        <f>'Balance Sheet'!F29-'Balance Sheet'!E29</f>
        <v>7.5</v>
      </c>
      <c r="G103" s="21">
        <f>'Balance Sheet'!G29-'Balance Sheet'!C60</f>
        <v>-0.0779999999999994</v>
      </c>
      <c r="H103" s="12">
        <v>-7.4</v>
      </c>
      <c r="I103" s="89"/>
      <c r="J103" s="1"/>
    </row>
    <row r="104">
      <c r="A104" s="1"/>
      <c r="B104" s="25" t="s">
        <v>61</v>
      </c>
      <c r="C104" s="1"/>
      <c r="D104" s="5">
        <f>D103-C103</f>
        <v>14.984</v>
      </c>
      <c r="E104" s="5">
        <f>E103-D103</f>
        <v>-14.98</v>
      </c>
      <c r="F104" s="5">
        <f>F103-E103</f>
        <v>15.018</v>
      </c>
      <c r="G104" s="1"/>
      <c r="H104" s="37">
        <f>H103-F103</f>
        <v>-14.9</v>
      </c>
      <c r="I104" s="89"/>
      <c r="J104" s="1"/>
    </row>
    <row r="105">
      <c r="A105" s="1"/>
      <c r="B105" s="25" t="s">
        <v>204</v>
      </c>
      <c r="C105" s="1"/>
      <c r="D105" s="1"/>
      <c r="E105" s="1"/>
      <c r="F105" s="1"/>
      <c r="G105" s="1"/>
      <c r="H105" s="37">
        <f>H103-C103</f>
        <v>0.121999999999999</v>
      </c>
      <c r="I105" s="89"/>
      <c r="J105" s="1"/>
    </row>
    <row r="106">
      <c r="A106" s="1"/>
      <c r="B106" s="1"/>
      <c r="C106" s="1"/>
      <c r="D106" s="1"/>
      <c r="E106" s="1"/>
      <c r="F106" s="1"/>
      <c r="G106" s="1"/>
      <c r="H106" s="4"/>
      <c r="I106" s="89"/>
      <c r="J106" s="1"/>
    </row>
    <row r="107">
      <c r="A107" s="1"/>
      <c r="B107" s="16" t="s">
        <v>365</v>
      </c>
      <c r="C107" s="1"/>
      <c r="D107" s="1"/>
      <c r="E107" s="1"/>
      <c r="F107" s="1"/>
      <c r="G107" s="1"/>
      <c r="H107" s="4"/>
      <c r="I107" s="89"/>
      <c r="J107" s="1"/>
    </row>
    <row r="108">
      <c r="A108" s="1"/>
      <c r="B108" s="1" t="s">
        <v>366</v>
      </c>
      <c r="C108" s="3">
        <v>36.338</v>
      </c>
      <c r="D108" s="3">
        <v>20.414</v>
      </c>
      <c r="E108" s="3">
        <v>3.4</v>
      </c>
      <c r="F108" s="3">
        <v>-7.9</v>
      </c>
      <c r="G108" s="1"/>
      <c r="H108" s="4"/>
      <c r="I108" s="89" t="s">
        <v>72</v>
      </c>
      <c r="J108" s="1"/>
    </row>
    <row r="109">
      <c r="A109" s="1"/>
      <c r="B109" s="1" t="s">
        <v>367</v>
      </c>
      <c r="C109" s="3">
        <v>29.055</v>
      </c>
      <c r="D109" s="3">
        <v>57.982</v>
      </c>
      <c r="E109" s="3">
        <v>86.9</v>
      </c>
      <c r="F109" s="3">
        <v>116.3</v>
      </c>
      <c r="G109" s="1"/>
      <c r="H109" s="4"/>
      <c r="I109" s="89" t="s">
        <v>72</v>
      </c>
      <c r="J109" s="1"/>
    </row>
    <row r="110">
      <c r="A110" s="1"/>
      <c r="B110" s="1" t="s">
        <v>368</v>
      </c>
      <c r="C110" s="3">
        <v>-5.83</v>
      </c>
      <c r="D110" s="3">
        <v>-11.23</v>
      </c>
      <c r="E110" s="3">
        <v>-15.5</v>
      </c>
      <c r="F110" s="3">
        <v>-24.3</v>
      </c>
      <c r="G110" s="1"/>
      <c r="H110" s="4"/>
      <c r="I110" s="89" t="s">
        <v>72</v>
      </c>
      <c r="J110" s="1"/>
    </row>
    <row r="111">
      <c r="A111" s="1"/>
      <c r="B111" s="1" t="s">
        <v>369</v>
      </c>
      <c r="C111" s="3">
        <v>4.962</v>
      </c>
      <c r="D111" s="3">
        <v>9.3</v>
      </c>
      <c r="E111" s="3">
        <v>10.4</v>
      </c>
      <c r="F111" s="3">
        <v>13.4</v>
      </c>
      <c r="G111" s="1"/>
      <c r="H111" s="4"/>
      <c r="I111" s="89" t="s">
        <v>72</v>
      </c>
      <c r="J111" s="1"/>
    </row>
    <row r="112">
      <c r="A112" s="1"/>
      <c r="B112" s="1" t="s">
        <v>370</v>
      </c>
      <c r="C112" s="3">
        <v>0.699</v>
      </c>
      <c r="D112" s="3">
        <v>0.966</v>
      </c>
      <c r="E112" s="3">
        <v>1.2</v>
      </c>
      <c r="F112" s="3">
        <v>1.2</v>
      </c>
      <c r="G112" s="1"/>
      <c r="H112" s="4"/>
      <c r="I112" s="89" t="s">
        <v>72</v>
      </c>
      <c r="J112" s="1"/>
    </row>
    <row r="113">
      <c r="A113" s="1"/>
      <c r="B113" s="1" t="s">
        <v>371</v>
      </c>
      <c r="C113" s="3">
        <v>0.539</v>
      </c>
      <c r="D113" s="3">
        <v>1.021</v>
      </c>
      <c r="E113" s="3">
        <v>1.5</v>
      </c>
      <c r="F113" s="3">
        <v>2</v>
      </c>
      <c r="G113" s="1"/>
      <c r="H113" s="4"/>
      <c r="I113" s="89" t="s">
        <v>72</v>
      </c>
      <c r="J113" s="1"/>
    </row>
    <row r="114">
      <c r="A114" s="1"/>
      <c r="B114" s="1" t="s">
        <v>372</v>
      </c>
      <c r="C114" s="3">
        <v>0.393</v>
      </c>
      <c r="D114" s="3">
        <v>0.393</v>
      </c>
      <c r="E114" s="3">
        <v>0.4</v>
      </c>
      <c r="F114" s="3">
        <v>0.4</v>
      </c>
      <c r="G114" s="1"/>
      <c r="H114" s="4"/>
      <c r="I114" s="89" t="s">
        <v>72</v>
      </c>
      <c r="J114" s="1"/>
    </row>
    <row r="115">
      <c r="A115" s="1"/>
      <c r="B115" s="1" t="s">
        <v>373</v>
      </c>
      <c r="C115" s="3">
        <v>0</v>
      </c>
      <c r="D115" s="3">
        <v>0</v>
      </c>
      <c r="E115" s="3">
        <v>0</v>
      </c>
      <c r="F115" s="3">
        <v>5.6</v>
      </c>
      <c r="G115" s="1"/>
      <c r="H115" s="4"/>
      <c r="I115" s="89" t="s">
        <v>72</v>
      </c>
      <c r="J115" s="1"/>
    </row>
    <row r="116">
      <c r="A116" s="1"/>
      <c r="B116" s="1" t="s">
        <v>374</v>
      </c>
      <c r="C116" s="3">
        <v>-76.39</v>
      </c>
      <c r="D116" s="3">
        <v>-76.39</v>
      </c>
      <c r="E116" s="3">
        <v>-76.4</v>
      </c>
      <c r="F116" s="3">
        <v>-76.4</v>
      </c>
      <c r="G116" s="1"/>
      <c r="H116" s="4"/>
      <c r="I116" s="89" t="s">
        <v>72</v>
      </c>
      <c r="J116" s="1"/>
    </row>
    <row r="117">
      <c r="A117" s="1"/>
      <c r="B117" s="1" t="s">
        <v>375</v>
      </c>
      <c r="C117" s="3">
        <v>-0.382</v>
      </c>
      <c r="D117" s="3">
        <v>-0.427</v>
      </c>
      <c r="E117" s="3">
        <v>-0.2</v>
      </c>
      <c r="F117" s="3">
        <v>0.8</v>
      </c>
      <c r="G117" s="1"/>
      <c r="H117" s="4"/>
      <c r="I117" s="89" t="s">
        <v>72</v>
      </c>
      <c r="J117" s="1"/>
    </row>
    <row r="118">
      <c r="A118" s="1"/>
      <c r="B118" s="1" t="s">
        <v>376</v>
      </c>
      <c r="C118" s="3">
        <v>17.607</v>
      </c>
      <c r="D118" s="3">
        <v>11.348</v>
      </c>
      <c r="E118" s="3">
        <v>16.6</v>
      </c>
      <c r="F118" s="3">
        <v>6.8</v>
      </c>
      <c r="G118" s="1"/>
      <c r="H118" s="4"/>
      <c r="I118" s="89" t="s">
        <v>72</v>
      </c>
      <c r="J118" s="1"/>
    </row>
    <row r="119">
      <c r="A119" s="1"/>
      <c r="B119" s="1" t="s">
        <v>377</v>
      </c>
      <c r="C119" s="3">
        <v>-1.958</v>
      </c>
      <c r="D119" s="3">
        <v>16.705</v>
      </c>
      <c r="E119" s="3">
        <v>21.5</v>
      </c>
      <c r="F119" s="3">
        <v>38.2</v>
      </c>
      <c r="G119" s="1"/>
      <c r="H119" s="4"/>
      <c r="I119" s="89" t="s">
        <v>72</v>
      </c>
      <c r="J119" s="1"/>
    </row>
    <row r="120">
      <c r="A120" s="1"/>
      <c r="B120" s="1" t="s">
        <v>378</v>
      </c>
      <c r="C120" s="3">
        <v>1.239</v>
      </c>
      <c r="D120" s="3">
        <v>-4.432</v>
      </c>
      <c r="E120" s="3">
        <v>-10</v>
      </c>
      <c r="F120" s="3">
        <v>-6.7</v>
      </c>
      <c r="G120" s="1"/>
      <c r="H120" s="4"/>
      <c r="I120" s="89" t="s">
        <v>72</v>
      </c>
      <c r="J120" s="1"/>
    </row>
    <row r="121">
      <c r="A121" s="1"/>
      <c r="B121" s="1" t="s">
        <v>379</v>
      </c>
      <c r="C121" s="3">
        <v>14.169</v>
      </c>
      <c r="D121" s="3">
        <v>4.859</v>
      </c>
      <c r="E121" s="3">
        <v>20.5</v>
      </c>
      <c r="F121" s="3">
        <v>19.8</v>
      </c>
      <c r="G121" s="1"/>
      <c r="H121" s="4"/>
      <c r="I121" s="89" t="s">
        <v>72</v>
      </c>
      <c r="J121" s="1"/>
    </row>
    <row r="122">
      <c r="A122" s="1"/>
      <c r="B122" s="1" t="s">
        <v>380</v>
      </c>
      <c r="C122" s="3">
        <v>-7.521</v>
      </c>
      <c r="D122" s="3">
        <v>-0.06</v>
      </c>
      <c r="E122" s="3">
        <v>-7.6</v>
      </c>
      <c r="F122" s="3">
        <v>0</v>
      </c>
      <c r="G122" s="1"/>
      <c r="H122" s="4"/>
      <c r="I122" s="89" t="s">
        <v>72</v>
      </c>
      <c r="J122" s="1"/>
    </row>
    <row r="123">
      <c r="A123" s="1"/>
      <c r="B123" s="1" t="s">
        <v>381</v>
      </c>
      <c r="C123" s="3">
        <v>-2.067</v>
      </c>
      <c r="D123" s="3">
        <v>-0.152</v>
      </c>
      <c r="E123" s="3">
        <v>0.3</v>
      </c>
      <c r="F123" s="3">
        <v>-6</v>
      </c>
      <c r="G123" s="1"/>
      <c r="H123" s="4"/>
      <c r="I123" s="89" t="s">
        <v>72</v>
      </c>
      <c r="J123" s="1"/>
    </row>
    <row r="124">
      <c r="A124" s="1"/>
      <c r="B124" s="1" t="s">
        <v>382</v>
      </c>
      <c r="C124" s="3">
        <v>-24.002</v>
      </c>
      <c r="D124" s="3">
        <v>-35.671</v>
      </c>
      <c r="E124" s="3">
        <v>-47.3</v>
      </c>
      <c r="F124" s="3">
        <v>-51.3</v>
      </c>
      <c r="G124" s="1"/>
      <c r="H124" s="4"/>
      <c r="I124" s="89" t="s">
        <v>72</v>
      </c>
      <c r="J124" s="1"/>
    </row>
    <row r="125">
      <c r="A125" s="1"/>
      <c r="B125" s="1" t="s">
        <v>383</v>
      </c>
      <c r="C125" s="3">
        <v>121.724</v>
      </c>
      <c r="D125" s="3">
        <v>121.724</v>
      </c>
      <c r="E125" s="3">
        <v>121.7</v>
      </c>
      <c r="F125" s="3">
        <v>121.7</v>
      </c>
      <c r="G125" s="1"/>
      <c r="H125" s="4"/>
      <c r="I125" s="89" t="s">
        <v>72</v>
      </c>
      <c r="J125" s="1"/>
    </row>
    <row r="126">
      <c r="A126" s="1"/>
      <c r="B126" s="1" t="s">
        <v>384</v>
      </c>
      <c r="C126" s="3">
        <v>0.003</v>
      </c>
      <c r="D126" s="3">
        <v>0.003</v>
      </c>
      <c r="E126" s="3">
        <v>0.1</v>
      </c>
      <c r="F126" s="3">
        <v>0.1</v>
      </c>
      <c r="G126" s="1"/>
      <c r="H126" s="4"/>
      <c r="I126" s="89" t="s">
        <v>72</v>
      </c>
      <c r="J126" s="1"/>
    </row>
    <row r="127">
      <c r="A127" s="1"/>
      <c r="B127" s="1" t="s">
        <v>385</v>
      </c>
      <c r="C127" s="3">
        <v>0.905</v>
      </c>
      <c r="D127" s="3">
        <v>0.878</v>
      </c>
      <c r="E127" s="3">
        <v>1.7</v>
      </c>
      <c r="F127" s="3">
        <v>1.6</v>
      </c>
      <c r="G127" s="1"/>
      <c r="H127" s="4"/>
      <c r="I127" s="89" t="s">
        <v>72</v>
      </c>
      <c r="J127" s="1"/>
    </row>
    <row r="128">
      <c r="A128" s="1"/>
      <c r="B128" s="1" t="s">
        <v>386</v>
      </c>
      <c r="C128" s="3">
        <v>-0.223</v>
      </c>
      <c r="D128" s="3">
        <v>-0.647</v>
      </c>
      <c r="E128" s="3">
        <v>-0.7</v>
      </c>
      <c r="F128" s="3">
        <v>-0.9</v>
      </c>
      <c r="G128" s="1"/>
      <c r="H128" s="4"/>
      <c r="I128" s="89" t="s">
        <v>72</v>
      </c>
      <c r="J128" s="1"/>
    </row>
    <row r="129">
      <c r="A129" s="1"/>
      <c r="B129" s="1" t="s">
        <v>387</v>
      </c>
      <c r="C129" s="3">
        <v>-100</v>
      </c>
      <c r="D129" s="3">
        <v>-100</v>
      </c>
      <c r="E129" s="3">
        <v>-100</v>
      </c>
      <c r="F129" s="3">
        <v>-100</v>
      </c>
      <c r="G129" s="1"/>
      <c r="H129" s="4"/>
      <c r="I129" s="89" t="s">
        <v>72</v>
      </c>
      <c r="J129" s="1"/>
    </row>
    <row r="130">
      <c r="A130" s="1"/>
      <c r="B130" s="1" t="s">
        <v>388</v>
      </c>
      <c r="C130" s="3">
        <v>-0.075</v>
      </c>
      <c r="D130" s="3">
        <v>-0.075</v>
      </c>
      <c r="E130" s="3">
        <v>-0.1</v>
      </c>
      <c r="F130" s="3">
        <v>-0.1</v>
      </c>
      <c r="G130" s="1"/>
      <c r="H130" s="4"/>
      <c r="I130" s="89" t="s">
        <v>72</v>
      </c>
      <c r="J130" s="1"/>
    </row>
    <row r="131">
      <c r="A131" s="1"/>
      <c r="B131" s="1" t="s">
        <v>389</v>
      </c>
      <c r="C131" s="3">
        <v>0.694</v>
      </c>
      <c r="D131" s="3">
        <v>-0.173</v>
      </c>
      <c r="E131" s="3">
        <v>2.5</v>
      </c>
      <c r="F131" s="3">
        <v>2.2</v>
      </c>
      <c r="G131" s="1"/>
      <c r="H131" s="4"/>
      <c r="I131" s="89" t="s">
        <v>72</v>
      </c>
      <c r="J131" s="1"/>
    </row>
    <row r="132">
      <c r="A132" s="1"/>
      <c r="B132" s="1" t="s">
        <v>390</v>
      </c>
      <c r="C132" s="3">
        <v>10.853</v>
      </c>
      <c r="D132" s="3">
        <v>30.297</v>
      </c>
      <c r="E132" s="3">
        <v>53</v>
      </c>
      <c r="F132" s="3">
        <v>83.2</v>
      </c>
      <c r="G132" s="1"/>
      <c r="H132" s="4"/>
      <c r="I132" s="89" t="s">
        <v>72</v>
      </c>
      <c r="J132" s="1"/>
    </row>
    <row r="133">
      <c r="A133" s="1"/>
      <c r="B133" s="1" t="s">
        <v>391</v>
      </c>
      <c r="C133" s="3">
        <v>97.725</v>
      </c>
      <c r="D133" s="3">
        <v>86.056</v>
      </c>
      <c r="E133" s="3">
        <v>74.5</v>
      </c>
      <c r="F133" s="3">
        <v>70.5</v>
      </c>
      <c r="G133" s="1"/>
      <c r="H133" s="4"/>
      <c r="I133" s="89" t="s">
        <v>72</v>
      </c>
      <c r="J133" s="1"/>
    </row>
    <row r="134">
      <c r="A134" s="1"/>
      <c r="B134" s="1" t="s">
        <v>392</v>
      </c>
      <c r="C134" s="3">
        <v>-99.393</v>
      </c>
      <c r="D134" s="3">
        <v>-99.844</v>
      </c>
      <c r="E134" s="3">
        <v>-99.1</v>
      </c>
      <c r="F134" s="3">
        <v>-99.4</v>
      </c>
      <c r="G134" s="1"/>
      <c r="H134" s="4"/>
      <c r="I134" s="89" t="s">
        <v>72</v>
      </c>
      <c r="J134" s="1"/>
    </row>
    <row r="135">
      <c r="A135" s="1"/>
      <c r="B135" s="1" t="s">
        <v>393</v>
      </c>
      <c r="C135" s="33" t="b">
        <f>AND(ABS(SUM(C108:C123)-C132)&lt;0.001,ABS(SUM(C124:C126)-C133)&lt;0.001,ABS(SUM(C127:C130)-C134)&lt;0.001)</f>
        <v>1</v>
      </c>
      <c r="D135" s="33" t="b">
        <f>AND(ABS(SUM(D108:D123)-D132)&lt;0.001,ABS(SUM(D124:D126)-D133)&lt;0.001,ABS(SUM(D127:D130)-D134)&lt;0.001)</f>
        <v>1</v>
      </c>
      <c r="E135" s="33" t="b">
        <f>AND(ABS(SUM(E108:E123)-E132)&lt;0.001,ABS(SUM(E124:E126)-E133)&lt;0.001,ABS(SUM(E127:E130)-E134)&lt;0.001)</f>
        <v>1</v>
      </c>
      <c r="F135" s="33" t="b">
        <f>AND(ABS(SUM(F108:F123)-F132)&lt;0.001,ABS(SUM(F124:F126)-F133)&lt;0.001,ABS(SUM(F127:F130)-F134)&lt;0.001)</f>
        <v>1</v>
      </c>
      <c r="G135" s="1"/>
      <c r="H135" s="4"/>
      <c r="I135" s="89"/>
      <c r="J135" s="1"/>
    </row>
    <row r="136">
      <c r="A136" s="1"/>
      <c r="B136" s="1"/>
      <c r="C136" s="1"/>
      <c r="D136" s="1"/>
      <c r="E136" s="1"/>
      <c r="F136" s="1"/>
      <c r="G136" s="1"/>
      <c r="H136" s="1"/>
      <c r="I136" s="1"/>
      <c r="J136" s="1"/>
    </row>
    <row r="137">
      <c r="A137" s="1"/>
      <c r="B137" s="1"/>
      <c r="C137" s="1"/>
      <c r="D137" s="1"/>
      <c r="E137" s="1"/>
      <c r="F137" s="1"/>
      <c r="G137" s="1"/>
      <c r="H137" s="1"/>
      <c r="I137" s="1"/>
      <c r="J137" s="1"/>
    </row>
  </sheetData>
  <legacyDrawing r:id="rId2"/>
</worksheet>
</file>

<file path=xl/worksheets/sheet8.xml><?xml version="1.0" encoding="utf-8"?>
<worksheet xmlns="http://schemas.openxmlformats.org/spreadsheetml/2006/main" xmlns:r="http://schemas.openxmlformats.org/officeDocument/2006/relationships">
  <dimension ref="A1:J38"/>
  <sheetViews>
    <sheetView showGridLines="0" workbookViewId="0"/>
  </sheetViews>
  <sheetFormatPr defaultColWidth="8.42578125" defaultRowHeight="15"/>
  <cols>
    <col min="1" max="1" width="2" customWidth="1"/>
    <col min="2" max="2" width="32" customWidth="1"/>
    <col min="3" max="8" width="12" customWidth="1"/>
    <col min="9" max="9" width="16" customWidth="1"/>
  </cols>
  <sheetData>
    <row r="1">
      <c r="A1" s="1"/>
      <c r="B1" s="1"/>
      <c r="C1" s="1"/>
      <c r="D1" s="1"/>
      <c r="E1" s="1"/>
      <c r="F1" s="1"/>
      <c r="G1" s="1"/>
      <c r="H1" s="1"/>
      <c r="I1" s="1"/>
      <c r="J1" s="1"/>
    </row>
    <row r="2">
      <c r="A2" s="1"/>
      <c r="B2" s="46" t="s">
        <v>1</v>
      </c>
      <c r="C2" s="1"/>
      <c r="D2" s="1"/>
      <c r="E2" s="1"/>
      <c r="F2" s="1"/>
      <c r="G2" s="1"/>
      <c r="H2" s="1"/>
      <c r="I2" s="1"/>
      <c r="J2" s="1"/>
    </row>
    <row r="3">
      <c r="A3" s="1"/>
      <c r="B3" s="15" t="s">
        <v>394</v>
      </c>
      <c r="C3" s="1"/>
      <c r="D3" s="1"/>
      <c r="E3" s="1"/>
      <c r="F3" s="1"/>
      <c r="G3" s="1"/>
      <c r="H3" s="1"/>
      <c r="I3" s="1"/>
      <c r="J3" s="1"/>
    </row>
    <row r="4">
      <c r="A4" s="1"/>
      <c r="B4" s="25" t="s">
        <v>2</v>
      </c>
      <c r="C4" s="1"/>
      <c r="D4" s="1"/>
      <c r="E4" s="1"/>
      <c r="F4" s="1"/>
      <c r="G4" s="1"/>
      <c r="H4" s="1"/>
      <c r="I4" s="1"/>
      <c r="J4" s="1"/>
    </row>
    <row r="5">
      <c r="A5" s="1"/>
      <c r="B5" s="28" t="s">
        <v>50</v>
      </c>
      <c r="C5" s="2" t="s">
        <v>51</v>
      </c>
      <c r="D5" s="2" t="s">
        <v>52</v>
      </c>
      <c r="E5" s="2" t="s">
        <v>53</v>
      </c>
      <c r="F5" s="2" t="s">
        <v>54</v>
      </c>
      <c r="G5" s="2" t="s">
        <v>55</v>
      </c>
      <c r="H5" s="2" t="s">
        <v>4</v>
      </c>
      <c r="I5" s="90" t="s">
        <v>56</v>
      </c>
      <c r="J5" s="1"/>
    </row>
    <row r="6">
      <c r="A6" s="1"/>
      <c r="B6" s="41" t="s">
        <v>5</v>
      </c>
      <c r="C6" s="17">
        <v>45900</v>
      </c>
      <c r="D6" s="17">
        <v>45991</v>
      </c>
      <c r="E6" s="17">
        <v>46081</v>
      </c>
      <c r="F6" s="17">
        <v>46173</v>
      </c>
      <c r="G6" s="17">
        <v>46173</v>
      </c>
      <c r="H6" s="17">
        <v>46265</v>
      </c>
      <c r="I6" s="92"/>
      <c r="J6" s="1"/>
    </row>
    <row r="7">
      <c r="A7" s="1"/>
      <c r="B7" s="14" t="s">
        <v>6</v>
      </c>
      <c r="C7" s="40">
        <v>92</v>
      </c>
      <c r="D7" s="40">
        <v>91</v>
      </c>
      <c r="E7" s="40">
        <v>90</v>
      </c>
      <c r="F7" s="40">
        <v>92</v>
      </c>
      <c r="G7" s="40">
        <v>365</v>
      </c>
      <c r="H7" s="40">
        <v>92</v>
      </c>
      <c r="I7" s="91"/>
      <c r="J7" s="1"/>
    </row>
    <row r="8">
      <c r="A8" s="1"/>
      <c r="B8" s="1"/>
      <c r="C8" s="1"/>
      <c r="D8" s="1"/>
      <c r="E8" s="1"/>
      <c r="F8" s="1"/>
      <c r="G8" s="1"/>
      <c r="H8" s="1"/>
      <c r="I8" s="89"/>
      <c r="J8" s="1"/>
    </row>
    <row r="9">
      <c r="A9" s="1"/>
      <c r="B9" s="16" t="s">
        <v>395</v>
      </c>
      <c r="C9" s="1"/>
      <c r="D9" s="1"/>
      <c r="E9" s="1"/>
      <c r="F9" s="1"/>
      <c r="G9" s="1"/>
      <c r="H9" s="4"/>
      <c r="I9" s="89"/>
      <c r="J9" s="1"/>
    </row>
    <row r="10">
      <c r="A10" s="1"/>
      <c r="B10" s="1" t="s">
        <v>396</v>
      </c>
      <c r="C10" s="3">
        <v>102.074</v>
      </c>
      <c r="D10" s="3">
        <v>110.436</v>
      </c>
      <c r="E10" s="3">
        <v>102.3</v>
      </c>
      <c r="F10" s="3">
        <v>110.3</v>
      </c>
      <c r="G10" s="3">
        <v>425.1</v>
      </c>
      <c r="H10" s="10">
        <f>H34-H21</f>
        <v>103.323226667265</v>
      </c>
      <c r="I10" s="89" t="s">
        <v>397</v>
      </c>
      <c r="J10" s="1"/>
    </row>
    <row r="11">
      <c r="A11" s="1"/>
      <c r="B11" s="1" t="s">
        <v>59</v>
      </c>
      <c r="C11" s="3">
        <v>104.383</v>
      </c>
      <c r="D11" s="3">
        <v>113.761</v>
      </c>
      <c r="E11" s="3">
        <v>115.4</v>
      </c>
      <c r="F11" s="3">
        <v>112.5</v>
      </c>
      <c r="G11" s="3">
        <v>446</v>
      </c>
      <c r="H11" s="10">
        <f>C10</f>
        <v>102.074</v>
      </c>
      <c r="I11" s="89" t="s">
        <v>397</v>
      </c>
      <c r="J11" s="1"/>
    </row>
    <row r="12">
      <c r="A12" s="1"/>
      <c r="B12" s="25" t="s">
        <v>60</v>
      </c>
      <c r="C12" s="9">
        <f>C10/C11-1</f>
        <v>-0.022120460228198024</v>
      </c>
      <c r="D12" s="9">
        <f>D10/D11-1</f>
        <v>-0.029227942792345307</v>
      </c>
      <c r="E12" s="9">
        <f>E10/E11-1</f>
        <v>-0.11351819757365689</v>
      </c>
      <c r="F12" s="9">
        <f>F10/F11-1</f>
        <v>-0.019555555555555548</v>
      </c>
      <c r="G12" s="9">
        <f>G10/G11-1</f>
        <v>-0.04686098654708515</v>
      </c>
      <c r="H12" s="20">
        <f>H10/H11-1</f>
        <v>0.012238441398054523</v>
      </c>
      <c r="I12" s="89"/>
      <c r="J12" s="1"/>
    </row>
    <row r="13">
      <c r="A13" s="1"/>
      <c r="B13" s="25" t="s">
        <v>61</v>
      </c>
      <c r="C13" s="5">
        <f>C10-F11</f>
        <v>-10.426000000000002</v>
      </c>
      <c r="D13" s="5">
        <f>D10-C10</f>
        <v>8.362000000000009</v>
      </c>
      <c r="E13" s="5">
        <f>E10-D10</f>
        <v>-8.13600000000001</v>
      </c>
      <c r="F13" s="5">
        <f>F10-E10</f>
        <v>8</v>
      </c>
      <c r="G13" s="1"/>
      <c r="H13" s="37">
        <f>H10-F10</f>
        <v>-6.976773332734993</v>
      </c>
      <c r="I13" s="89"/>
      <c r="J13" s="1"/>
    </row>
    <row r="14">
      <c r="A14" s="1"/>
      <c r="B14" s="25" t="s">
        <v>62</v>
      </c>
      <c r="C14" s="9">
        <f>C10/F11-1</f>
        <v>-0.09267555555555562</v>
      </c>
      <c r="D14" s="9">
        <f>D10/C10-1</f>
        <v>0.08192095930403442</v>
      </c>
      <c r="E14" s="9">
        <f>E10/D10-1</f>
        <v>-0.07367162881669032</v>
      </c>
      <c r="F14" s="9">
        <f>F10/E10-1</f>
        <v>0.0782013685239491</v>
      </c>
      <c r="G14" s="1"/>
      <c r="H14" s="20">
        <f>H10/F10-1</f>
        <v>-0.06325270473921119</v>
      </c>
      <c r="I14" s="89"/>
      <c r="J14" s="1"/>
    </row>
    <row r="15">
      <c r="A15" s="1"/>
      <c r="B15" s="25" t="s">
        <v>63</v>
      </c>
      <c r="C15" s="9">
        <f>C10/C32</f>
        <v>0.487951087294265</v>
      </c>
      <c r="D15" s="9">
        <f>D10/D32</f>
        <v>0.4915016622828685</v>
      </c>
      <c r="E15" s="9">
        <f>E10/E32</f>
        <v>0.484375</v>
      </c>
      <c r="F15" s="9">
        <f>F10/F32</f>
        <v>0.48956946293830444</v>
      </c>
      <c r="G15" s="9">
        <f>G10/G32</f>
        <v>0.4883961397058823</v>
      </c>
      <c r="H15" s="20">
        <f>H10/H32</f>
        <v>0.487</v>
      </c>
      <c r="I15" s="89"/>
      <c r="J15" s="1"/>
    </row>
    <row r="16">
      <c r="A16" s="1"/>
      <c r="B16" s="25" t="s">
        <v>64</v>
      </c>
      <c r="C16" s="24">
        <f>(C15-C11/C33)*10000</f>
        <v>68.43622461389532</v>
      </c>
      <c r="D16" s="24">
        <f>(D15-D11/D33)*10000</f>
        <v>-4.207793191517428</v>
      </c>
      <c r="E16" s="24">
        <f>(E15-E11/E33)*10000</f>
        <v>-377.969457013575</v>
      </c>
      <c r="F16" s="24">
        <f>(F15-F11/F33)*10000</f>
        <v>-93.21889611584699</v>
      </c>
      <c r="G16" s="24">
        <f>(G15-G11/G33)*10000</f>
        <v>-100.94974634119902</v>
      </c>
      <c r="H16" s="32">
        <f>(H15-H11/H33)*10000</f>
        <v>-9.510872942650185</v>
      </c>
      <c r="I16" s="89"/>
      <c r="J16" s="1"/>
    </row>
    <row r="17">
      <c r="A17" s="1"/>
      <c r="B17" s="25" t="s">
        <v>65</v>
      </c>
      <c r="C17" s="9" t="s">
        <v>89</v>
      </c>
      <c r="D17" s="9" t="s">
        <v>89</v>
      </c>
      <c r="E17" s="9" t="s">
        <v>89</v>
      </c>
      <c r="F17" s="9" t="s">
        <v>89</v>
      </c>
      <c r="G17" s="9" t="s">
        <v>89</v>
      </c>
      <c r="H17" s="20" t="s">
        <v>89</v>
      </c>
      <c r="I17" s="89"/>
      <c r="J17" s="1"/>
    </row>
    <row r="18">
      <c r="A18" s="1"/>
      <c r="B18" s="25" t="s">
        <v>66</v>
      </c>
      <c r="C18" s="9" t="s">
        <v>89</v>
      </c>
      <c r="D18" s="9" t="s">
        <v>89</v>
      </c>
      <c r="E18" s="9" t="s">
        <v>89</v>
      </c>
      <c r="F18" s="9" t="s">
        <v>89</v>
      </c>
      <c r="G18" s="9" t="s">
        <v>89</v>
      </c>
      <c r="H18" s="20" t="s">
        <v>89</v>
      </c>
      <c r="I18" s="89"/>
      <c r="J18" s="1"/>
    </row>
    <row r="19">
      <c r="A19" s="1"/>
      <c r="B19" s="25" t="s">
        <v>67</v>
      </c>
      <c r="C19" s="9" t="s">
        <v>89</v>
      </c>
      <c r="D19" s="9" t="s">
        <v>89</v>
      </c>
      <c r="E19" s="9" t="s">
        <v>89</v>
      </c>
      <c r="F19" s="9" t="s">
        <v>89</v>
      </c>
      <c r="G19" s="9" t="s">
        <v>89</v>
      </c>
      <c r="H19" s="20" t="s">
        <v>89</v>
      </c>
      <c r="I19" s="89"/>
      <c r="J19" s="1"/>
    </row>
    <row r="20">
      <c r="A20" s="1"/>
      <c r="B20" s="1"/>
      <c r="C20" s="1"/>
      <c r="D20" s="1"/>
      <c r="E20" s="1"/>
      <c r="F20" s="1"/>
      <c r="G20" s="1"/>
      <c r="H20" s="4"/>
      <c r="I20" s="89"/>
      <c r="J20" s="1"/>
    </row>
    <row r="21">
      <c r="A21" s="1"/>
      <c r="B21" s="1" t="s">
        <v>398</v>
      </c>
      <c r="C21" s="3">
        <v>107.115</v>
      </c>
      <c r="D21" s="3">
        <v>114.255</v>
      </c>
      <c r="E21" s="3">
        <v>108.9</v>
      </c>
      <c r="F21" s="3">
        <v>115</v>
      </c>
      <c r="G21" s="3">
        <v>445.3</v>
      </c>
      <c r="H21" s="10">
        <f>H34*H26</f>
        <v>108.839456427735</v>
      </c>
      <c r="I21" s="89" t="s">
        <v>397</v>
      </c>
      <c r="J21" s="1"/>
    </row>
    <row r="22">
      <c r="A22" s="1"/>
      <c r="B22" s="1" t="s">
        <v>59</v>
      </c>
      <c r="C22" s="3">
        <v>112.581</v>
      </c>
      <c r="D22" s="3">
        <v>117.497</v>
      </c>
      <c r="E22" s="3">
        <v>105.6</v>
      </c>
      <c r="F22" s="3">
        <v>113</v>
      </c>
      <c r="G22" s="3">
        <v>448.7</v>
      </c>
      <c r="H22" s="10">
        <f>C21</f>
        <v>107.115</v>
      </c>
      <c r="I22" s="89" t="s">
        <v>397</v>
      </c>
      <c r="J22" s="1"/>
    </row>
    <row r="23">
      <c r="A23" s="1"/>
      <c r="B23" s="25" t="s">
        <v>60</v>
      </c>
      <c r="C23" s="9">
        <f>C21/C22-1</f>
        <v>-0.04855170943587295</v>
      </c>
      <c r="D23" s="9">
        <f>D21/D22-1</f>
        <v>-0.02759219384324707</v>
      </c>
      <c r="E23" s="9">
        <f>E21/E22-1</f>
        <v>0.03125</v>
      </c>
      <c r="F23" s="9">
        <f>F21/F22-1</f>
        <v>0.017699115044247815</v>
      </c>
      <c r="G23" s="9">
        <f>G21/G22-1</f>
        <v>-0.007577445954980999</v>
      </c>
      <c r="H23" s="20">
        <f>H21/H22-1</f>
        <v>0.016099112428091367</v>
      </c>
      <c r="I23" s="89"/>
      <c r="J23" s="1"/>
    </row>
    <row r="24">
      <c r="A24" s="1"/>
      <c r="B24" s="25" t="s">
        <v>61</v>
      </c>
      <c r="C24" s="5">
        <f>C21-F22</f>
        <v>-5.885000000000005</v>
      </c>
      <c r="D24" s="5">
        <f>D21-C21</f>
        <v>7.140000000000001</v>
      </c>
      <c r="E24" s="5">
        <f>E21-D21</f>
        <v>-5.35499999999999</v>
      </c>
      <c r="F24" s="5">
        <f>F21-E21</f>
        <v>6.099999999999994</v>
      </c>
      <c r="G24" s="1"/>
      <c r="H24" s="37">
        <f>H21-F21</f>
        <v>-6.160543572264999</v>
      </c>
      <c r="I24" s="89"/>
      <c r="J24" s="1"/>
    </row>
    <row r="25">
      <c r="A25" s="1"/>
      <c r="B25" s="25" t="s">
        <v>62</v>
      </c>
      <c r="C25" s="9">
        <f>C21/F22-1</f>
        <v>-0.05207964601769921</v>
      </c>
      <c r="D25" s="9">
        <f>D21/C21-1</f>
        <v>0.06665733090603565</v>
      </c>
      <c r="E25" s="9">
        <f>E21/D21-1</f>
        <v>-0.046868846002363074</v>
      </c>
      <c r="F25" s="9">
        <f>F21/E21-1</f>
        <v>0.05601469237832868</v>
      </c>
      <c r="G25" s="1"/>
      <c r="H25" s="20">
        <f>H21/F21-1</f>
        <v>-0.05356994410665217</v>
      </c>
      <c r="I25" s="89"/>
      <c r="J25" s="1"/>
    </row>
    <row r="26">
      <c r="A26" s="1"/>
      <c r="B26" s="25" t="s">
        <v>399</v>
      </c>
      <c r="C26" s="9">
        <f>C21/C32</f>
        <v>0.512048912705735</v>
      </c>
      <c r="D26" s="9">
        <f>D21/D32</f>
        <v>0.5084983377171315</v>
      </c>
      <c r="E26" s="9">
        <f>E21/E32</f>
        <v>0.515625</v>
      </c>
      <c r="F26" s="9">
        <f>F21/F32</f>
        <v>0.5104305370616955</v>
      </c>
      <c r="G26" s="9">
        <f>G21/G32</f>
        <v>0.5116038602941176</v>
      </c>
      <c r="H26" s="38">
        <v>0.513</v>
      </c>
      <c r="I26" s="89"/>
      <c r="J26" s="1"/>
    </row>
    <row r="27">
      <c r="A27" s="1"/>
      <c r="B27" s="25" t="s">
        <v>64</v>
      </c>
      <c r="C27" s="24">
        <f>(C26-C22/C33)*10000</f>
        <v>-68.43622461389475</v>
      </c>
      <c r="D27" s="24">
        <f>(D26-D22/D33)*10000</f>
        <v>4.207793191517428</v>
      </c>
      <c r="E27" s="24">
        <f>(E26-E22/E33)*10000</f>
        <v>377.969457013575</v>
      </c>
      <c r="F27" s="24">
        <f>(F26-F22/F33)*10000</f>
        <v>93.21889611584643</v>
      </c>
      <c r="G27" s="24">
        <f>(G26-G22/G33)*10000</f>
        <v>100.94974634119902</v>
      </c>
      <c r="H27" s="32">
        <f>(H26-H22/H33)*10000</f>
        <v>9.510872942649629</v>
      </c>
      <c r="I27" s="89"/>
      <c r="J27" s="1"/>
    </row>
    <row r="28">
      <c r="A28" s="1"/>
      <c r="B28" s="25" t="s">
        <v>65</v>
      </c>
      <c r="C28" s="9" t="s">
        <v>89</v>
      </c>
      <c r="D28" s="9" t="s">
        <v>89</v>
      </c>
      <c r="E28" s="9" t="s">
        <v>89</v>
      </c>
      <c r="F28" s="9" t="s">
        <v>89</v>
      </c>
      <c r="G28" s="9" t="s">
        <v>89</v>
      </c>
      <c r="H28" s="20" t="s">
        <v>89</v>
      </c>
      <c r="I28" s="89"/>
      <c r="J28" s="1"/>
    </row>
    <row r="29">
      <c r="A29" s="1"/>
      <c r="B29" s="25" t="s">
        <v>66</v>
      </c>
      <c r="C29" s="9" t="s">
        <v>89</v>
      </c>
      <c r="D29" s="9" t="s">
        <v>89</v>
      </c>
      <c r="E29" s="9" t="s">
        <v>89</v>
      </c>
      <c r="F29" s="9" t="s">
        <v>89</v>
      </c>
      <c r="G29" s="9" t="s">
        <v>89</v>
      </c>
      <c r="H29" s="20" t="s">
        <v>89</v>
      </c>
      <c r="I29" s="89"/>
      <c r="J29" s="1"/>
    </row>
    <row r="30">
      <c r="A30" s="1"/>
      <c r="B30" s="25" t="s">
        <v>67</v>
      </c>
      <c r="C30" s="9" t="s">
        <v>89</v>
      </c>
      <c r="D30" s="9" t="s">
        <v>89</v>
      </c>
      <c r="E30" s="9" t="s">
        <v>89</v>
      </c>
      <c r="F30" s="9" t="s">
        <v>89</v>
      </c>
      <c r="G30" s="9" t="s">
        <v>89</v>
      </c>
      <c r="H30" s="20" t="s">
        <v>89</v>
      </c>
      <c r="I30" s="89"/>
      <c r="J30" s="1"/>
    </row>
    <row r="31">
      <c r="A31" s="1"/>
      <c r="B31" s="1"/>
      <c r="C31" s="1"/>
      <c r="D31" s="1"/>
      <c r="E31" s="1"/>
      <c r="F31" s="1"/>
      <c r="G31" s="1"/>
      <c r="H31" s="4"/>
      <c r="I31" s="89"/>
      <c r="J31" s="1"/>
    </row>
    <row r="32">
      <c r="A32" s="1"/>
      <c r="B32" s="15" t="s">
        <v>400</v>
      </c>
      <c r="C32" s="7">
        <f>C10+C21</f>
        <v>209.189</v>
      </c>
      <c r="D32" s="7">
        <f>D10+D21</f>
        <v>224.691</v>
      </c>
      <c r="E32" s="7">
        <f>E10+E21</f>
        <v>211.2</v>
      </c>
      <c r="F32" s="7">
        <f>F10+F21</f>
        <v>225.3</v>
      </c>
      <c r="G32" s="7">
        <f>G10+G21</f>
        <v>870.4000000000001</v>
      </c>
      <c r="H32" s="34">
        <f>H10+H21</f>
        <v>212.162683095</v>
      </c>
      <c r="I32" s="89"/>
      <c r="J32" s="1"/>
    </row>
    <row r="33">
      <c r="A33" s="1"/>
      <c r="B33" s="1" t="s">
        <v>59</v>
      </c>
      <c r="C33" s="8">
        <f>C11+C22</f>
        <v>216.964</v>
      </c>
      <c r="D33" s="8">
        <f>D11+D22</f>
        <v>231.25799999999998</v>
      </c>
      <c r="E33" s="8">
        <f>E11+E22</f>
        <v>221</v>
      </c>
      <c r="F33" s="8">
        <f>F11+F22</f>
        <v>225.5</v>
      </c>
      <c r="G33" s="8">
        <f>G11+G22</f>
        <v>894.7</v>
      </c>
      <c r="H33" s="10">
        <f>H11+H22</f>
        <v>209.189</v>
      </c>
      <c r="I33" s="89"/>
      <c r="J33" s="1"/>
    </row>
    <row r="34">
      <c r="A34" s="1"/>
      <c r="B34" s="1" t="s">
        <v>401</v>
      </c>
      <c r="C34" s="21">
        <f>'Revenue summary'!C35</f>
        <v>209.18900000000002</v>
      </c>
      <c r="D34" s="21">
        <f>'Revenue summary'!D35</f>
        <v>224.691</v>
      </c>
      <c r="E34" s="21">
        <f>'Revenue summary'!E35</f>
        <v>211.2</v>
      </c>
      <c r="F34" s="21">
        <f>'Revenue summary'!F35</f>
        <v>225.29999999999998</v>
      </c>
      <c r="G34" s="21">
        <f>'Revenue summary'!G35</f>
        <v>870.4000000000001</v>
      </c>
      <c r="H34" s="48">
        <f>'Revenue summary'!H35</f>
        <v>212.162683095</v>
      </c>
      <c r="I34" s="89"/>
      <c r="J34" s="1"/>
    </row>
    <row r="35">
      <c r="A35" s="1"/>
      <c r="B35" s="1" t="s">
        <v>402</v>
      </c>
      <c r="C35" s="33" t="b">
        <f>ABS(C32-C34)&lt;0.05</f>
        <v>1</v>
      </c>
      <c r="D35" s="33" t="b">
        <f>ABS(D32-D34)&lt;0.05</f>
        <v>1</v>
      </c>
      <c r="E35" s="33" t="b">
        <f>ABS(E32-E34)&lt;0.05</f>
        <v>1</v>
      </c>
      <c r="F35" s="33" t="b">
        <f>ABS(F32-F34)&lt;0.05</f>
        <v>1</v>
      </c>
      <c r="G35" s="33" t="b">
        <f>ABS(G32-G34)&lt;0.05</f>
        <v>1</v>
      </c>
      <c r="H35" s="54" t="b">
        <f>ABS(H32-H34)&lt;0.05</f>
        <v>1</v>
      </c>
      <c r="I35" s="89"/>
      <c r="J35" s="1"/>
    </row>
    <row r="36">
      <c r="A36" s="1"/>
      <c r="B36" s="1" t="s">
        <v>107</v>
      </c>
      <c r="C36" s="1"/>
      <c r="D36" s="1"/>
      <c r="E36" s="1"/>
      <c r="F36" s="1"/>
      <c r="G36" s="33" t="b">
        <f>ABS(G32-SUM(C32:F32))&lt;0.15</f>
        <v>1</v>
      </c>
      <c r="H36" s="4"/>
      <c r="I36" s="89"/>
      <c r="J36" s="1"/>
    </row>
    <row r="37">
      <c r="A37" s="1"/>
      <c r="B37" s="1"/>
      <c r="C37" s="1"/>
      <c r="D37" s="1"/>
      <c r="E37" s="1"/>
      <c r="F37" s="1"/>
      <c r="G37" s="1"/>
      <c r="H37" s="1"/>
      <c r="I37" s="1"/>
      <c r="J37" s="1"/>
    </row>
    <row r="38">
      <c r="A38" s="1"/>
      <c r="B38" s="1"/>
      <c r="C38" s="1"/>
      <c r="D38" s="1"/>
      <c r="E38" s="1"/>
      <c r="F38" s="1"/>
      <c r="G38" s="1"/>
      <c r="H38" s="1"/>
      <c r="I38" s="1"/>
      <c r="J38" s="1"/>
    </row>
  </sheetData>
  <legacyDrawing r:id="rId2"/>
</worksheet>
</file>

<file path=xl/worksheets/sheet9.xml><?xml version="1.0" encoding="utf-8"?>
<worksheet xmlns="http://schemas.openxmlformats.org/spreadsheetml/2006/main" xmlns:r="http://schemas.openxmlformats.org/officeDocument/2006/relationships">
  <dimension ref="A1:J31"/>
  <sheetViews>
    <sheetView showGridLines="0" workbookViewId="0"/>
  </sheetViews>
  <sheetFormatPr defaultColWidth="8.42578125" defaultRowHeight="15"/>
  <cols>
    <col min="1" max="1" width="2" customWidth="1"/>
    <col min="2" max="2" width="32" customWidth="1"/>
    <col min="3" max="8" width="12" customWidth="1"/>
    <col min="9" max="9" width="16" customWidth="1"/>
  </cols>
  <sheetData>
    <row r="1">
      <c r="A1" s="1"/>
      <c r="B1" s="1"/>
      <c r="C1" s="1"/>
      <c r="D1" s="1"/>
      <c r="E1" s="1"/>
      <c r="F1" s="1"/>
      <c r="G1" s="1"/>
      <c r="H1" s="1"/>
      <c r="I1" s="1"/>
      <c r="J1" s="1"/>
    </row>
    <row r="2">
      <c r="A2" s="1"/>
      <c r="B2" s="46" t="s">
        <v>1</v>
      </c>
      <c r="C2" s="1"/>
      <c r="D2" s="1"/>
      <c r="E2" s="1"/>
      <c r="F2" s="1"/>
      <c r="G2" s="1"/>
      <c r="H2" s="1"/>
      <c r="I2" s="1"/>
      <c r="J2" s="1"/>
    </row>
    <row r="3">
      <c r="A3" s="1"/>
      <c r="B3" s="15" t="s">
        <v>403</v>
      </c>
      <c r="C3" s="1"/>
      <c r="D3" s="1"/>
      <c r="E3" s="1"/>
      <c r="F3" s="1"/>
      <c r="G3" s="1"/>
      <c r="H3" s="1"/>
      <c r="I3" s="1"/>
      <c r="J3" s="1"/>
    </row>
    <row r="4">
      <c r="A4" s="1"/>
      <c r="B4" s="25" t="s">
        <v>404</v>
      </c>
      <c r="C4" s="1"/>
      <c r="D4" s="1"/>
      <c r="E4" s="1"/>
      <c r="F4" s="1"/>
      <c r="G4" s="1"/>
      <c r="H4" s="1"/>
      <c r="I4" s="1"/>
      <c r="J4" s="1"/>
    </row>
    <row r="5">
      <c r="A5" s="1"/>
      <c r="B5" s="28" t="s">
        <v>50</v>
      </c>
      <c r="C5" s="2" t="s">
        <v>51</v>
      </c>
      <c r="D5" s="2" t="s">
        <v>52</v>
      </c>
      <c r="E5" s="2" t="s">
        <v>53</v>
      </c>
      <c r="F5" s="2" t="s">
        <v>54</v>
      </c>
      <c r="G5" s="2" t="s">
        <v>55</v>
      </c>
      <c r="H5" s="2" t="s">
        <v>4</v>
      </c>
      <c r="I5" s="90" t="s">
        <v>56</v>
      </c>
      <c r="J5" s="1"/>
    </row>
    <row r="6">
      <c r="A6" s="1"/>
      <c r="B6" s="41" t="s">
        <v>5</v>
      </c>
      <c r="C6" s="17">
        <v>45900</v>
      </c>
      <c r="D6" s="17">
        <v>45991</v>
      </c>
      <c r="E6" s="17">
        <v>46081</v>
      </c>
      <c r="F6" s="17">
        <v>46173</v>
      </c>
      <c r="G6" s="17">
        <v>46173</v>
      </c>
      <c r="H6" s="17">
        <v>46265</v>
      </c>
      <c r="I6" s="92"/>
      <c r="J6" s="1"/>
    </row>
    <row r="7">
      <c r="A7" s="1"/>
      <c r="B7" s="14" t="s">
        <v>6</v>
      </c>
      <c r="C7" s="40">
        <v>92</v>
      </c>
      <c r="D7" s="40">
        <v>91</v>
      </c>
      <c r="E7" s="40">
        <v>90</v>
      </c>
      <c r="F7" s="40">
        <v>92</v>
      </c>
      <c r="G7" s="40">
        <v>365</v>
      </c>
      <c r="H7" s="40">
        <v>92</v>
      </c>
      <c r="I7" s="91"/>
      <c r="J7" s="1"/>
    </row>
    <row r="8">
      <c r="A8" s="1"/>
      <c r="B8" s="1"/>
      <c r="C8" s="1"/>
      <c r="D8" s="1"/>
      <c r="E8" s="1"/>
      <c r="F8" s="1"/>
      <c r="G8" s="1"/>
      <c r="H8" s="1"/>
      <c r="I8" s="89"/>
      <c r="J8" s="1"/>
    </row>
    <row r="9">
      <c r="A9" s="1"/>
      <c r="B9" s="16" t="s">
        <v>405</v>
      </c>
      <c r="C9" s="1"/>
      <c r="D9" s="1"/>
      <c r="E9" s="1"/>
      <c r="F9" s="1"/>
      <c r="G9" s="1"/>
      <c r="H9" s="4"/>
      <c r="I9" s="89"/>
      <c r="J9" s="1"/>
    </row>
    <row r="10">
      <c r="A10" s="1"/>
      <c r="B10" s="1" t="s">
        <v>406</v>
      </c>
      <c r="C10" s="3">
        <v>217.217836</v>
      </c>
      <c r="D10" s="3">
        <v>217.40827</v>
      </c>
      <c r="E10" s="3">
        <v>217.7</v>
      </c>
      <c r="F10" s="3">
        <v>217.7</v>
      </c>
      <c r="G10" s="3">
        <v>217.5</v>
      </c>
      <c r="H10" s="10">
        <f>H27+H28</f>
        <v>218.306016</v>
      </c>
      <c r="I10" s="89" t="s">
        <v>118</v>
      </c>
      <c r="J10" s="1"/>
    </row>
    <row r="11">
      <c r="A11" s="1"/>
      <c r="B11" s="1" t="s">
        <v>407</v>
      </c>
      <c r="C11" s="3">
        <v>216.695348</v>
      </c>
      <c r="D11" s="3">
        <v>216.813788</v>
      </c>
      <c r="E11" s="3">
        <v>217</v>
      </c>
      <c r="F11" s="3">
        <v>217</v>
      </c>
      <c r="G11" s="3">
        <v>216.9</v>
      </c>
      <c r="H11" s="10">
        <f>C10</f>
        <v>217.217836</v>
      </c>
      <c r="I11" s="89" t="s">
        <v>118</v>
      </c>
      <c r="J11" s="1"/>
    </row>
    <row r="12">
      <c r="A12" s="1"/>
      <c r="B12" s="25" t="s">
        <v>60</v>
      </c>
      <c r="C12" s="9">
        <f>C10/C11-1</f>
        <v>0.0024111638981747507</v>
      </c>
      <c r="D12" s="9">
        <f>D10/D11-1</f>
        <v>0.0027419012669065435</v>
      </c>
      <c r="E12" s="9">
        <f>E10/E11-1</f>
        <v>0.003225806451612856</v>
      </c>
      <c r="F12" s="9">
        <f>F10/F11-1</f>
        <v>0.003225806451612856</v>
      </c>
      <c r="G12" s="9">
        <f>G10/G11-1</f>
        <v>0.0027662517289073207</v>
      </c>
      <c r="H12" s="20">
        <f>H10/H11-1</f>
        <v>0.005009625452672362</v>
      </c>
      <c r="I12" s="89"/>
      <c r="J12" s="1"/>
    </row>
    <row r="13">
      <c r="A13" s="1"/>
      <c r="B13" s="25" t="s">
        <v>408</v>
      </c>
      <c r="C13" s="1"/>
      <c r="D13" s="5">
        <f>D10-C10</f>
        <v>0.190433999999982</v>
      </c>
      <c r="E13" s="5">
        <f>E10-D10</f>
        <v>0.29173000000000116</v>
      </c>
      <c r="F13" s="5">
        <f>F10-E10</f>
        <v>0</v>
      </c>
      <c r="G13" s="1"/>
      <c r="H13" s="37">
        <f>H10-F10</f>
        <v>0.606016000000011</v>
      </c>
      <c r="I13" s="89"/>
      <c r="J13" s="1"/>
    </row>
    <row r="14">
      <c r="A14" s="1"/>
      <c r="B14" s="1" t="s">
        <v>409</v>
      </c>
      <c r="C14" s="8">
        <f>C16-C10</f>
        <v>0.11708999999999037</v>
      </c>
      <c r="D14" s="8">
        <f>D16-D10</f>
        <v>0</v>
      </c>
      <c r="E14" s="8">
        <f>E16-E10</f>
        <v>0</v>
      </c>
      <c r="F14" s="8">
        <f>F16-F10</f>
        <v>0</v>
      </c>
      <c r="G14" s="8">
        <f>G16-G10</f>
        <v>0</v>
      </c>
      <c r="H14" s="48">
        <f>IF('Income Statement'!H92&gt;=0,H15,0)</f>
        <v>0</v>
      </c>
      <c r="I14" s="89"/>
      <c r="J14" s="1"/>
    </row>
    <row r="15">
      <c r="A15" s="1"/>
      <c r="B15" s="1" t="s">
        <v>410</v>
      </c>
      <c r="C15" s="1"/>
      <c r="D15" s="1"/>
      <c r="E15" s="1"/>
      <c r="F15" s="1"/>
      <c r="G15" s="1"/>
      <c r="H15" s="12">
        <v>0.5</v>
      </c>
      <c r="I15" s="89"/>
      <c r="J15" s="1"/>
    </row>
    <row r="16">
      <c r="A16" s="1"/>
      <c r="B16" s="15" t="s">
        <v>411</v>
      </c>
      <c r="C16" s="30">
        <v>217.334926</v>
      </c>
      <c r="D16" s="30">
        <v>217.40827</v>
      </c>
      <c r="E16" s="30">
        <v>217.7</v>
      </c>
      <c r="F16" s="30">
        <v>217.7</v>
      </c>
      <c r="G16" s="30">
        <v>217.5</v>
      </c>
      <c r="H16" s="34">
        <f>H10+H14</f>
        <v>218.306016</v>
      </c>
      <c r="I16" s="89" t="s">
        <v>118</v>
      </c>
      <c r="J16" s="1"/>
    </row>
    <row r="17">
      <c r="A17" s="1"/>
      <c r="B17" s="1" t="s">
        <v>412</v>
      </c>
      <c r="C17" s="3">
        <v>0.661</v>
      </c>
      <c r="D17" s="8" t="s">
        <v>89</v>
      </c>
      <c r="E17" s="3">
        <v>1.663343</v>
      </c>
      <c r="F17" s="8" t="s">
        <v>89</v>
      </c>
      <c r="G17" s="8" t="s">
        <v>89</v>
      </c>
      <c r="H17" s="10" t="s">
        <v>89</v>
      </c>
      <c r="I17" s="89" t="s">
        <v>413</v>
      </c>
      <c r="J17" s="1"/>
    </row>
    <row r="18">
      <c r="A18" s="1"/>
      <c r="B18" s="15" t="s">
        <v>414</v>
      </c>
      <c r="C18" s="7">
        <f>C16</f>
        <v>217.334926</v>
      </c>
      <c r="D18" s="7">
        <f>D16</f>
        <v>217.40827</v>
      </c>
      <c r="E18" s="7">
        <f>E16</f>
        <v>217.7</v>
      </c>
      <c r="F18" s="7">
        <f>F16</f>
        <v>217.7</v>
      </c>
      <c r="G18" s="7">
        <f>G16</f>
        <v>217.5</v>
      </c>
      <c r="H18" s="34">
        <f>H16</f>
        <v>218.306016</v>
      </c>
      <c r="I18" s="89"/>
      <c r="J18" s="1"/>
    </row>
    <row r="19">
      <c r="A19" s="1"/>
      <c r="B19" s="15" t="s">
        <v>415</v>
      </c>
      <c r="C19" s="1"/>
      <c r="D19" s="1"/>
      <c r="E19" s="1"/>
      <c r="F19" s="1"/>
      <c r="G19" s="1"/>
      <c r="H19" s="47">
        <f>H18</f>
        <v>218.306016</v>
      </c>
      <c r="I19" s="89"/>
      <c r="J19" s="1"/>
    </row>
    <row r="20">
      <c r="A20" s="1"/>
      <c r="B20" s="1"/>
      <c r="C20" s="1"/>
      <c r="D20" s="1"/>
      <c r="E20" s="1"/>
      <c r="F20" s="1"/>
      <c r="G20" s="1"/>
      <c r="H20" s="4"/>
      <c r="I20" s="89"/>
      <c r="J20" s="1"/>
    </row>
    <row r="21">
      <c r="A21" s="1"/>
      <c r="B21" s="16" t="s">
        <v>416</v>
      </c>
      <c r="C21" s="1"/>
      <c r="D21" s="1"/>
      <c r="E21" s="1"/>
      <c r="F21" s="1"/>
      <c r="G21" s="1"/>
      <c r="H21" s="4"/>
      <c r="I21" s="89"/>
      <c r="J21" s="1"/>
    </row>
    <row r="22">
      <c r="A22" s="1"/>
      <c r="B22" s="1" t="s">
        <v>417</v>
      </c>
      <c r="C22" s="3">
        <v>217.298626</v>
      </c>
      <c r="D22" s="3">
        <v>217.525981</v>
      </c>
      <c r="E22" s="3">
        <v>217.7</v>
      </c>
      <c r="F22" s="3">
        <v>217.7</v>
      </c>
      <c r="G22" s="8">
        <f>F22</f>
        <v>217.7</v>
      </c>
      <c r="H22" s="10">
        <f>H27+H29</f>
        <v>218.556016</v>
      </c>
      <c r="I22" s="89" t="s">
        <v>118</v>
      </c>
      <c r="J22" s="1"/>
    </row>
    <row r="23">
      <c r="A23" s="1"/>
      <c r="B23" s="1" t="s">
        <v>418</v>
      </c>
      <c r="C23" s="3">
        <v>217.044098</v>
      </c>
      <c r="D23" s="8">
        <f>C22</f>
        <v>217.298626</v>
      </c>
      <c r="E23" s="8">
        <f>D22</f>
        <v>217.525981</v>
      </c>
      <c r="F23" s="8">
        <f>E22</f>
        <v>217.7</v>
      </c>
      <c r="G23" s="8">
        <f>C23</f>
        <v>217.044098</v>
      </c>
      <c r="H23" s="10">
        <f>F22</f>
        <v>217.7</v>
      </c>
      <c r="I23" s="89" t="s">
        <v>323</v>
      </c>
      <c r="J23" s="1"/>
    </row>
    <row r="24">
      <c r="A24" s="1"/>
      <c r="B24" s="1" t="s">
        <v>419</v>
      </c>
      <c r="C24" s="8">
        <f>C22-C23-C25</f>
        <v>0.25452800000002185</v>
      </c>
      <c r="D24" s="8">
        <f>D22-D23-D25</f>
        <v>0.22735499999998865</v>
      </c>
      <c r="E24" s="8">
        <f>E22-E23-E25</f>
        <v>0.17401899999998705</v>
      </c>
      <c r="F24" s="8">
        <f>F22-F23-F25</f>
        <v>0</v>
      </c>
      <c r="G24" s="8">
        <f>G22-G23-G25</f>
        <v>0.6559019999999975</v>
      </c>
      <c r="H24" s="10">
        <f>H22-H23-H25</f>
        <v>0.856016000000011</v>
      </c>
      <c r="I24" s="89"/>
      <c r="J24" s="1"/>
    </row>
    <row r="25">
      <c r="A25" s="1"/>
      <c r="B25" s="1" t="s">
        <v>420</v>
      </c>
      <c r="C25" s="3">
        <v>0</v>
      </c>
      <c r="D25" s="3">
        <v>0</v>
      </c>
      <c r="E25" s="3">
        <v>0</v>
      </c>
      <c r="F25" s="3">
        <v>0</v>
      </c>
      <c r="G25" s="3">
        <v>0</v>
      </c>
      <c r="H25" s="12">
        <v>0</v>
      </c>
      <c r="I25" s="89" t="s">
        <v>72</v>
      </c>
      <c r="J25" s="1"/>
    </row>
    <row r="26">
      <c r="A26" s="1"/>
      <c r="B26" s="1" t="s">
        <v>421</v>
      </c>
      <c r="C26" s="3">
        <v>0</v>
      </c>
      <c r="D26" s="3">
        <v>0</v>
      </c>
      <c r="E26" s="3">
        <v>0</v>
      </c>
      <c r="F26" s="3">
        <v>0</v>
      </c>
      <c r="G26" s="3">
        <v>0</v>
      </c>
      <c r="H26" s="12">
        <v>0</v>
      </c>
      <c r="I26" s="89" t="s">
        <v>72</v>
      </c>
      <c r="J26" s="1"/>
    </row>
    <row r="27">
      <c r="A27" s="1"/>
      <c r="B27" s="1" t="s">
        <v>422</v>
      </c>
      <c r="C27" s="1"/>
      <c r="D27" s="1"/>
      <c r="E27" s="1"/>
      <c r="F27" s="1"/>
      <c r="G27" s="1"/>
      <c r="H27" s="12">
        <v>218.056016</v>
      </c>
      <c r="I27" s="89" t="s">
        <v>423</v>
      </c>
      <c r="J27" s="1"/>
    </row>
    <row r="28">
      <c r="A28" s="1"/>
      <c r="B28" s="1" t="s">
        <v>424</v>
      </c>
      <c r="C28" s="1"/>
      <c r="D28" s="1"/>
      <c r="E28" s="1"/>
      <c r="F28" s="1"/>
      <c r="G28" s="1"/>
      <c r="H28" s="12">
        <v>0.25</v>
      </c>
      <c r="I28" s="89"/>
      <c r="J28" s="1"/>
    </row>
    <row r="29">
      <c r="A29" s="1"/>
      <c r="B29" s="1" t="s">
        <v>425</v>
      </c>
      <c r="C29" s="1"/>
      <c r="D29" s="1"/>
      <c r="E29" s="1"/>
      <c r="F29" s="1"/>
      <c r="G29" s="1"/>
      <c r="H29" s="12">
        <v>0.5</v>
      </c>
      <c r="I29" s="89"/>
      <c r="J29" s="1"/>
    </row>
    <row r="30">
      <c r="A30" s="1"/>
      <c r="B30" s="1"/>
      <c r="C30" s="1"/>
      <c r="D30" s="1"/>
      <c r="E30" s="1"/>
      <c r="F30" s="1"/>
      <c r="G30" s="1"/>
      <c r="H30" s="1"/>
      <c r="I30" s="1"/>
      <c r="J30" s="1"/>
    </row>
    <row r="31">
      <c r="A31" s="1"/>
      <c r="B31" s="1"/>
      <c r="C31" s="1"/>
      <c r="D31" s="1"/>
      <c r="E31" s="1"/>
      <c r="F31" s="1"/>
      <c r="G31" s="1"/>
      <c r="H31" s="1"/>
      <c r="I31" s="1"/>
      <c r="J31" s="1"/>
    </row>
  </sheetData>
  <legacyDrawing r:id="rId2"/>
</worksheet>
</file>

<file path=xl/worksheets/sheet10.xml><?xml version="1.0" encoding="utf-8"?>
<worksheet xmlns="http://schemas.openxmlformats.org/spreadsheetml/2006/main" xmlns:r="http://schemas.openxmlformats.org/officeDocument/2006/relationships">
  <dimension ref="A1:K41"/>
  <sheetViews>
    <sheetView showGridLines="0" workbookViewId="0"/>
  </sheetViews>
  <sheetFormatPr defaultColWidth="8.42578125" defaultRowHeight="15"/>
  <cols>
    <col min="1" max="1" width="2" customWidth="1"/>
    <col min="2" max="2" width="32" customWidth="1"/>
    <col min="3" max="8" width="12" customWidth="1"/>
    <col min="9" max="9" width="10" customWidth="1"/>
    <col min="10" max="10" width="8" customWidth="1"/>
  </cols>
  <sheetData>
    <row r="1">
      <c r="A1" s="1"/>
      <c r="B1" s="1"/>
      <c r="C1" s="1"/>
      <c r="D1" s="1"/>
      <c r="E1" s="1"/>
      <c r="F1" s="1"/>
      <c r="G1" s="1"/>
      <c r="H1" s="1"/>
      <c r="I1" s="1"/>
      <c r="J1" s="1"/>
      <c r="K1" s="1"/>
    </row>
    <row r="2">
      <c r="A2" s="1"/>
      <c r="B2" s="46" t="s">
        <v>1</v>
      </c>
      <c r="C2" s="1"/>
      <c r="D2" s="1"/>
      <c r="E2" s="1"/>
      <c r="F2" s="1"/>
      <c r="G2" s="1"/>
      <c r="H2" s="1"/>
      <c r="I2" s="1"/>
      <c r="J2" s="1"/>
      <c r="K2" s="1"/>
    </row>
    <row r="3">
      <c r="A3" s="1"/>
      <c r="B3" s="15" t="s">
        <v>426</v>
      </c>
      <c r="C3" s="1"/>
      <c r="D3" s="1"/>
      <c r="E3" s="1"/>
      <c r="F3" s="1"/>
      <c r="G3" s="1"/>
      <c r="H3" s="1"/>
      <c r="I3" s="1"/>
      <c r="J3" s="1"/>
      <c r="K3" s="1"/>
    </row>
    <row r="4">
      <c r="A4" s="1"/>
      <c r="B4" s="25" t="s">
        <v>2</v>
      </c>
      <c r="C4" s="1"/>
      <c r="D4" s="1"/>
      <c r="E4" s="1"/>
      <c r="F4" s="1"/>
      <c r="G4" s="1"/>
      <c r="H4" s="1"/>
      <c r="I4" s="1"/>
      <c r="J4" s="1"/>
      <c r="K4" s="1"/>
    </row>
    <row r="5">
      <c r="A5" s="1"/>
      <c r="B5" s="28" t="s">
        <v>3</v>
      </c>
      <c r="C5" s="2" t="s">
        <v>4</v>
      </c>
      <c r="D5" s="1"/>
      <c r="E5" s="1"/>
      <c r="F5" s="1"/>
      <c r="G5" s="1"/>
      <c r="H5" s="1"/>
      <c r="I5" s="1"/>
      <c r="J5" s="1"/>
      <c r="K5" s="1"/>
    </row>
    <row r="6">
      <c r="A6" s="1"/>
      <c r="B6" s="41" t="s">
        <v>5</v>
      </c>
      <c r="C6" s="17">
        <v>46265</v>
      </c>
      <c r="D6" s="1"/>
      <c r="E6" s="1"/>
      <c r="F6" s="1"/>
      <c r="G6" s="1"/>
      <c r="H6" s="1"/>
      <c r="I6" s="1"/>
      <c r="J6" s="1"/>
      <c r="K6" s="1"/>
    </row>
    <row r="7">
      <c r="A7" s="1"/>
      <c r="B7" s="14" t="s">
        <v>6</v>
      </c>
      <c r="C7" s="40">
        <v>92</v>
      </c>
      <c r="D7" s="1"/>
      <c r="E7" s="1"/>
      <c r="F7" s="1"/>
      <c r="G7" s="1"/>
      <c r="H7" s="1"/>
      <c r="I7" s="1"/>
      <c r="J7" s="1"/>
      <c r="K7" s="1"/>
    </row>
    <row r="8">
      <c r="A8" s="1"/>
      <c r="B8" s="1"/>
      <c r="C8" s="1"/>
      <c r="D8" s="1"/>
      <c r="E8" s="1"/>
      <c r="F8" s="1"/>
      <c r="G8" s="1"/>
      <c r="H8" s="1"/>
      <c r="I8" s="1"/>
      <c r="J8" s="1"/>
      <c r="K8" s="1"/>
    </row>
    <row r="9">
      <c r="A9" s="1"/>
      <c r="B9" s="55" t="s">
        <v>427</v>
      </c>
      <c r="C9" s="45" t="s">
        <v>428</v>
      </c>
      <c r="D9" s="45" t="s">
        <v>50</v>
      </c>
      <c r="E9" s="45" t="s">
        <v>429</v>
      </c>
      <c r="F9" s="45" t="s">
        <v>430</v>
      </c>
      <c r="G9" s="45" t="s">
        <v>431</v>
      </c>
      <c r="H9" s="45" t="s">
        <v>432</v>
      </c>
      <c r="I9" s="45" t="s">
        <v>433</v>
      </c>
      <c r="J9" s="93" t="s">
        <v>56</v>
      </c>
      <c r="K9" s="1"/>
    </row>
    <row r="10">
      <c r="A10" s="1"/>
      <c r="B10" s="1" t="s">
        <v>145</v>
      </c>
      <c r="C10" s="42">
        <v>45868</v>
      </c>
      <c r="D10" s="43" t="s">
        <v>434</v>
      </c>
      <c r="E10" s="3">
        <v>820</v>
      </c>
      <c r="F10" s="3">
        <v>840</v>
      </c>
      <c r="G10" s="8">
        <f>AVERAGE(E10,F10)</f>
        <v>830</v>
      </c>
      <c r="H10" s="21">
        <f>'Income Statement'!G22</f>
        <v>870.4000000000001</v>
      </c>
      <c r="I10" s="43" t="str">
        <f>IF(H10&gt;F10,"Beat",IF(H10&lt;E10,"Miss","In range"))</f>
        <v>Beat</v>
      </c>
      <c r="J10" s="89" t="s">
        <v>435</v>
      </c>
      <c r="K10" s="1"/>
    </row>
    <row r="11">
      <c r="A11" s="1"/>
      <c r="B11" s="1" t="s">
        <v>248</v>
      </c>
      <c r="C11" s="42">
        <v>45868</v>
      </c>
      <c r="D11" s="43" t="s">
        <v>434</v>
      </c>
      <c r="E11" s="3">
        <v>165</v>
      </c>
      <c r="F11" s="3">
        <v>175</v>
      </c>
      <c r="G11" s="8">
        <f>AVERAGE(E11,F11)</f>
        <v>170</v>
      </c>
      <c r="H11" s="21">
        <f>'Income Statement'!G199</f>
        <v>177.80900000000008</v>
      </c>
      <c r="I11" s="43" t="str">
        <f>IF(H11&gt;F11,"Beat",IF(H11&lt;E11,"Miss","In range"))</f>
        <v>Beat</v>
      </c>
      <c r="J11" s="89" t="s">
        <v>435</v>
      </c>
      <c r="K11" s="1"/>
    </row>
    <row r="12">
      <c r="A12" s="1"/>
      <c r="B12" s="1" t="s">
        <v>436</v>
      </c>
      <c r="C12" s="42">
        <v>45868</v>
      </c>
      <c r="D12" s="43" t="s">
        <v>434</v>
      </c>
      <c r="E12" s="3">
        <v>50</v>
      </c>
      <c r="F12" s="3">
        <v>50</v>
      </c>
      <c r="G12" s="8">
        <f>AVERAGE(E12,F12)</f>
        <v>50</v>
      </c>
      <c r="H12" s="21">
        <f>-'Cash Flow Statement'!G60</f>
        <v>51.3</v>
      </c>
      <c r="I12" s="43" t="str">
        <f>IF(H12&gt;F12,"Above",IF(H12&lt;E12,"Below","In line"))</f>
        <v>Above</v>
      </c>
      <c r="J12" s="89" t="s">
        <v>435</v>
      </c>
      <c r="K12" s="1"/>
    </row>
    <row r="13">
      <c r="A13" s="1"/>
      <c r="B13" s="1" t="s">
        <v>437</v>
      </c>
      <c r="C13" s="42">
        <v>45939</v>
      </c>
      <c r="D13" s="43" t="s">
        <v>434</v>
      </c>
      <c r="E13" s="3">
        <v>820</v>
      </c>
      <c r="F13" s="3">
        <v>840</v>
      </c>
      <c r="G13" s="8">
        <f>AVERAGE(E13,F13)</f>
        <v>830</v>
      </c>
      <c r="H13" s="21">
        <f>'Income Statement'!G22</f>
        <v>870.4000000000001</v>
      </c>
      <c r="I13" s="43" t="str">
        <f>IF(H13&gt;F13,"Beat",IF(H13&lt;E13,"Miss","In range"))</f>
        <v>Beat</v>
      </c>
      <c r="J13" s="89" t="s">
        <v>323</v>
      </c>
      <c r="K13" s="1"/>
    </row>
    <row r="14">
      <c r="A14" s="1"/>
      <c r="B14" s="1" t="s">
        <v>438</v>
      </c>
      <c r="C14" s="42">
        <v>45939</v>
      </c>
      <c r="D14" s="43" t="s">
        <v>434</v>
      </c>
      <c r="E14" s="3">
        <v>165</v>
      </c>
      <c r="F14" s="3">
        <v>175</v>
      </c>
      <c r="G14" s="8">
        <f>AVERAGE(E14,F14)</f>
        <v>170</v>
      </c>
      <c r="H14" s="21">
        <f>'Income Statement'!G199</f>
        <v>177.80900000000008</v>
      </c>
      <c r="I14" s="43" t="str">
        <f>IF(H14&gt;F14,"Beat",IF(H14&lt;E14,"Miss","In range"))</f>
        <v>Beat</v>
      </c>
      <c r="J14" s="89" t="s">
        <v>323</v>
      </c>
      <c r="K14" s="1"/>
    </row>
    <row r="15">
      <c r="A15" s="1"/>
      <c r="B15" s="1" t="s">
        <v>439</v>
      </c>
      <c r="C15" s="42">
        <v>46030</v>
      </c>
      <c r="D15" s="43" t="s">
        <v>434</v>
      </c>
      <c r="E15" s="3">
        <v>845</v>
      </c>
      <c r="F15" s="3">
        <v>855</v>
      </c>
      <c r="G15" s="8">
        <f>AVERAGE(E15,F15)</f>
        <v>850</v>
      </c>
      <c r="H15" s="21">
        <f>'Income Statement'!G22</f>
        <v>870.4000000000001</v>
      </c>
      <c r="I15" s="43" t="str">
        <f>IF(H15&gt;F15,"Beat",IF(H15&lt;E15,"Miss","In range"))</f>
        <v>Beat</v>
      </c>
      <c r="J15" s="89" t="s">
        <v>440</v>
      </c>
      <c r="K15" s="1"/>
    </row>
    <row r="16">
      <c r="A16" s="1"/>
      <c r="B16" s="1" t="s">
        <v>441</v>
      </c>
      <c r="C16" s="42">
        <v>46030</v>
      </c>
      <c r="D16" s="43" t="s">
        <v>434</v>
      </c>
      <c r="E16" s="3">
        <v>175</v>
      </c>
      <c r="F16" s="3">
        <v>175</v>
      </c>
      <c r="G16" s="8">
        <f>AVERAGE(E16,F16)</f>
        <v>175</v>
      </c>
      <c r="H16" s="21">
        <f>'Income Statement'!G199</f>
        <v>177.80900000000008</v>
      </c>
      <c r="I16" s="43" t="str">
        <f>IF(H16&gt;F16,"Beat",IF(H16&lt;E16,"Miss","In range"))</f>
        <v>Beat</v>
      </c>
      <c r="J16" s="89" t="s">
        <v>440</v>
      </c>
      <c r="K16" s="1"/>
    </row>
    <row r="17">
      <c r="A17" s="1"/>
      <c r="B17" s="1" t="s">
        <v>439</v>
      </c>
      <c r="C17" s="42">
        <v>46121</v>
      </c>
      <c r="D17" s="43" t="s">
        <v>434</v>
      </c>
      <c r="E17" s="3">
        <v>857</v>
      </c>
      <c r="F17" s="3">
        <v>860</v>
      </c>
      <c r="G17" s="8">
        <f>AVERAGE(E17,F17)</f>
        <v>858.5</v>
      </c>
      <c r="H17" s="21">
        <f>'Income Statement'!G22</f>
        <v>870.4000000000001</v>
      </c>
      <c r="I17" s="43" t="str">
        <f>IF(H17&gt;F17,"Beat",IF(H17&lt;E17,"Miss","In range"))</f>
        <v>Beat</v>
      </c>
      <c r="J17" s="89" t="s">
        <v>442</v>
      </c>
      <c r="K17" s="1"/>
    </row>
    <row r="18">
      <c r="A18" s="1"/>
      <c r="B18" s="1" t="s">
        <v>443</v>
      </c>
      <c r="C18" s="42">
        <v>46121</v>
      </c>
      <c r="D18" s="43" t="s">
        <v>434</v>
      </c>
      <c r="E18" s="3">
        <v>175</v>
      </c>
      <c r="F18" s="3">
        <v>175</v>
      </c>
      <c r="G18" s="8">
        <f>AVERAGE(E18,F18)</f>
        <v>175</v>
      </c>
      <c r="H18" s="21">
        <f>'Income Statement'!G199</f>
        <v>177.80900000000008</v>
      </c>
      <c r="I18" s="43" t="str">
        <f>IF(H18&gt;F18,"Beat",IF(H18&lt;E18,"Miss","In range"))</f>
        <v>Beat</v>
      </c>
      <c r="J18" s="89" t="s">
        <v>442</v>
      </c>
      <c r="K18" s="1"/>
    </row>
    <row r="19">
      <c r="A19" s="1"/>
      <c r="B19" s="1" t="s">
        <v>444</v>
      </c>
      <c r="C19" s="42">
        <v>46121</v>
      </c>
      <c r="D19" s="43" t="s">
        <v>445</v>
      </c>
      <c r="E19" s="21">
        <f>E17-('Income Statement'!C22+'Income Statement'!D22+'Income Statement'!E22)</f>
        <v>211.92000000000007</v>
      </c>
      <c r="F19" s="21">
        <f>F17-('Income Statement'!C22+'Income Statement'!D22+'Income Statement'!E22)</f>
        <v>214.92000000000007</v>
      </c>
      <c r="G19" s="8">
        <f>AVERAGE(E19,F19)</f>
        <v>213.42000000000007</v>
      </c>
      <c r="H19" s="21">
        <f>'Income Statement'!F22</f>
        <v>225.3</v>
      </c>
      <c r="I19" s="43" t="str">
        <f>IF(H19&gt;F19,"Beat",IF(H19&lt;E19,"Miss","In range"))</f>
        <v>Beat</v>
      </c>
      <c r="J19" s="89" t="s">
        <v>442</v>
      </c>
      <c r="K19" s="1"/>
    </row>
    <row r="20">
      <c r="A20" s="1"/>
      <c r="B20" s="1" t="s">
        <v>446</v>
      </c>
      <c r="C20" s="42">
        <v>46121</v>
      </c>
      <c r="D20" s="43" t="s">
        <v>445</v>
      </c>
      <c r="E20" s="21">
        <f>E18-('Income Statement'!C199+'Income Statement'!D199+'Income Statement'!E199)</f>
        <v>42.56700000000001</v>
      </c>
      <c r="F20" s="21">
        <f>F18-('Income Statement'!C199+'Income Statement'!D199+'Income Statement'!E199)</f>
        <v>42.56700000000001</v>
      </c>
      <c r="G20" s="8">
        <f>AVERAGE(E20,F20)</f>
        <v>42.56700000000001</v>
      </c>
      <c r="H20" s="21">
        <f>'Income Statement'!F199</f>
        <v>45.39999999999998</v>
      </c>
      <c r="I20" s="43" t="str">
        <f>IF(H20&gt;F20,"Beat",IF(H20&lt;E20,"Miss","In range"))</f>
        <v>Beat</v>
      </c>
      <c r="J20" s="89" t="s">
        <v>442</v>
      </c>
      <c r="K20" s="1"/>
    </row>
    <row r="21">
      <c r="A21" s="1"/>
      <c r="B21" s="1" t="s">
        <v>145</v>
      </c>
      <c r="C21" s="42">
        <v>46233</v>
      </c>
      <c r="D21" s="43" t="s">
        <v>447</v>
      </c>
      <c r="E21" s="3">
        <v>880</v>
      </c>
      <c r="F21" s="3">
        <v>885</v>
      </c>
      <c r="G21" s="8">
        <f>AVERAGE(E21,F21)</f>
        <v>882.5</v>
      </c>
      <c r="H21" s="26" t="s">
        <v>448</v>
      </c>
      <c r="I21" s="26" t="s">
        <v>40</v>
      </c>
      <c r="J21" s="89" t="s">
        <v>239</v>
      </c>
      <c r="K21" s="1"/>
    </row>
    <row r="22">
      <c r="A22" s="1"/>
      <c r="B22" s="1" t="s">
        <v>248</v>
      </c>
      <c r="C22" s="42">
        <v>46233</v>
      </c>
      <c r="D22" s="43" t="s">
        <v>447</v>
      </c>
      <c r="E22" s="3">
        <v>180</v>
      </c>
      <c r="F22" s="3">
        <v>182</v>
      </c>
      <c r="G22" s="8">
        <f>AVERAGE(E22,F22)</f>
        <v>181</v>
      </c>
      <c r="H22" s="26" t="s">
        <v>448</v>
      </c>
      <c r="I22" s="26" t="s">
        <v>40</v>
      </c>
      <c r="J22" s="89" t="s">
        <v>239</v>
      </c>
      <c r="K22" s="1"/>
    </row>
    <row r="23">
      <c r="A23" s="1"/>
      <c r="B23" s="1" t="s">
        <v>449</v>
      </c>
      <c r="C23" s="42">
        <v>46233</v>
      </c>
      <c r="D23" s="43" t="s">
        <v>447</v>
      </c>
      <c r="E23" s="3">
        <v>92</v>
      </c>
      <c r="F23" s="3">
        <v>92</v>
      </c>
      <c r="G23" s="8">
        <f>AVERAGE(E23,F23)</f>
        <v>92</v>
      </c>
      <c r="H23" s="26" t="s">
        <v>448</v>
      </c>
      <c r="I23" s="26" t="s">
        <v>40</v>
      </c>
      <c r="J23" s="89" t="s">
        <v>239</v>
      </c>
      <c r="K23" s="1"/>
    </row>
    <row r="24">
      <c r="A24" s="1"/>
      <c r="B24" s="1" t="s">
        <v>450</v>
      </c>
      <c r="C24" s="42">
        <v>46233</v>
      </c>
      <c r="D24" s="43" t="s">
        <v>447</v>
      </c>
      <c r="E24" s="3">
        <v>13</v>
      </c>
      <c r="F24" s="3">
        <v>13</v>
      </c>
      <c r="G24" s="8">
        <f>AVERAGE(E24,F24)</f>
        <v>13</v>
      </c>
      <c r="H24" s="26" t="s">
        <v>448</v>
      </c>
      <c r="I24" s="26" t="s">
        <v>40</v>
      </c>
      <c r="J24" s="89" t="s">
        <v>239</v>
      </c>
      <c r="K24" s="1"/>
    </row>
    <row r="25">
      <c r="A25" s="1"/>
      <c r="B25" s="1" t="s">
        <v>451</v>
      </c>
      <c r="C25" s="42">
        <v>46233</v>
      </c>
      <c r="D25" s="43" t="s">
        <v>447</v>
      </c>
      <c r="E25" s="44">
        <v>0.03</v>
      </c>
      <c r="F25" s="44">
        <v>0.03</v>
      </c>
      <c r="G25" s="9">
        <f>AVERAGE(E25,F25)</f>
        <v>0.03</v>
      </c>
      <c r="H25" s="26" t="s">
        <v>448</v>
      </c>
      <c r="I25" s="26" t="s">
        <v>40</v>
      </c>
      <c r="J25" s="89" t="s">
        <v>239</v>
      </c>
      <c r="K25" s="1"/>
    </row>
    <row r="26">
      <c r="A26" s="1"/>
      <c r="B26" s="1" t="s">
        <v>452</v>
      </c>
      <c r="C26" s="42">
        <v>46233</v>
      </c>
      <c r="D26" s="43" t="s">
        <v>447</v>
      </c>
      <c r="E26" s="44">
        <v>-0.01</v>
      </c>
      <c r="F26" s="44">
        <v>-0.01</v>
      </c>
      <c r="G26" s="9">
        <f>AVERAGE(E26,F26)</f>
        <v>-0.01</v>
      </c>
      <c r="H26" s="26" t="s">
        <v>448</v>
      </c>
      <c r="I26" s="26" t="s">
        <v>40</v>
      </c>
      <c r="J26" s="89" t="s">
        <v>239</v>
      </c>
      <c r="K26" s="1"/>
    </row>
    <row r="27">
      <c r="A27" s="1"/>
      <c r="B27" s="1" t="s">
        <v>145</v>
      </c>
      <c r="C27" s="42">
        <v>46233</v>
      </c>
      <c r="D27" s="43" t="s">
        <v>453</v>
      </c>
      <c r="E27" s="3">
        <v>207</v>
      </c>
      <c r="F27" s="3">
        <v>209</v>
      </c>
      <c r="G27" s="8">
        <f>AVERAGE(E27,F27)</f>
        <v>208</v>
      </c>
      <c r="H27" s="26" t="s">
        <v>448</v>
      </c>
      <c r="I27" s="26" t="s">
        <v>40</v>
      </c>
      <c r="J27" s="89" t="s">
        <v>239</v>
      </c>
      <c r="K27" s="1"/>
    </row>
    <row r="28">
      <c r="A28" s="1"/>
      <c r="B28" s="1" t="s">
        <v>454</v>
      </c>
      <c r="C28" s="42">
        <v>46233</v>
      </c>
      <c r="D28" s="43" t="s">
        <v>453</v>
      </c>
      <c r="E28" s="3">
        <v>37</v>
      </c>
      <c r="F28" s="3">
        <v>37</v>
      </c>
      <c r="G28" s="8">
        <f>AVERAGE(E28,F28)</f>
        <v>37</v>
      </c>
      <c r="H28" s="26" t="s">
        <v>448</v>
      </c>
      <c r="I28" s="26" t="s">
        <v>40</v>
      </c>
      <c r="J28" s="89" t="s">
        <v>239</v>
      </c>
      <c r="K28" s="1"/>
    </row>
    <row r="29">
      <c r="A29" s="1"/>
      <c r="B29" s="1"/>
      <c r="C29" s="1"/>
      <c r="D29" s="1"/>
      <c r="E29" s="1"/>
      <c r="F29" s="1"/>
      <c r="G29" s="1"/>
      <c r="H29" s="1"/>
      <c r="I29" s="1"/>
      <c r="J29" s="1"/>
      <c r="K29" s="1"/>
    </row>
    <row r="30">
      <c r="A30" s="1"/>
      <c r="B30" s="16" t="s">
        <v>455</v>
      </c>
      <c r="C30" s="1"/>
      <c r="D30" s="1"/>
      <c r="E30" s="1"/>
      <c r="F30" s="1"/>
      <c r="G30" s="1"/>
      <c r="H30" s="1"/>
      <c r="I30" s="1"/>
      <c r="J30" s="1"/>
      <c r="K30" s="1"/>
    </row>
    <row r="31">
      <c r="A31" s="1"/>
      <c r="B31" s="1" t="s">
        <v>456</v>
      </c>
      <c r="C31" s="1"/>
      <c r="D31" s="1"/>
      <c r="E31" s="1"/>
      <c r="F31" s="1"/>
      <c r="G31" s="8">
        <f>G28</f>
        <v>37</v>
      </c>
      <c r="H31" s="1"/>
      <c r="I31" s="1"/>
      <c r="J31" s="1"/>
      <c r="K31" s="1"/>
    </row>
    <row r="32">
      <c r="A32" s="1"/>
      <c r="B32" s="1" t="s">
        <v>457</v>
      </c>
      <c r="C32" s="1"/>
      <c r="D32" s="1"/>
      <c r="E32" s="1"/>
      <c r="F32" s="1"/>
      <c r="G32" s="21">
        <f>-'Income Statement'!H190</f>
        <v>-7.3</v>
      </c>
      <c r="H32" s="1"/>
      <c r="I32" s="1"/>
      <c r="J32" s="1"/>
      <c r="K32" s="1"/>
    </row>
    <row r="33">
      <c r="A33" s="1"/>
      <c r="B33" s="1" t="s">
        <v>458</v>
      </c>
      <c r="C33" s="1"/>
      <c r="D33" s="1"/>
      <c r="E33" s="1"/>
      <c r="F33" s="1"/>
      <c r="G33" s="21">
        <f>'Income Statement'!H76</f>
        <v>-13.7</v>
      </c>
      <c r="H33" s="1"/>
      <c r="I33" s="1"/>
      <c r="J33" s="1"/>
      <c r="K33" s="1"/>
    </row>
    <row r="34">
      <c r="A34" s="1"/>
      <c r="B34" s="15" t="s">
        <v>459</v>
      </c>
      <c r="C34" s="1"/>
      <c r="D34" s="1"/>
      <c r="E34" s="1"/>
      <c r="F34" s="1"/>
      <c r="G34" s="7">
        <f>G31+G32+G33</f>
        <v>16</v>
      </c>
      <c r="H34" s="1"/>
      <c r="I34" s="1"/>
      <c r="J34" s="1"/>
      <c r="K34" s="1"/>
    </row>
    <row r="35">
      <c r="A35" s="1"/>
      <c r="B35" s="1" t="s">
        <v>460</v>
      </c>
      <c r="C35" s="1"/>
      <c r="D35" s="1"/>
      <c r="E35" s="1"/>
      <c r="F35" s="1"/>
      <c r="G35" s="21">
        <f>-G34*'Income Statement'!H210</f>
        <v>-4.16</v>
      </c>
      <c r="H35" s="1"/>
      <c r="I35" s="1"/>
      <c r="J35" s="1"/>
      <c r="K35" s="1"/>
    </row>
    <row r="36">
      <c r="A36" s="1"/>
      <c r="B36" s="15" t="s">
        <v>461</v>
      </c>
      <c r="C36" s="1"/>
      <c r="D36" s="1"/>
      <c r="E36" s="1"/>
      <c r="F36" s="1"/>
      <c r="G36" s="7">
        <f>G34+G35</f>
        <v>11.84</v>
      </c>
      <c r="H36" s="1"/>
      <c r="I36" s="1"/>
      <c r="J36" s="1"/>
      <c r="K36" s="1"/>
    </row>
    <row r="37">
      <c r="A37" s="1"/>
      <c r="B37" s="15" t="s">
        <v>462</v>
      </c>
      <c r="C37" s="1"/>
      <c r="D37" s="1"/>
      <c r="E37" s="1"/>
      <c r="F37" s="1"/>
      <c r="G37" s="52">
        <f>G36/'Income Statement'!H162</f>
        <v>0.05423579348358407</v>
      </c>
      <c r="H37" s="1"/>
      <c r="I37" s="1"/>
      <c r="J37" s="1"/>
      <c r="K37" s="1"/>
    </row>
    <row r="38">
      <c r="A38" s="1"/>
      <c r="B38" s="1" t="s">
        <v>463</v>
      </c>
      <c r="C38" s="1"/>
      <c r="D38" s="1"/>
      <c r="E38" s="1"/>
      <c r="F38" s="1"/>
      <c r="G38" s="21">
        <f>'Income Statement'!H199</f>
        <v>37.65701618131</v>
      </c>
      <c r="H38" s="1"/>
      <c r="I38" s="1"/>
      <c r="J38" s="1"/>
      <c r="K38" s="1"/>
    </row>
    <row r="39">
      <c r="A39" s="1"/>
      <c r="B39" s="1" t="s">
        <v>464</v>
      </c>
      <c r="C39" s="1"/>
      <c r="D39" s="1"/>
      <c r="E39" s="1"/>
      <c r="F39" s="1"/>
      <c r="G39" s="21">
        <f>'Revenue summary'!H35</f>
        <v>212.162683095</v>
      </c>
      <c r="H39" s="1"/>
      <c r="I39" s="1"/>
      <c r="J39" s="1"/>
      <c r="K39" s="1"/>
    </row>
    <row r="40">
      <c r="A40" s="1"/>
      <c r="B40" s="1"/>
      <c r="C40" s="1"/>
      <c r="D40" s="1"/>
      <c r="E40" s="1"/>
      <c r="F40" s="1"/>
      <c r="G40" s="1"/>
      <c r="H40" s="1"/>
      <c r="I40" s="1"/>
      <c r="J40" s="1"/>
      <c r="K40" s="1"/>
    </row>
    <row r="41">
      <c r="A41" s="1"/>
      <c r="B41" s="1"/>
      <c r="C41" s="1"/>
      <c r="D41" s="1"/>
      <c r="E41" s="1"/>
      <c r="F41" s="1"/>
      <c r="G41" s="1"/>
      <c r="H41" s="1"/>
      <c r="I41" s="1"/>
      <c r="J41" s="1"/>
      <c r="K41" s="1"/>
    </row>
  </sheetData>
  <legacyDrawing r:id="rId2"/>
</worksheet>
</file>

<file path=xl/worksheets/sheet11.xml><?xml version="1.0" encoding="utf-8"?>
<worksheet xmlns="http://schemas.openxmlformats.org/spreadsheetml/2006/main" xmlns:r="http://schemas.openxmlformats.org/officeDocument/2006/relationships">
  <dimension ref="A1:J37"/>
  <sheetViews>
    <sheetView showGridLines="0" workbookViewId="0"/>
  </sheetViews>
  <sheetFormatPr defaultColWidth="8.42578125" defaultRowHeight="15"/>
  <cols>
    <col min="1" max="1" width="2" customWidth="1"/>
    <col min="2" max="2" width="32" customWidth="1"/>
    <col min="3" max="4" width="12" customWidth="1"/>
    <col min="5" max="5" width="24" customWidth="1"/>
    <col min="6" max="6" width="48" customWidth="1"/>
    <col min="7" max="7" width="34" customWidth="1"/>
  </cols>
  <sheetData>
    <row r="1">
      <c r="A1" s="1"/>
      <c r="B1" s="1"/>
      <c r="C1" s="1"/>
      <c r="D1" s="1"/>
      <c r="E1" s="1"/>
      <c r="F1" s="1"/>
      <c r="G1" s="1"/>
      <c r="H1" s="1"/>
      <c r="I1" s="1"/>
      <c r="J1" s="1"/>
    </row>
    <row r="2">
      <c r="A2" s="1"/>
      <c r="B2" s="46" t="s">
        <v>1</v>
      </c>
      <c r="C2" s="1"/>
      <c r="D2" s="1"/>
      <c r="E2" s="1"/>
      <c r="F2" s="1"/>
      <c r="G2" s="1"/>
      <c r="H2" s="1"/>
      <c r="I2" s="1"/>
      <c r="J2" s="1"/>
    </row>
    <row r="3">
      <c r="A3" s="1"/>
      <c r="B3" s="15" t="s">
        <v>465</v>
      </c>
      <c r="C3" s="1"/>
      <c r="D3" s="1"/>
      <c r="E3" s="1"/>
      <c r="F3" s="1"/>
      <c r="G3" s="1"/>
      <c r="H3" s="1"/>
      <c r="I3" s="1"/>
      <c r="J3" s="1"/>
    </row>
    <row r="4">
      <c r="A4" s="1"/>
      <c r="B4" s="25" t="s">
        <v>2</v>
      </c>
      <c r="C4" s="1"/>
      <c r="D4" s="1"/>
      <c r="E4" s="1"/>
      <c r="F4" s="1"/>
      <c r="G4" s="1"/>
      <c r="H4" s="1"/>
      <c r="I4" s="1"/>
      <c r="J4" s="1"/>
    </row>
    <row r="5">
      <c r="A5" s="1"/>
      <c r="B5" s="28" t="s">
        <v>3</v>
      </c>
      <c r="C5" s="2" t="s">
        <v>4</v>
      </c>
      <c r="D5" s="1"/>
      <c r="E5" s="1"/>
      <c r="F5" s="1"/>
      <c r="G5" s="1"/>
      <c r="H5" s="1"/>
      <c r="I5" s="1"/>
      <c r="J5" s="1"/>
    </row>
    <row r="6">
      <c r="A6" s="1"/>
      <c r="B6" s="41" t="s">
        <v>5</v>
      </c>
      <c r="C6" s="17">
        <v>46265</v>
      </c>
      <c r="D6" s="1"/>
      <c r="E6" s="1"/>
      <c r="F6" s="1"/>
      <c r="G6" s="1"/>
      <c r="H6" s="1"/>
      <c r="I6" s="1"/>
      <c r="J6" s="1"/>
    </row>
    <row r="7">
      <c r="A7" s="1"/>
      <c r="B7" s="14" t="s">
        <v>6</v>
      </c>
      <c r="C7" s="40">
        <v>92</v>
      </c>
      <c r="D7" s="1"/>
      <c r="E7" s="1"/>
      <c r="F7" s="1"/>
      <c r="G7" s="1"/>
      <c r="H7" s="1"/>
      <c r="I7" s="1"/>
      <c r="J7" s="1"/>
    </row>
    <row r="8">
      <c r="A8" s="1"/>
      <c r="B8" s="1"/>
      <c r="C8" s="1"/>
      <c r="D8" s="1"/>
      <c r="E8" s="1"/>
      <c r="F8" s="1"/>
      <c r="G8" s="1"/>
      <c r="H8" s="1"/>
      <c r="I8" s="1"/>
      <c r="J8" s="1"/>
    </row>
    <row r="9">
      <c r="A9" s="1"/>
      <c r="B9" s="58" t="s">
        <v>466</v>
      </c>
      <c r="C9" s="58" t="s">
        <v>467</v>
      </c>
      <c r="D9" s="58" t="s">
        <v>468</v>
      </c>
      <c r="E9" s="58" t="s">
        <v>469</v>
      </c>
      <c r="F9" s="58" t="s">
        <v>470</v>
      </c>
      <c r="G9" s="58" t="s">
        <v>471</v>
      </c>
      <c r="H9" s="1"/>
      <c r="I9" s="1"/>
      <c r="J9" s="1"/>
    </row>
    <row r="10">
      <c r="A10" s="1"/>
      <c r="B10" s="57" t="s">
        <v>472</v>
      </c>
      <c r="C10" s="57" t="s">
        <v>473</v>
      </c>
      <c r="D10" s="57" t="s">
        <v>474</v>
      </c>
      <c r="E10" s="57" t="s">
        <v>475</v>
      </c>
      <c r="F10" s="57" t="s">
        <v>476</v>
      </c>
      <c r="G10" s="57" t="s">
        <v>477</v>
      </c>
      <c r="H10" s="1"/>
      <c r="I10" s="1"/>
      <c r="J10" s="1"/>
    </row>
    <row r="11">
      <c r="A11" s="1"/>
      <c r="B11" s="57" t="s">
        <v>478</v>
      </c>
      <c r="C11" s="57" t="s">
        <v>479</v>
      </c>
      <c r="D11" s="57" t="s">
        <v>474</v>
      </c>
      <c r="E11" s="57" t="s">
        <v>475</v>
      </c>
      <c r="F11" s="57" t="s">
        <v>480</v>
      </c>
      <c r="G11" s="57" t="s">
        <v>481</v>
      </c>
      <c r="H11" s="1"/>
      <c r="I11" s="1"/>
      <c r="J11" s="1"/>
    </row>
    <row r="12">
      <c r="A12" s="1"/>
      <c r="B12" s="57" t="s">
        <v>482</v>
      </c>
      <c r="C12" s="57" t="s">
        <v>323</v>
      </c>
      <c r="D12" s="57" t="s">
        <v>483</v>
      </c>
      <c r="E12" s="57" t="s">
        <v>484</v>
      </c>
      <c r="F12" s="57" t="s">
        <v>485</v>
      </c>
      <c r="G12" s="57" t="s">
        <v>486</v>
      </c>
      <c r="H12" s="1"/>
      <c r="I12" s="1"/>
      <c r="J12" s="1"/>
    </row>
    <row r="13">
      <c r="A13" s="1"/>
      <c r="B13" s="57" t="s">
        <v>487</v>
      </c>
      <c r="C13" s="57" t="s">
        <v>488</v>
      </c>
      <c r="D13" s="57" t="s">
        <v>483</v>
      </c>
      <c r="E13" s="57" t="s">
        <v>489</v>
      </c>
      <c r="F13" s="57" t="s">
        <v>490</v>
      </c>
      <c r="G13" s="57" t="s">
        <v>491</v>
      </c>
      <c r="H13" s="1"/>
      <c r="I13" s="1"/>
      <c r="J13" s="1"/>
    </row>
    <row r="14">
      <c r="A14" s="1"/>
      <c r="B14" s="57" t="s">
        <v>492</v>
      </c>
      <c r="C14" s="57" t="s">
        <v>440</v>
      </c>
      <c r="D14" s="57" t="s">
        <v>493</v>
      </c>
      <c r="E14" s="57" t="s">
        <v>484</v>
      </c>
      <c r="F14" s="57" t="s">
        <v>494</v>
      </c>
      <c r="G14" s="57" t="s">
        <v>495</v>
      </c>
      <c r="H14" s="1"/>
      <c r="I14" s="1"/>
      <c r="J14" s="1"/>
    </row>
    <row r="15">
      <c r="A15" s="1"/>
      <c r="B15" s="57" t="s">
        <v>496</v>
      </c>
      <c r="C15" s="57" t="s">
        <v>124</v>
      </c>
      <c r="D15" s="57" t="s">
        <v>493</v>
      </c>
      <c r="E15" s="57" t="s">
        <v>489</v>
      </c>
      <c r="F15" s="57" t="s">
        <v>497</v>
      </c>
      <c r="G15" s="57" t="s">
        <v>498</v>
      </c>
      <c r="H15" s="1"/>
      <c r="I15" s="1"/>
      <c r="J15" s="1"/>
    </row>
    <row r="16">
      <c r="A16" s="1"/>
      <c r="B16" s="57" t="s">
        <v>499</v>
      </c>
      <c r="C16" s="57" t="s">
        <v>442</v>
      </c>
      <c r="D16" s="57" t="s">
        <v>500</v>
      </c>
      <c r="E16" s="57" t="s">
        <v>484</v>
      </c>
      <c r="F16" s="57" t="s">
        <v>501</v>
      </c>
      <c r="G16" s="57" t="s">
        <v>502</v>
      </c>
      <c r="H16" s="1"/>
      <c r="I16" s="1"/>
      <c r="J16" s="1"/>
    </row>
    <row r="17">
      <c r="A17" s="1"/>
      <c r="B17" s="57" t="s">
        <v>503</v>
      </c>
      <c r="C17" s="57" t="s">
        <v>129</v>
      </c>
      <c r="D17" s="57" t="s">
        <v>500</v>
      </c>
      <c r="E17" s="57" t="s">
        <v>489</v>
      </c>
      <c r="F17" s="57" t="s">
        <v>504</v>
      </c>
      <c r="G17" s="57" t="s">
        <v>505</v>
      </c>
      <c r="H17" s="1"/>
      <c r="I17" s="1"/>
      <c r="J17" s="1"/>
    </row>
    <row r="18">
      <c r="A18" s="1"/>
      <c r="B18" s="57" t="s">
        <v>506</v>
      </c>
      <c r="C18" s="57" t="s">
        <v>239</v>
      </c>
      <c r="D18" s="57" t="s">
        <v>507</v>
      </c>
      <c r="E18" s="57" t="s">
        <v>484</v>
      </c>
      <c r="F18" s="57" t="s">
        <v>508</v>
      </c>
      <c r="G18" s="57" t="s">
        <v>509</v>
      </c>
      <c r="H18" s="1"/>
      <c r="I18" s="1"/>
      <c r="J18" s="1"/>
    </row>
    <row r="19">
      <c r="A19" s="1"/>
      <c r="B19" s="57" t="s">
        <v>510</v>
      </c>
      <c r="C19" s="57" t="s">
        <v>423</v>
      </c>
      <c r="D19" s="57" t="s">
        <v>507</v>
      </c>
      <c r="E19" s="57" t="s">
        <v>511</v>
      </c>
      <c r="F19" s="57" t="s">
        <v>512</v>
      </c>
      <c r="G19" s="57" t="s">
        <v>513</v>
      </c>
      <c r="H19" s="1"/>
      <c r="I19" s="1"/>
      <c r="J19" s="1"/>
    </row>
    <row r="20" ht="67.5">
      <c r="A20" s="1"/>
      <c r="B20" s="57" t="s">
        <v>514</v>
      </c>
      <c r="C20" s="57" t="s">
        <v>515</v>
      </c>
      <c r="D20" s="57" t="s">
        <v>516</v>
      </c>
      <c r="E20" s="57" t="s">
        <v>517</v>
      </c>
      <c r="F20" s="57" t="s">
        <v>518</v>
      </c>
      <c r="G20" s="57" t="s">
        <v>519</v>
      </c>
      <c r="H20" s="1"/>
      <c r="I20" s="1"/>
      <c r="J20" s="1"/>
    </row>
    <row r="21">
      <c r="A21" s="1"/>
      <c r="B21" s="57" t="s">
        <v>520</v>
      </c>
      <c r="C21" s="57" t="s">
        <v>521</v>
      </c>
      <c r="D21" s="57" t="s">
        <v>522</v>
      </c>
      <c r="E21" s="57" t="s">
        <v>523</v>
      </c>
      <c r="F21" s="57" t="s">
        <v>524</v>
      </c>
      <c r="G21" s="57" t="s">
        <v>525</v>
      </c>
      <c r="H21" s="1"/>
      <c r="I21" s="1"/>
      <c r="J21" s="1"/>
    </row>
    <row r="22">
      <c r="A22" s="1"/>
      <c r="B22" s="57" t="s">
        <v>526</v>
      </c>
      <c r="C22" s="57" t="s">
        <v>527</v>
      </c>
      <c r="D22" s="57" t="s">
        <v>528</v>
      </c>
      <c r="E22" s="57" t="s">
        <v>529</v>
      </c>
      <c r="F22" s="57" t="s">
        <v>530</v>
      </c>
      <c r="G22" s="57" t="s">
        <v>531</v>
      </c>
      <c r="H22" s="1"/>
      <c r="I22" s="1"/>
      <c r="J22" s="1"/>
    </row>
    <row r="23">
      <c r="A23" s="1"/>
      <c r="B23" s="57" t="s">
        <v>532</v>
      </c>
      <c r="C23" s="57" t="s">
        <v>533</v>
      </c>
      <c r="D23" s="57" t="s">
        <v>534</v>
      </c>
      <c r="E23" s="57" t="s">
        <v>535</v>
      </c>
      <c r="F23" s="57" t="s">
        <v>536</v>
      </c>
      <c r="G23" s="57" t="s">
        <v>537</v>
      </c>
      <c r="H23" s="1"/>
      <c r="I23" s="1"/>
      <c r="J23" s="1"/>
    </row>
    <row r="24">
      <c r="A24" s="1"/>
      <c r="B24" s="57" t="s">
        <v>538</v>
      </c>
      <c r="C24" s="57" t="s">
        <v>539</v>
      </c>
      <c r="D24" s="57" t="s">
        <v>540</v>
      </c>
      <c r="E24" s="57" t="s">
        <v>541</v>
      </c>
      <c r="F24" s="57" t="s">
        <v>542</v>
      </c>
      <c r="G24" s="57" t="s">
        <v>543</v>
      </c>
      <c r="H24" s="1"/>
      <c r="I24" s="1"/>
      <c r="J24" s="1"/>
    </row>
    <row r="25">
      <c r="A25" s="1"/>
      <c r="B25" s="57" t="s">
        <v>544</v>
      </c>
      <c r="C25" s="57" t="s">
        <v>545</v>
      </c>
      <c r="D25" s="57" t="s">
        <v>546</v>
      </c>
      <c r="E25" s="57" t="s">
        <v>547</v>
      </c>
      <c r="F25" s="57" t="s">
        <v>548</v>
      </c>
      <c r="G25" s="57" t="s">
        <v>549</v>
      </c>
      <c r="H25" s="1"/>
      <c r="I25" s="1"/>
      <c r="J25" s="1"/>
    </row>
    <row r="26">
      <c r="A26" s="1"/>
      <c r="B26" s="57" t="s">
        <v>550</v>
      </c>
      <c r="C26" s="57" t="s">
        <v>551</v>
      </c>
      <c r="D26" s="57" t="s">
        <v>552</v>
      </c>
      <c r="E26" s="57" t="s">
        <v>553</v>
      </c>
      <c r="F26" s="57" t="s">
        <v>554</v>
      </c>
      <c r="G26" s="57" t="s">
        <v>555</v>
      </c>
      <c r="H26" s="1"/>
      <c r="I26" s="1"/>
      <c r="J26" s="1"/>
    </row>
    <row r="27">
      <c r="A27" s="1"/>
      <c r="B27" s="57" t="s">
        <v>556</v>
      </c>
      <c r="C27" s="57" t="s">
        <v>557</v>
      </c>
      <c r="D27" s="57" t="s">
        <v>558</v>
      </c>
      <c r="E27" s="57" t="s">
        <v>559</v>
      </c>
      <c r="F27" s="57" t="s">
        <v>560</v>
      </c>
      <c r="G27" s="57" t="s">
        <v>561</v>
      </c>
      <c r="H27" s="1"/>
      <c r="I27" s="1"/>
      <c r="J27" s="1"/>
    </row>
    <row r="28">
      <c r="A28" s="1"/>
      <c r="B28" s="57" t="s">
        <v>562</v>
      </c>
      <c r="C28" s="57" t="s">
        <v>563</v>
      </c>
      <c r="D28" s="57" t="s">
        <v>564</v>
      </c>
      <c r="E28" s="57" t="s">
        <v>565</v>
      </c>
      <c r="F28" s="57" t="s">
        <v>566</v>
      </c>
      <c r="G28" s="57" t="s">
        <v>21</v>
      </c>
      <c r="H28" s="1"/>
      <c r="I28" s="1"/>
      <c r="J28" s="1"/>
    </row>
    <row r="29" ht="67.5">
      <c r="A29" s="1"/>
      <c r="B29" s="57" t="s">
        <v>567</v>
      </c>
      <c r="C29" s="57" t="s">
        <v>435</v>
      </c>
      <c r="D29" s="57" t="s">
        <v>568</v>
      </c>
      <c r="E29" s="57" t="s">
        <v>569</v>
      </c>
      <c r="F29" s="57" t="s">
        <v>485</v>
      </c>
      <c r="G29" s="57" t="s">
        <v>570</v>
      </c>
      <c r="H29" s="1"/>
      <c r="I29" s="1"/>
      <c r="J29" s="1"/>
    </row>
    <row r="30">
      <c r="A30" s="1"/>
      <c r="B30" s="57" t="s">
        <v>571</v>
      </c>
      <c r="C30" s="57" t="s">
        <v>572</v>
      </c>
      <c r="D30" s="57" t="s">
        <v>540</v>
      </c>
      <c r="E30" s="57" t="s">
        <v>573</v>
      </c>
      <c r="F30" s="57" t="s">
        <v>574</v>
      </c>
      <c r="G30" s="57" t="s">
        <v>575</v>
      </c>
      <c r="H30" s="1"/>
      <c r="I30" s="1"/>
      <c r="J30" s="1"/>
    </row>
    <row r="31">
      <c r="A31" s="1"/>
      <c r="B31" s="57"/>
      <c r="C31" s="57"/>
      <c r="D31" s="57"/>
      <c r="E31" s="57"/>
      <c r="F31" s="57"/>
      <c r="G31" s="57"/>
      <c r="H31" s="1"/>
      <c r="I31" s="1"/>
      <c r="J31" s="1"/>
    </row>
    <row r="32">
      <c r="A32" s="1"/>
      <c r="B32" s="59" t="s">
        <v>576</v>
      </c>
      <c r="C32" s="57"/>
      <c r="D32" s="57"/>
      <c r="E32" s="57"/>
      <c r="F32" s="57"/>
      <c r="G32" s="57"/>
      <c r="H32" s="1"/>
      <c r="I32" s="1"/>
      <c r="J32" s="1"/>
    </row>
    <row r="33">
      <c r="A33" s="1"/>
      <c r="B33" s="59" t="s">
        <v>577</v>
      </c>
      <c r="C33" s="57"/>
      <c r="D33" s="57"/>
      <c r="E33" s="57"/>
      <c r="F33" s="57"/>
      <c r="G33" s="57"/>
      <c r="H33" s="1"/>
      <c r="I33" s="1"/>
      <c r="J33" s="1"/>
    </row>
    <row r="34">
      <c r="A34" s="1"/>
      <c r="B34" s="59" t="s">
        <v>578</v>
      </c>
      <c r="C34" s="57"/>
      <c r="D34" s="57"/>
      <c r="E34" s="57"/>
      <c r="F34" s="57"/>
      <c r="G34" s="57"/>
      <c r="H34" s="1"/>
      <c r="I34" s="1"/>
      <c r="J34" s="1"/>
    </row>
    <row r="35">
      <c r="A35" s="1"/>
      <c r="B35" s="59" t="s">
        <v>579</v>
      </c>
      <c r="C35" s="57"/>
      <c r="D35" s="57"/>
      <c r="E35" s="57"/>
      <c r="F35" s="57"/>
      <c r="G35" s="57"/>
      <c r="H35" s="1"/>
      <c r="I35" s="1"/>
      <c r="J35" s="1"/>
    </row>
    <row r="36">
      <c r="A36" s="1"/>
      <c r="B36" s="1"/>
      <c r="C36" s="1"/>
      <c r="D36" s="1"/>
      <c r="E36" s="1"/>
      <c r="F36" s="1"/>
      <c r="G36" s="1"/>
      <c r="H36" s="1"/>
      <c r="I36" s="1"/>
      <c r="J36" s="1"/>
    </row>
    <row r="37">
      <c r="A37" s="1"/>
      <c r="B37" s="1"/>
      <c r="C37" s="1"/>
      <c r="D37" s="1"/>
      <c r="E37" s="1"/>
      <c r="F37" s="1"/>
      <c r="G37" s="1"/>
      <c r="H37" s="1"/>
      <c r="I37" s="1"/>
      <c r="J37" s="1"/>
    </row>
  </sheetData>
  <legacyDrawing r:id="rId2"/>
</worksheet>
</file>

<file path=xl/worksheets/sheet12.xml><?xml version="1.0" encoding="utf-8"?>
<worksheet xmlns="http://schemas.openxmlformats.org/spreadsheetml/2006/main" xmlns:r="http://schemas.openxmlformats.org/officeDocument/2006/relationships">
  <dimension ref="A1:M127"/>
  <sheetViews>
    <sheetView showGridLines="0" workbookViewId="0"/>
  </sheetViews>
  <sheetFormatPr defaultColWidth="8.42578125" defaultRowHeight="15"/>
  <cols>
    <col min="1" max="1" width="2" customWidth="1"/>
    <col min="2" max="2" width="32" customWidth="1"/>
    <col min="3" max="12" width="12" customWidth="1"/>
  </cols>
  <sheetData>
    <row r="1">
      <c r="A1" s="1"/>
      <c r="B1" s="1"/>
      <c r="C1" s="1"/>
      <c r="D1" s="1"/>
      <c r="E1" s="1"/>
      <c r="F1" s="1"/>
      <c r="G1" s="1"/>
      <c r="H1" s="1"/>
      <c r="I1" s="1"/>
      <c r="J1" s="1"/>
      <c r="K1" s="1"/>
      <c r="L1" s="1"/>
      <c r="M1" s="1"/>
    </row>
    <row r="2">
      <c r="A2" s="1"/>
      <c r="B2" s="46" t="s">
        <v>1</v>
      </c>
      <c r="C2" s="1"/>
      <c r="D2" s="1"/>
      <c r="E2" s="1"/>
      <c r="F2" s="1"/>
      <c r="G2" s="1"/>
      <c r="H2" s="1"/>
      <c r="I2" s="1"/>
      <c r="J2" s="1"/>
      <c r="K2" s="1"/>
      <c r="L2" s="1"/>
      <c r="M2" s="1"/>
    </row>
    <row r="3">
      <c r="A3" s="1"/>
      <c r="B3" s="15" t="s">
        <v>580</v>
      </c>
      <c r="C3" s="1"/>
      <c r="D3" s="1"/>
      <c r="E3" s="1"/>
      <c r="F3" s="1"/>
      <c r="G3" s="1"/>
      <c r="H3" s="1"/>
      <c r="I3" s="1"/>
      <c r="J3" s="1"/>
      <c r="K3" s="1"/>
      <c r="L3" s="1"/>
      <c r="M3" s="1"/>
    </row>
    <row r="4">
      <c r="A4" s="1"/>
      <c r="B4" s="25" t="s">
        <v>2</v>
      </c>
      <c r="C4" s="1"/>
      <c r="D4" s="1"/>
      <c r="E4" s="1"/>
      <c r="F4" s="1"/>
      <c r="G4" s="1"/>
      <c r="H4" s="1"/>
      <c r="I4" s="1"/>
      <c r="J4" s="1"/>
      <c r="K4" s="1"/>
      <c r="L4" s="1"/>
      <c r="M4" s="1"/>
    </row>
    <row r="5">
      <c r="A5" s="1"/>
      <c r="B5" s="28" t="s">
        <v>3</v>
      </c>
      <c r="C5" s="2" t="s">
        <v>4</v>
      </c>
      <c r="D5" s="1"/>
      <c r="E5" s="1"/>
      <c r="F5" s="1"/>
      <c r="G5" s="1"/>
      <c r="H5" s="1"/>
      <c r="I5" s="1"/>
      <c r="J5" s="1"/>
      <c r="K5" s="1"/>
      <c r="L5" s="1"/>
      <c r="M5" s="1"/>
    </row>
    <row r="6">
      <c r="A6" s="1"/>
      <c r="B6" s="41" t="s">
        <v>5</v>
      </c>
      <c r="C6" s="17">
        <v>46265</v>
      </c>
      <c r="D6" s="1"/>
      <c r="E6" s="1"/>
      <c r="F6" s="1"/>
      <c r="G6" s="1"/>
      <c r="H6" s="1"/>
      <c r="I6" s="1"/>
      <c r="J6" s="1"/>
      <c r="K6" s="1"/>
      <c r="L6" s="1"/>
      <c r="M6" s="1"/>
    </row>
    <row r="7">
      <c r="A7" s="1"/>
      <c r="B7" s="14" t="s">
        <v>6</v>
      </c>
      <c r="C7" s="40">
        <v>92</v>
      </c>
      <c r="D7" s="1"/>
      <c r="E7" s="1"/>
      <c r="F7" s="1"/>
      <c r="G7" s="1"/>
      <c r="H7" s="1"/>
      <c r="I7" s="1"/>
      <c r="J7" s="1"/>
      <c r="K7" s="1"/>
      <c r="L7" s="1"/>
      <c r="M7" s="1"/>
    </row>
    <row r="8">
      <c r="A8" s="1"/>
      <c r="B8" s="1"/>
      <c r="C8" s="1"/>
      <c r="D8" s="1"/>
      <c r="E8" s="1"/>
      <c r="F8" s="1"/>
      <c r="G8" s="1"/>
      <c r="H8" s="1"/>
      <c r="I8" s="1"/>
      <c r="J8" s="1"/>
      <c r="K8" s="1"/>
      <c r="L8" s="1"/>
      <c r="M8" s="1"/>
    </row>
    <row r="9">
      <c r="A9" s="1"/>
      <c r="B9" s="16" t="s">
        <v>581</v>
      </c>
      <c r="C9" s="1"/>
      <c r="D9" s="1"/>
      <c r="E9" s="1"/>
      <c r="F9" s="1"/>
      <c r="G9" s="1"/>
      <c r="H9" s="1"/>
      <c r="I9" s="1"/>
      <c r="J9" s="1"/>
      <c r="K9" s="1"/>
      <c r="L9" s="1"/>
      <c r="M9" s="1"/>
    </row>
    <row r="10" ht="31.5">
      <c r="A10" s="1"/>
      <c r="B10" s="81" t="s">
        <v>582</v>
      </c>
      <c r="C10" s="81" t="s">
        <v>583</v>
      </c>
      <c r="D10" s="81" t="s">
        <v>584</v>
      </c>
      <c r="E10" s="81" t="s">
        <v>585</v>
      </c>
      <c r="F10" s="81" t="s">
        <v>586</v>
      </c>
      <c r="G10" s="81" t="s">
        <v>587</v>
      </c>
      <c r="H10" s="81" t="s">
        <v>588</v>
      </c>
      <c r="I10" s="81" t="s">
        <v>589</v>
      </c>
      <c r="J10" s="81" t="s">
        <v>590</v>
      </c>
      <c r="K10" s="81" t="s">
        <v>591</v>
      </c>
      <c r="L10" s="81" t="s">
        <v>592</v>
      </c>
      <c r="M10" s="1"/>
    </row>
    <row r="11">
      <c r="A11" s="1"/>
      <c r="B11" s="65" t="s">
        <v>593</v>
      </c>
      <c r="C11" s="65" t="s">
        <v>594</v>
      </c>
      <c r="D11" s="66">
        <v>0.12</v>
      </c>
      <c r="E11" s="66">
        <v>0.1</v>
      </c>
      <c r="F11" s="66">
        <v>-0.02</v>
      </c>
      <c r="G11" s="66">
        <v>-0.05</v>
      </c>
      <c r="H11" s="3">
        <v>224.23</v>
      </c>
      <c r="I11" s="3">
        <v>220.98</v>
      </c>
      <c r="J11" s="43" t="b">
        <f>E11&gt;D11</f>
        <v>0</v>
      </c>
      <c r="K11" s="11">
        <f>E11-D11</f>
        <v>-0.01999999999999999</v>
      </c>
      <c r="L11" s="43" t="s">
        <v>595</v>
      </c>
      <c r="M11" s="1"/>
    </row>
    <row r="12">
      <c r="A12" s="1"/>
      <c r="B12" s="65" t="s">
        <v>596</v>
      </c>
      <c r="C12" s="65" t="s">
        <v>597</v>
      </c>
      <c r="D12" s="66">
        <v>0.09</v>
      </c>
      <c r="E12" s="66">
        <v>0.05</v>
      </c>
      <c r="F12" s="66">
        <v>-0.05</v>
      </c>
      <c r="G12" s="66">
        <v>-2.82</v>
      </c>
      <c r="H12" s="3">
        <v>222.53</v>
      </c>
      <c r="I12" s="3">
        <v>225.46</v>
      </c>
      <c r="J12" s="43" t="b">
        <f>E12&gt;D12</f>
        <v>0</v>
      </c>
      <c r="K12" s="11">
        <f>E12-D12</f>
        <v>-0.039999999999999994</v>
      </c>
      <c r="L12" s="43" t="s">
        <v>598</v>
      </c>
      <c r="M12" s="1"/>
    </row>
    <row r="13">
      <c r="A13" s="1"/>
      <c r="B13" s="65" t="s">
        <v>599</v>
      </c>
      <c r="C13" s="65" t="s">
        <v>483</v>
      </c>
      <c r="D13" s="66">
        <v>0.04</v>
      </c>
      <c r="E13" s="66">
        <v>0.04</v>
      </c>
      <c r="F13" s="66">
        <v>-0.07</v>
      </c>
      <c r="G13" s="66">
        <v>0.17</v>
      </c>
      <c r="H13" s="3">
        <v>204.15</v>
      </c>
      <c r="I13" s="3">
        <v>209.19</v>
      </c>
      <c r="J13" s="43" t="b">
        <f>E13&gt;D13</f>
        <v>0</v>
      </c>
      <c r="K13" s="11">
        <f>E13-D13</f>
        <v>0</v>
      </c>
      <c r="L13" s="43" t="s">
        <v>51</v>
      </c>
      <c r="M13" s="1"/>
    </row>
    <row r="14">
      <c r="A14" s="1"/>
      <c r="B14" s="65" t="s">
        <v>600</v>
      </c>
      <c r="C14" s="65" t="s">
        <v>493</v>
      </c>
      <c r="D14" s="66">
        <v>0.07</v>
      </c>
      <c r="E14" s="66">
        <v>0.1</v>
      </c>
      <c r="F14" s="66">
        <v>-0.06</v>
      </c>
      <c r="G14" s="66">
        <v>-0.07</v>
      </c>
      <c r="H14" s="3">
        <v>208.38</v>
      </c>
      <c r="I14" s="3">
        <v>224.69</v>
      </c>
      <c r="J14" s="43" t="b">
        <f>E14&gt;D14</f>
        <v>1</v>
      </c>
      <c r="K14" s="11">
        <f>E14-D14</f>
        <v>0.03</v>
      </c>
      <c r="L14" s="43" t="s">
        <v>52</v>
      </c>
      <c r="M14" s="1"/>
    </row>
    <row r="15">
      <c r="A15" s="1"/>
      <c r="B15" s="65" t="s">
        <v>601</v>
      </c>
      <c r="C15" s="65" t="s">
        <v>500</v>
      </c>
      <c r="D15" s="66">
        <v>0.05</v>
      </c>
      <c r="E15" s="66">
        <v>0.09</v>
      </c>
      <c r="F15" s="66">
        <v>-0.08</v>
      </c>
      <c r="G15" s="66">
        <v>-0.08</v>
      </c>
      <c r="H15" s="3">
        <v>204.62</v>
      </c>
      <c r="I15" s="3">
        <v>211.2</v>
      </c>
      <c r="J15" s="43" t="b">
        <f>E15&gt;D15</f>
        <v>1</v>
      </c>
      <c r="K15" s="11">
        <f>E15-D15</f>
        <v>0.039999999999999994</v>
      </c>
      <c r="L15" s="43" t="s">
        <v>53</v>
      </c>
      <c r="M15" s="1"/>
    </row>
    <row r="16">
      <c r="A16" s="1"/>
      <c r="B16" s="65" t="s">
        <v>602</v>
      </c>
      <c r="C16" s="65" t="s">
        <v>507</v>
      </c>
      <c r="D16" s="66">
        <v>0.06</v>
      </c>
      <c r="E16" s="66">
        <v>0.09</v>
      </c>
      <c r="F16" s="66">
        <v>-0.07</v>
      </c>
      <c r="G16" s="66">
        <v>-0.05</v>
      </c>
      <c r="H16" s="3">
        <v>212.35</v>
      </c>
      <c r="I16" s="3">
        <v>225.3</v>
      </c>
      <c r="J16" s="43" t="b">
        <f>E16&gt;D16</f>
        <v>1</v>
      </c>
      <c r="K16" s="11">
        <f>E16-D16</f>
        <v>0.03</v>
      </c>
      <c r="L16" s="43" t="s">
        <v>54</v>
      </c>
      <c r="M16" s="1"/>
    </row>
    <row r="17">
      <c r="A17" s="1"/>
      <c r="B17" s="1"/>
      <c r="C17" s="1"/>
      <c r="D17" s="1"/>
      <c r="E17" s="1"/>
      <c r="F17" s="1"/>
      <c r="G17" s="1"/>
      <c r="H17" s="1"/>
      <c r="I17" s="1"/>
      <c r="J17" s="1"/>
      <c r="K17" s="1"/>
      <c r="L17" s="1"/>
      <c r="M17" s="1"/>
    </row>
    <row r="18">
      <c r="A18" s="1"/>
      <c r="B18" s="1" t="s">
        <v>603</v>
      </c>
      <c r="C18" s="1"/>
      <c r="D18" s="1"/>
      <c r="E18" s="1"/>
      <c r="F18" s="1"/>
      <c r="G18" s="1"/>
      <c r="H18" s="1"/>
      <c r="I18" s="1"/>
      <c r="J18" s="27" t="b">
        <f>AND(E16='Income Statement'!F165,E15='Income Statement'!E165,E14='Income Statement'!D165,E13='Income Statement'!C165)</f>
        <v>1</v>
      </c>
      <c r="K18" s="1"/>
      <c r="L18" s="1"/>
      <c r="M18" s="1"/>
    </row>
    <row r="19">
      <c r="A19" s="1"/>
      <c r="B19" s="1"/>
      <c r="C19" s="1"/>
      <c r="D19" s="1"/>
      <c r="E19" s="1"/>
      <c r="F19" s="1"/>
      <c r="G19" s="1"/>
      <c r="H19" s="1"/>
      <c r="I19" s="1"/>
      <c r="J19" s="1"/>
      <c r="K19" s="1"/>
      <c r="L19" s="1"/>
      <c r="M19" s="1"/>
    </row>
    <row r="20">
      <c r="A20" s="1"/>
      <c r="B20" s="16" t="s">
        <v>604</v>
      </c>
      <c r="C20" s="1"/>
      <c r="D20" s="1"/>
      <c r="E20" s="1"/>
      <c r="F20" s="1"/>
      <c r="G20" s="1"/>
      <c r="H20" s="1"/>
      <c r="I20" s="1"/>
      <c r="J20" s="1"/>
      <c r="K20" s="1"/>
      <c r="L20" s="1"/>
      <c r="M20" s="1"/>
    </row>
    <row r="21">
      <c r="A21" s="1"/>
      <c r="B21" s="1" t="s">
        <v>605</v>
      </c>
      <c r="C21" s="29" t="s">
        <v>606</v>
      </c>
      <c r="D21" s="1"/>
      <c r="E21" s="1"/>
      <c r="F21" s="1"/>
      <c r="G21" s="1"/>
      <c r="H21" s="1"/>
      <c r="I21" s="1"/>
      <c r="J21" s="1"/>
      <c r="K21" s="1"/>
      <c r="L21" s="1"/>
      <c r="M21" s="1"/>
    </row>
    <row r="22">
      <c r="A22" s="1"/>
      <c r="B22" s="1" t="s">
        <v>607</v>
      </c>
      <c r="C22" s="29" t="s">
        <v>10</v>
      </c>
      <c r="D22" s="1"/>
      <c r="E22" s="1"/>
      <c r="F22" s="1"/>
      <c r="G22" s="1"/>
      <c r="H22" s="1"/>
      <c r="I22" s="1"/>
      <c r="J22" s="1"/>
      <c r="K22" s="1"/>
      <c r="L22" s="1"/>
      <c r="M22" s="1"/>
    </row>
    <row r="23">
      <c r="A23" s="1"/>
      <c r="B23" s="1" t="s">
        <v>608</v>
      </c>
      <c r="C23" s="29" t="s">
        <v>8</v>
      </c>
      <c r="D23" s="1"/>
      <c r="E23" s="1"/>
      <c r="F23" s="1"/>
      <c r="G23" s="1"/>
      <c r="H23" s="1"/>
      <c r="I23" s="1"/>
      <c r="J23" s="1"/>
      <c r="K23" s="1"/>
      <c r="L23" s="1"/>
      <c r="M23" s="1"/>
    </row>
    <row r="24">
      <c r="A24" s="1"/>
      <c r="B24" s="1" t="s">
        <v>609</v>
      </c>
      <c r="C24" s="29" t="s">
        <v>610</v>
      </c>
      <c r="D24" s="1"/>
      <c r="E24" s="1"/>
      <c r="F24" s="1"/>
      <c r="G24" s="1"/>
      <c r="H24" s="1"/>
      <c r="I24" s="1"/>
      <c r="J24" s="1"/>
      <c r="K24" s="1"/>
      <c r="L24" s="1"/>
      <c r="M24" s="1"/>
    </row>
    <row r="25">
      <c r="A25" s="1"/>
      <c r="B25" s="1" t="s">
        <v>582</v>
      </c>
      <c r="C25" s="29" t="s">
        <v>546</v>
      </c>
      <c r="D25" s="1"/>
      <c r="E25" s="1"/>
      <c r="F25" s="1"/>
      <c r="G25" s="1"/>
      <c r="H25" s="1"/>
      <c r="I25" s="1"/>
      <c r="J25" s="1"/>
      <c r="K25" s="1"/>
      <c r="L25" s="1"/>
      <c r="M25" s="1"/>
    </row>
    <row r="26">
      <c r="A26" s="1"/>
      <c r="B26" s="1" t="s">
        <v>611</v>
      </c>
      <c r="C26" s="29" t="s">
        <v>474</v>
      </c>
      <c r="D26" s="1"/>
      <c r="E26" s="1"/>
      <c r="F26" s="1"/>
      <c r="G26" s="1"/>
      <c r="H26" s="1"/>
      <c r="I26" s="1"/>
      <c r="J26" s="1"/>
      <c r="K26" s="1"/>
      <c r="L26" s="1"/>
      <c r="M26" s="1"/>
    </row>
    <row r="27">
      <c r="A27" s="1"/>
      <c r="B27" s="1" t="s">
        <v>612</v>
      </c>
      <c r="C27" s="70">
        <v>3</v>
      </c>
      <c r="D27" s="1"/>
      <c r="E27" s="1"/>
      <c r="F27" s="1"/>
      <c r="G27" s="1"/>
      <c r="H27" s="1"/>
      <c r="I27" s="1"/>
      <c r="J27" s="1"/>
      <c r="K27" s="1"/>
      <c r="L27" s="1"/>
      <c r="M27" s="1"/>
    </row>
    <row r="28">
      <c r="A28" s="1"/>
      <c r="B28" s="1" t="s">
        <v>613</v>
      </c>
      <c r="C28" s="66">
        <v>0.05</v>
      </c>
      <c r="D28" s="1"/>
      <c r="E28" s="1"/>
      <c r="F28" s="1"/>
      <c r="G28" s="1"/>
      <c r="H28" s="1"/>
      <c r="I28" s="1"/>
      <c r="J28" s="1"/>
      <c r="K28" s="1"/>
      <c r="L28" s="1"/>
      <c r="M28" s="1"/>
    </row>
    <row r="29">
      <c r="A29" s="1"/>
      <c r="B29" s="1" t="s">
        <v>614</v>
      </c>
      <c r="C29" s="29" t="s">
        <v>615</v>
      </c>
      <c r="D29" s="1"/>
      <c r="E29" s="1"/>
      <c r="F29" s="1"/>
      <c r="G29" s="1"/>
      <c r="H29" s="1"/>
      <c r="I29" s="1"/>
      <c r="J29" s="1"/>
      <c r="K29" s="1"/>
      <c r="L29" s="1"/>
      <c r="M29" s="1"/>
    </row>
    <row r="30">
      <c r="A30" s="1"/>
      <c r="B30" s="1" t="s">
        <v>616</v>
      </c>
      <c r="C30" s="3">
        <v>208.18</v>
      </c>
      <c r="D30" s="1"/>
      <c r="E30" s="1"/>
      <c r="F30" s="1"/>
      <c r="G30" s="1"/>
      <c r="H30" s="1"/>
      <c r="I30" s="1"/>
      <c r="J30" s="1"/>
      <c r="K30" s="1"/>
      <c r="L30" s="1"/>
      <c r="M30" s="1"/>
    </row>
    <row r="31">
      <c r="A31" s="1"/>
      <c r="B31" s="1" t="s">
        <v>617</v>
      </c>
      <c r="C31" s="29" t="s">
        <v>16</v>
      </c>
      <c r="D31" s="1"/>
      <c r="E31" s="1"/>
      <c r="F31" s="1"/>
      <c r="G31" s="1"/>
      <c r="H31" s="1"/>
      <c r="I31" s="1"/>
      <c r="J31" s="1"/>
      <c r="K31" s="1"/>
      <c r="L31" s="1"/>
      <c r="M31" s="1"/>
    </row>
    <row r="32">
      <c r="A32" s="1"/>
      <c r="B32" s="1" t="s">
        <v>618</v>
      </c>
      <c r="C32" s="29" t="s">
        <v>619</v>
      </c>
      <c r="D32" s="1"/>
      <c r="E32" s="1"/>
      <c r="F32" s="1"/>
      <c r="G32" s="1"/>
      <c r="H32" s="1"/>
      <c r="I32" s="1"/>
      <c r="J32" s="1"/>
      <c r="K32" s="1"/>
      <c r="L32" s="1"/>
      <c r="M32" s="1"/>
    </row>
    <row r="33">
      <c r="A33" s="1"/>
      <c r="B33" s="1" t="s">
        <v>620</v>
      </c>
      <c r="C33" s="29" t="s">
        <v>621</v>
      </c>
      <c r="D33" s="1"/>
      <c r="E33" s="1"/>
      <c r="F33" s="1"/>
      <c r="G33" s="1"/>
      <c r="H33" s="1"/>
      <c r="I33" s="1"/>
      <c r="J33" s="1"/>
      <c r="K33" s="1"/>
      <c r="L33" s="1"/>
      <c r="M33" s="1"/>
    </row>
    <row r="34">
      <c r="A34" s="1"/>
      <c r="B34" s="1" t="s">
        <v>622</v>
      </c>
      <c r="C34" s="29" t="s">
        <v>623</v>
      </c>
      <c r="D34" s="1"/>
      <c r="E34" s="1"/>
      <c r="F34" s="1"/>
      <c r="G34" s="1"/>
      <c r="H34" s="1"/>
      <c r="I34" s="1"/>
      <c r="J34" s="1"/>
      <c r="K34" s="1"/>
      <c r="L34" s="1"/>
      <c r="M34" s="1"/>
    </row>
    <row r="35">
      <c r="A35" s="1"/>
      <c r="B35" s="1"/>
      <c r="C35" s="1"/>
      <c r="D35" s="1"/>
      <c r="E35" s="1"/>
      <c r="F35" s="1"/>
      <c r="G35" s="1"/>
      <c r="H35" s="1"/>
      <c r="I35" s="1"/>
      <c r="J35" s="1"/>
      <c r="K35" s="1"/>
      <c r="L35" s="1"/>
      <c r="M35" s="1"/>
    </row>
    <row r="36">
      <c r="A36" s="1"/>
      <c r="B36" s="16" t="s">
        <v>624</v>
      </c>
      <c r="C36" s="1"/>
      <c r="D36" s="1"/>
      <c r="E36" s="1"/>
      <c r="F36" s="1"/>
      <c r="G36" s="1"/>
      <c r="H36" s="1"/>
      <c r="I36" s="1"/>
      <c r="J36" s="1"/>
      <c r="K36" s="1"/>
      <c r="L36" s="1"/>
      <c r="M36" s="1"/>
    </row>
    <row r="37">
      <c r="A37" s="1"/>
      <c r="B37" s="58" t="s">
        <v>625</v>
      </c>
      <c r="C37" s="58" t="s">
        <v>626</v>
      </c>
      <c r="D37" s="1"/>
      <c r="E37" s="1"/>
      <c r="F37" s="1"/>
      <c r="G37" s="1"/>
      <c r="H37" s="1"/>
      <c r="I37" s="1"/>
      <c r="J37" s="1"/>
      <c r="K37" s="1"/>
      <c r="L37" s="1"/>
      <c r="M37" s="1"/>
    </row>
    <row r="38">
      <c r="A38" s="1"/>
      <c r="B38" s="1" t="s">
        <v>607</v>
      </c>
      <c r="C38" s="29" t="s">
        <v>10</v>
      </c>
      <c r="D38" s="1"/>
      <c r="E38" s="1"/>
      <c r="F38" s="1"/>
      <c r="G38" s="1"/>
      <c r="H38" s="1"/>
      <c r="I38" s="1"/>
      <c r="J38" s="1"/>
      <c r="K38" s="1"/>
      <c r="L38" s="1"/>
      <c r="M38" s="1"/>
    </row>
    <row r="39">
      <c r="A39" s="1"/>
      <c r="B39" s="1" t="s">
        <v>627</v>
      </c>
      <c r="C39" s="29" t="s">
        <v>8</v>
      </c>
      <c r="D39" s="1"/>
      <c r="E39" s="1"/>
      <c r="F39" s="1"/>
      <c r="G39" s="1"/>
      <c r="H39" s="1"/>
      <c r="I39" s="1"/>
      <c r="J39" s="1"/>
      <c r="K39" s="1"/>
      <c r="L39" s="1"/>
      <c r="M39" s="1"/>
    </row>
    <row r="40">
      <c r="A40" s="1"/>
      <c r="B40" s="1" t="s">
        <v>628</v>
      </c>
      <c r="C40" s="29" t="s">
        <v>629</v>
      </c>
      <c r="D40" s="1"/>
      <c r="E40" s="1"/>
      <c r="F40" s="1"/>
      <c r="G40" s="1"/>
      <c r="H40" s="1"/>
      <c r="I40" s="1"/>
      <c r="J40" s="1"/>
      <c r="K40" s="1"/>
      <c r="L40" s="1"/>
      <c r="M40" s="1"/>
    </row>
    <row r="41">
      <c r="A41" s="1"/>
      <c r="B41" s="1" t="s">
        <v>630</v>
      </c>
      <c r="C41" s="29" t="s">
        <v>631</v>
      </c>
      <c r="D41" s="1"/>
      <c r="E41" s="1"/>
      <c r="F41" s="1"/>
      <c r="G41" s="1"/>
      <c r="H41" s="1"/>
      <c r="I41" s="1"/>
      <c r="J41" s="1"/>
      <c r="K41" s="1"/>
      <c r="L41" s="1"/>
      <c r="M41" s="1"/>
    </row>
    <row r="42">
      <c r="A42" s="1"/>
      <c r="B42" s="1" t="s">
        <v>632</v>
      </c>
      <c r="C42" s="29" t="s">
        <v>633</v>
      </c>
      <c r="D42" s="1"/>
      <c r="E42" s="1"/>
      <c r="F42" s="1"/>
      <c r="G42" s="1"/>
      <c r="H42" s="1"/>
      <c r="I42" s="1"/>
      <c r="J42" s="1"/>
      <c r="K42" s="1"/>
      <c r="L42" s="1"/>
      <c r="M42" s="1"/>
    </row>
    <row r="43">
      <c r="A43" s="1"/>
      <c r="B43" s="1" t="s">
        <v>634</v>
      </c>
      <c r="C43" s="1"/>
      <c r="D43" s="1"/>
      <c r="E43" s="1"/>
      <c r="F43" s="1"/>
      <c r="G43" s="1"/>
      <c r="H43" s="1"/>
      <c r="I43" s="1"/>
      <c r="J43" s="1"/>
      <c r="K43" s="1"/>
      <c r="L43" s="1"/>
      <c r="M43" s="1"/>
    </row>
    <row r="44">
      <c r="A44" s="1"/>
      <c r="B44" s="1" t="s">
        <v>635</v>
      </c>
      <c r="C44" s="29" t="s">
        <v>636</v>
      </c>
      <c r="D44" s="1"/>
      <c r="E44" s="1"/>
      <c r="F44" s="1"/>
      <c r="G44" s="1"/>
      <c r="H44" s="1"/>
      <c r="I44" s="1"/>
      <c r="J44" s="1"/>
      <c r="K44" s="1"/>
      <c r="L44" s="1"/>
      <c r="M44" s="1"/>
    </row>
    <row r="45">
      <c r="A45" s="1"/>
      <c r="B45" s="1" t="s">
        <v>637</v>
      </c>
      <c r="C45" s="29" t="s">
        <v>546</v>
      </c>
      <c r="D45" s="1"/>
      <c r="E45" s="1"/>
      <c r="F45" s="1"/>
      <c r="G45" s="1"/>
      <c r="H45" s="1"/>
      <c r="I45" s="1"/>
      <c r="J45" s="1"/>
      <c r="K45" s="1"/>
      <c r="L45" s="1"/>
      <c r="M45" s="1"/>
    </row>
    <row r="46">
      <c r="A46" s="1"/>
      <c r="B46" s="1" t="s">
        <v>638</v>
      </c>
      <c r="C46" s="29" t="s">
        <v>639</v>
      </c>
      <c r="D46" s="1"/>
      <c r="E46" s="1"/>
      <c r="F46" s="1"/>
      <c r="G46" s="1"/>
      <c r="H46" s="1"/>
      <c r="I46" s="1"/>
      <c r="J46" s="1"/>
      <c r="K46" s="1"/>
      <c r="L46" s="1"/>
      <c r="M46" s="1"/>
    </row>
    <row r="47">
      <c r="A47" s="1"/>
      <c r="B47" s="1" t="s">
        <v>640</v>
      </c>
      <c r="C47" s="29" t="s">
        <v>641</v>
      </c>
      <c r="D47" s="1"/>
      <c r="E47" s="1"/>
      <c r="F47" s="1"/>
      <c r="G47" s="1"/>
      <c r="H47" s="1"/>
      <c r="I47" s="1"/>
      <c r="J47" s="1"/>
      <c r="K47" s="1"/>
      <c r="L47" s="1"/>
      <c r="M47" s="1"/>
    </row>
    <row r="48">
      <c r="A48" s="1"/>
      <c r="B48" s="1" t="s">
        <v>642</v>
      </c>
      <c r="C48" s="70">
        <v>4</v>
      </c>
      <c r="D48" s="1"/>
      <c r="E48" s="1"/>
      <c r="F48" s="1"/>
      <c r="G48" s="1"/>
      <c r="H48" s="1"/>
      <c r="I48" s="1"/>
      <c r="J48" s="1"/>
      <c r="K48" s="1"/>
      <c r="L48" s="1"/>
      <c r="M48" s="1"/>
    </row>
    <row r="49">
      <c r="A49" s="1"/>
      <c r="B49" s="1" t="s">
        <v>643</v>
      </c>
      <c r="C49" s="66">
        <v>0.05</v>
      </c>
      <c r="D49" s="1"/>
      <c r="E49" s="1"/>
      <c r="F49" s="1"/>
      <c r="G49" s="1"/>
      <c r="H49" s="1"/>
      <c r="I49" s="1"/>
      <c r="J49" s="1"/>
      <c r="K49" s="1"/>
      <c r="L49" s="1"/>
      <c r="M49" s="1"/>
    </row>
    <row r="50">
      <c r="A50" s="1"/>
      <c r="B50" s="1" t="s">
        <v>644</v>
      </c>
      <c r="C50" s="66">
        <v>0.05</v>
      </c>
      <c r="D50" s="1"/>
      <c r="E50" s="1"/>
      <c r="F50" s="1"/>
      <c r="G50" s="1"/>
      <c r="H50" s="1"/>
      <c r="I50" s="1"/>
      <c r="J50" s="1"/>
      <c r="K50" s="1"/>
      <c r="L50" s="1"/>
      <c r="M50" s="1"/>
    </row>
    <row r="51">
      <c r="A51" s="1"/>
      <c r="B51" s="1" t="s">
        <v>645</v>
      </c>
      <c r="C51" s="66">
        <v>0.06</v>
      </c>
      <c r="D51" s="1"/>
      <c r="E51" s="1"/>
      <c r="F51" s="1"/>
      <c r="G51" s="1"/>
      <c r="H51" s="1"/>
      <c r="I51" s="1"/>
      <c r="J51" s="1"/>
      <c r="K51" s="1"/>
      <c r="L51" s="1"/>
      <c r="M51" s="1"/>
    </row>
    <row r="52">
      <c r="A52" s="1"/>
      <c r="B52" s="1" t="s">
        <v>646</v>
      </c>
      <c r="C52" s="66">
        <v>0.05</v>
      </c>
      <c r="D52" s="1"/>
      <c r="E52" s="1"/>
      <c r="F52" s="1"/>
      <c r="G52" s="1"/>
      <c r="H52" s="1"/>
      <c r="I52" s="1"/>
      <c r="J52" s="1"/>
      <c r="K52" s="1"/>
      <c r="L52" s="1"/>
      <c r="M52" s="1"/>
    </row>
    <row r="53">
      <c r="A53" s="1"/>
      <c r="B53" s="1" t="s">
        <v>647</v>
      </c>
      <c r="C53" s="66">
        <v>0</v>
      </c>
      <c r="D53" s="1"/>
      <c r="E53" s="1"/>
      <c r="F53" s="1"/>
      <c r="G53" s="1"/>
      <c r="H53" s="1"/>
      <c r="I53" s="1"/>
      <c r="J53" s="1"/>
      <c r="K53" s="1"/>
      <c r="L53" s="1"/>
      <c r="M53" s="1"/>
    </row>
    <row r="54">
      <c r="A54" s="1"/>
      <c r="B54" s="1" t="s">
        <v>648</v>
      </c>
      <c r="C54" s="70">
        <v>3</v>
      </c>
      <c r="D54" s="1"/>
      <c r="E54" s="1"/>
      <c r="F54" s="1"/>
      <c r="G54" s="1"/>
      <c r="H54" s="1"/>
      <c r="I54" s="1"/>
      <c r="J54" s="1"/>
      <c r="K54" s="1"/>
      <c r="L54" s="1"/>
      <c r="M54" s="1"/>
    </row>
    <row r="55">
      <c r="A55" s="1"/>
      <c r="B55" s="1" t="s">
        <v>649</v>
      </c>
      <c r="C55" s="1"/>
      <c r="D55" s="1"/>
      <c r="E55" s="1"/>
      <c r="F55" s="1"/>
      <c r="G55" s="1"/>
      <c r="H55" s="1"/>
      <c r="I55" s="1"/>
      <c r="J55" s="1"/>
      <c r="K55" s="1"/>
      <c r="L55" s="1"/>
      <c r="M55" s="1"/>
    </row>
    <row r="56">
      <c r="A56" s="1"/>
      <c r="B56" s="1" t="s">
        <v>650</v>
      </c>
      <c r="C56" s="1"/>
      <c r="D56" s="1"/>
      <c r="E56" s="1"/>
      <c r="F56" s="1"/>
      <c r="G56" s="1"/>
      <c r="H56" s="1"/>
      <c r="I56" s="1"/>
      <c r="J56" s="1"/>
      <c r="K56" s="1"/>
      <c r="L56" s="1"/>
      <c r="M56" s="1"/>
    </row>
    <row r="57">
      <c r="A57" s="1"/>
      <c r="B57" s="1" t="s">
        <v>651</v>
      </c>
      <c r="C57" s="1"/>
      <c r="D57" s="1"/>
      <c r="E57" s="1"/>
      <c r="F57" s="1"/>
      <c r="G57" s="1"/>
      <c r="H57" s="1"/>
      <c r="I57" s="1"/>
      <c r="J57" s="1"/>
      <c r="K57" s="1"/>
      <c r="L57" s="1"/>
      <c r="M57" s="1"/>
    </row>
    <row r="58">
      <c r="A58" s="1"/>
      <c r="B58" s="1" t="s">
        <v>652</v>
      </c>
      <c r="C58" s="66">
        <v>-0.07</v>
      </c>
      <c r="D58" s="1"/>
      <c r="E58" s="1"/>
      <c r="F58" s="1"/>
      <c r="G58" s="1"/>
      <c r="H58" s="1"/>
      <c r="I58" s="1"/>
      <c r="J58" s="1"/>
      <c r="K58" s="1"/>
      <c r="L58" s="1"/>
      <c r="M58" s="1"/>
    </row>
    <row r="59">
      <c r="A59" s="1"/>
      <c r="B59" s="1" t="s">
        <v>653</v>
      </c>
      <c r="C59" s="66">
        <v>-0.07</v>
      </c>
      <c r="D59" s="1"/>
      <c r="E59" s="1"/>
      <c r="F59" s="1"/>
      <c r="G59" s="1"/>
      <c r="H59" s="1"/>
      <c r="I59" s="1"/>
      <c r="J59" s="1"/>
      <c r="K59" s="1"/>
      <c r="L59" s="1"/>
      <c r="M59" s="1"/>
    </row>
    <row r="60">
      <c r="A60" s="1"/>
      <c r="B60" s="1" t="s">
        <v>654</v>
      </c>
      <c r="C60" s="66">
        <v>-0.04</v>
      </c>
      <c r="D60" s="1"/>
      <c r="E60" s="1"/>
      <c r="F60" s="1"/>
      <c r="G60" s="1"/>
      <c r="H60" s="1"/>
      <c r="I60" s="1"/>
      <c r="J60" s="1"/>
      <c r="K60" s="1"/>
      <c r="L60" s="1"/>
      <c r="M60" s="1"/>
    </row>
    <row r="61">
      <c r="A61" s="1"/>
      <c r="B61" s="1" t="s">
        <v>655</v>
      </c>
      <c r="C61" s="66">
        <v>-0.1</v>
      </c>
      <c r="D61" s="1"/>
      <c r="E61" s="1"/>
      <c r="F61" s="1"/>
      <c r="G61" s="1"/>
      <c r="H61" s="1"/>
      <c r="I61" s="1"/>
      <c r="J61" s="1"/>
      <c r="K61" s="1"/>
      <c r="L61" s="1"/>
      <c r="M61" s="1"/>
    </row>
    <row r="62">
      <c r="A62" s="1"/>
      <c r="B62" s="1" t="s">
        <v>656</v>
      </c>
      <c r="C62" s="66">
        <v>0.02</v>
      </c>
      <c r="D62" s="1"/>
      <c r="E62" s="1"/>
      <c r="F62" s="1"/>
      <c r="G62" s="1"/>
      <c r="H62" s="1"/>
      <c r="I62" s="1"/>
      <c r="J62" s="1"/>
      <c r="K62" s="1"/>
      <c r="L62" s="1"/>
      <c r="M62" s="1"/>
    </row>
    <row r="63">
      <c r="A63" s="1"/>
      <c r="B63" s="1" t="s">
        <v>657</v>
      </c>
      <c r="C63" s="70">
        <v>3</v>
      </c>
      <c r="D63" s="1"/>
      <c r="E63" s="1"/>
      <c r="F63" s="1"/>
      <c r="G63" s="1"/>
      <c r="H63" s="1"/>
      <c r="I63" s="1"/>
      <c r="J63" s="1"/>
      <c r="K63" s="1"/>
      <c r="L63" s="1"/>
      <c r="M63" s="1"/>
    </row>
    <row r="64">
      <c r="A64" s="1"/>
      <c r="B64" s="1" t="s">
        <v>658</v>
      </c>
      <c r="C64" s="1"/>
      <c r="D64" s="1"/>
      <c r="E64" s="1"/>
      <c r="F64" s="1"/>
      <c r="G64" s="1"/>
      <c r="H64" s="1"/>
      <c r="I64" s="1"/>
      <c r="J64" s="1"/>
      <c r="K64" s="1"/>
      <c r="L64" s="1"/>
      <c r="M64" s="1"/>
    </row>
    <row r="65">
      <c r="A65" s="1"/>
      <c r="B65" s="1" t="s">
        <v>659</v>
      </c>
      <c r="C65" s="3">
        <v>208.18</v>
      </c>
      <c r="D65" s="1"/>
      <c r="E65" s="1"/>
      <c r="F65" s="1"/>
      <c r="G65" s="1"/>
      <c r="H65" s="1"/>
      <c r="I65" s="1"/>
      <c r="J65" s="1"/>
      <c r="K65" s="1"/>
      <c r="L65" s="1"/>
      <c r="M65" s="1"/>
    </row>
    <row r="66">
      <c r="A66" s="1"/>
      <c r="B66" s="1" t="s">
        <v>660</v>
      </c>
      <c r="C66" s="3">
        <v>208.1</v>
      </c>
      <c r="D66" s="1"/>
      <c r="E66" s="1"/>
      <c r="F66" s="1"/>
      <c r="G66" s="1"/>
      <c r="H66" s="1"/>
      <c r="I66" s="1"/>
      <c r="J66" s="1"/>
      <c r="K66" s="1"/>
      <c r="L66" s="1"/>
      <c r="M66" s="1"/>
    </row>
    <row r="67">
      <c r="A67" s="1"/>
      <c r="B67" s="1" t="s">
        <v>661</v>
      </c>
      <c r="C67" s="3">
        <v>208.7</v>
      </c>
      <c r="D67" s="1"/>
      <c r="E67" s="1"/>
      <c r="F67" s="1"/>
      <c r="G67" s="1"/>
      <c r="H67" s="1"/>
      <c r="I67" s="1"/>
      <c r="J67" s="1"/>
      <c r="K67" s="1"/>
      <c r="L67" s="1"/>
      <c r="M67" s="1"/>
    </row>
    <row r="68">
      <c r="A68" s="1"/>
      <c r="B68" s="1" t="s">
        <v>662</v>
      </c>
      <c r="C68" s="3">
        <v>207.8</v>
      </c>
      <c r="D68" s="1"/>
      <c r="E68" s="1"/>
      <c r="F68" s="1"/>
      <c r="G68" s="1"/>
      <c r="H68" s="1"/>
      <c r="I68" s="1"/>
      <c r="J68" s="1"/>
      <c r="K68" s="1"/>
      <c r="L68" s="1"/>
      <c r="M68" s="1"/>
    </row>
    <row r="69">
      <c r="A69" s="1"/>
      <c r="B69" s="1" t="s">
        <v>663</v>
      </c>
      <c r="C69" s="3">
        <v>0.39</v>
      </c>
      <c r="D69" s="1"/>
      <c r="E69" s="1"/>
      <c r="F69" s="1"/>
      <c r="G69" s="1"/>
      <c r="H69" s="1"/>
      <c r="I69" s="1"/>
      <c r="J69" s="1"/>
      <c r="K69" s="1"/>
      <c r="L69" s="1"/>
      <c r="M69" s="1"/>
    </row>
    <row r="70">
      <c r="A70" s="1"/>
      <c r="B70" s="1" t="s">
        <v>664</v>
      </c>
      <c r="C70" s="70">
        <v>4</v>
      </c>
      <c r="D70" s="1"/>
      <c r="E70" s="1"/>
      <c r="F70" s="1"/>
      <c r="G70" s="1"/>
      <c r="H70" s="1"/>
      <c r="I70" s="1"/>
      <c r="J70" s="1"/>
      <c r="K70" s="1"/>
      <c r="L70" s="1"/>
      <c r="M70" s="1"/>
    </row>
    <row r="71">
      <c r="A71" s="1"/>
      <c r="B71" s="1" t="s">
        <v>665</v>
      </c>
      <c r="C71" s="1"/>
      <c r="D71" s="1"/>
      <c r="E71" s="1"/>
      <c r="F71" s="1"/>
      <c r="G71" s="1"/>
      <c r="H71" s="1"/>
      <c r="I71" s="1"/>
      <c r="J71" s="1"/>
      <c r="K71" s="1"/>
      <c r="L71" s="1"/>
      <c r="M71" s="1"/>
    </row>
    <row r="72">
      <c r="A72" s="1"/>
      <c r="B72" s="1" t="s">
        <v>666</v>
      </c>
      <c r="C72" s="3">
        <v>207</v>
      </c>
      <c r="D72" s="1"/>
      <c r="E72" s="1"/>
      <c r="F72" s="1"/>
      <c r="G72" s="1"/>
      <c r="H72" s="1"/>
      <c r="I72" s="1"/>
      <c r="J72" s="1"/>
      <c r="K72" s="1"/>
      <c r="L72" s="1"/>
      <c r="M72" s="1"/>
    </row>
    <row r="73">
      <c r="A73" s="1"/>
      <c r="B73" s="1" t="s">
        <v>667</v>
      </c>
      <c r="C73" s="3">
        <v>209</v>
      </c>
      <c r="D73" s="1"/>
      <c r="E73" s="1"/>
      <c r="F73" s="1"/>
      <c r="G73" s="1"/>
      <c r="H73" s="1"/>
      <c r="I73" s="1"/>
      <c r="J73" s="1"/>
      <c r="K73" s="1"/>
      <c r="L73" s="1"/>
      <c r="M73" s="1"/>
    </row>
    <row r="74">
      <c r="A74" s="1"/>
      <c r="B74" s="1" t="s">
        <v>668</v>
      </c>
      <c r="C74" s="3">
        <v>36.67</v>
      </c>
      <c r="D74" s="1"/>
      <c r="E74" s="1"/>
      <c r="F74" s="1"/>
      <c r="G74" s="1"/>
      <c r="H74" s="1"/>
      <c r="I74" s="1"/>
      <c r="J74" s="1"/>
      <c r="K74" s="1"/>
      <c r="L74" s="1"/>
      <c r="M74" s="1"/>
    </row>
    <row r="75">
      <c r="A75" s="1"/>
      <c r="B75" s="1" t="s">
        <v>669</v>
      </c>
      <c r="C75" s="3">
        <v>-4.93</v>
      </c>
      <c r="D75" s="1"/>
      <c r="E75" s="1"/>
      <c r="F75" s="1"/>
      <c r="G75" s="1"/>
      <c r="H75" s="1"/>
      <c r="I75" s="1"/>
      <c r="J75" s="1"/>
      <c r="K75" s="1"/>
      <c r="L75" s="1"/>
      <c r="M75" s="1"/>
    </row>
    <row r="76">
      <c r="A76" s="1"/>
      <c r="B76" s="1" t="s">
        <v>670</v>
      </c>
      <c r="C76" s="1"/>
      <c r="D76" s="1"/>
      <c r="E76" s="1"/>
      <c r="F76" s="1"/>
      <c r="G76" s="1"/>
      <c r="H76" s="1"/>
      <c r="I76" s="1"/>
      <c r="J76" s="1"/>
      <c r="K76" s="1"/>
      <c r="L76" s="1"/>
      <c r="M76" s="1"/>
    </row>
    <row r="77">
      <c r="A77" s="1"/>
      <c r="B77" s="1" t="s">
        <v>671</v>
      </c>
      <c r="C77" s="1"/>
      <c r="D77" s="1"/>
      <c r="E77" s="1"/>
      <c r="F77" s="1"/>
      <c r="G77" s="1"/>
      <c r="H77" s="1"/>
      <c r="I77" s="1"/>
      <c r="J77" s="1"/>
      <c r="K77" s="1"/>
      <c r="L77" s="1"/>
      <c r="M77" s="1"/>
    </row>
    <row r="78">
      <c r="A78" s="1"/>
      <c r="B78" s="1" t="s">
        <v>672</v>
      </c>
      <c r="C78" s="3">
        <v>10.1</v>
      </c>
      <c r="D78" s="1"/>
      <c r="E78" s="1"/>
      <c r="F78" s="1"/>
      <c r="G78" s="1"/>
      <c r="H78" s="1"/>
      <c r="I78" s="1"/>
      <c r="J78" s="1"/>
      <c r="K78" s="1"/>
      <c r="L78" s="1"/>
      <c r="M78" s="1"/>
    </row>
    <row r="79">
      <c r="A79" s="1"/>
      <c r="B79" s="1" t="s">
        <v>673</v>
      </c>
      <c r="C79" s="3">
        <v>-15.37</v>
      </c>
      <c r="D79" s="1"/>
      <c r="E79" s="1"/>
      <c r="F79" s="1"/>
      <c r="G79" s="1"/>
      <c r="H79" s="1"/>
      <c r="I79" s="1"/>
      <c r="J79" s="1"/>
      <c r="K79" s="1"/>
      <c r="L79" s="1"/>
      <c r="M79" s="1"/>
    </row>
    <row r="80">
      <c r="A80" s="1"/>
      <c r="B80" s="1" t="s">
        <v>674</v>
      </c>
      <c r="C80" s="3">
        <v>47.5</v>
      </c>
      <c r="D80" s="1"/>
      <c r="E80" s="1"/>
      <c r="F80" s="1"/>
      <c r="G80" s="1"/>
      <c r="H80" s="1"/>
      <c r="I80" s="1"/>
      <c r="J80" s="1"/>
      <c r="K80" s="1"/>
      <c r="L80" s="1"/>
      <c r="M80" s="1"/>
    </row>
    <row r="81">
      <c r="A81" s="1"/>
      <c r="B81" s="1" t="s">
        <v>675</v>
      </c>
      <c r="C81" s="1"/>
      <c r="D81" s="1"/>
      <c r="E81" s="1"/>
      <c r="F81" s="1"/>
      <c r="G81" s="1"/>
      <c r="H81" s="1"/>
      <c r="I81" s="1"/>
      <c r="J81" s="1"/>
      <c r="K81" s="1"/>
      <c r="L81" s="1"/>
      <c r="M81" s="1"/>
    </row>
    <row r="82">
      <c r="A82" s="1"/>
      <c r="B82" s="1" t="s">
        <v>676</v>
      </c>
      <c r="C82" s="3">
        <v>28.83</v>
      </c>
      <c r="D82" s="1"/>
      <c r="E82" s="1"/>
      <c r="F82" s="1"/>
      <c r="G82" s="1"/>
      <c r="H82" s="1"/>
      <c r="I82" s="1"/>
      <c r="J82" s="1"/>
      <c r="K82" s="1"/>
      <c r="L82" s="1"/>
      <c r="M82" s="1"/>
    </row>
    <row r="83">
      <c r="A83" s="1"/>
      <c r="B83" s="1" t="s">
        <v>677</v>
      </c>
      <c r="C83" s="1"/>
      <c r="D83" s="1"/>
      <c r="E83" s="1"/>
      <c r="F83" s="1"/>
      <c r="G83" s="1"/>
      <c r="H83" s="1"/>
      <c r="I83" s="1"/>
      <c r="J83" s="1"/>
      <c r="K83" s="1"/>
      <c r="L83" s="1"/>
      <c r="M83" s="1"/>
    </row>
    <row r="84">
      <c r="A84" s="1"/>
      <c r="B84" s="1" t="s">
        <v>678</v>
      </c>
      <c r="C84" s="1"/>
      <c r="D84" s="1"/>
      <c r="E84" s="1"/>
      <c r="F84" s="1"/>
      <c r="G84" s="1"/>
      <c r="H84" s="1"/>
      <c r="I84" s="1"/>
      <c r="J84" s="1"/>
      <c r="K84" s="1"/>
      <c r="L84" s="1"/>
      <c r="M84" s="1"/>
    </row>
    <row r="85">
      <c r="A85" s="1"/>
      <c r="B85" s="1" t="s">
        <v>679</v>
      </c>
      <c r="C85" s="1"/>
      <c r="D85" s="1"/>
      <c r="E85" s="1"/>
      <c r="F85" s="1"/>
      <c r="G85" s="1"/>
      <c r="H85" s="1"/>
      <c r="I85" s="1"/>
      <c r="J85" s="1"/>
      <c r="K85" s="1"/>
      <c r="L85" s="1"/>
      <c r="M85" s="1"/>
    </row>
    <row r="86">
      <c r="A86" s="1"/>
      <c r="B86" s="1" t="s">
        <v>680</v>
      </c>
      <c r="C86" s="1"/>
      <c r="D86" s="1"/>
      <c r="E86" s="1"/>
      <c r="F86" s="1"/>
      <c r="G86" s="1"/>
      <c r="H86" s="1"/>
      <c r="I86" s="1"/>
      <c r="J86" s="1"/>
      <c r="K86" s="1"/>
      <c r="L86" s="1"/>
      <c r="M86" s="1"/>
    </row>
    <row r="87">
      <c r="A87" s="1"/>
      <c r="B87" s="1" t="s">
        <v>681</v>
      </c>
      <c r="C87" s="1"/>
      <c r="D87" s="1"/>
      <c r="E87" s="1"/>
      <c r="F87" s="1"/>
      <c r="G87" s="1"/>
      <c r="H87" s="1"/>
      <c r="I87" s="1"/>
      <c r="J87" s="1"/>
      <c r="K87" s="1"/>
      <c r="L87" s="1"/>
      <c r="M87" s="1"/>
    </row>
    <row r="88">
      <c r="A88" s="1"/>
      <c r="B88" s="1" t="s">
        <v>682</v>
      </c>
      <c r="C88" s="1"/>
      <c r="D88" s="1"/>
      <c r="E88" s="1"/>
      <c r="F88" s="1"/>
      <c r="G88" s="1"/>
      <c r="H88" s="1"/>
      <c r="I88" s="1"/>
      <c r="J88" s="1"/>
      <c r="K88" s="1"/>
      <c r="L88" s="1"/>
      <c r="M88" s="1"/>
    </row>
    <row r="89">
      <c r="A89" s="1"/>
      <c r="B89" s="1" t="s">
        <v>683</v>
      </c>
      <c r="C89" s="1"/>
      <c r="D89" s="1"/>
      <c r="E89" s="1"/>
      <c r="F89" s="1"/>
      <c r="G89" s="1"/>
      <c r="H89" s="1"/>
      <c r="I89" s="1"/>
      <c r="J89" s="1"/>
      <c r="K89" s="1"/>
      <c r="L89" s="1"/>
      <c r="M89" s="1"/>
    </row>
    <row r="90">
      <c r="A90" s="1"/>
      <c r="B90" s="1" t="s">
        <v>684</v>
      </c>
      <c r="C90" s="1"/>
      <c r="D90" s="1"/>
      <c r="E90" s="1"/>
      <c r="F90" s="1"/>
      <c r="G90" s="1"/>
      <c r="H90" s="1"/>
      <c r="I90" s="1"/>
      <c r="J90" s="1"/>
      <c r="K90" s="1"/>
      <c r="L90" s="1"/>
      <c r="M90" s="1"/>
    </row>
    <row r="91">
      <c r="A91" s="1"/>
      <c r="B91" s="1" t="s">
        <v>685</v>
      </c>
      <c r="C91" s="1"/>
      <c r="D91" s="1"/>
      <c r="E91" s="1"/>
      <c r="F91" s="1"/>
      <c r="G91" s="1"/>
      <c r="H91" s="1"/>
      <c r="I91" s="1"/>
      <c r="J91" s="1"/>
      <c r="K91" s="1"/>
      <c r="L91" s="1"/>
      <c r="M91" s="1"/>
    </row>
    <row r="92">
      <c r="A92" s="1"/>
      <c r="B92" s="1" t="s">
        <v>686</v>
      </c>
      <c r="C92" s="1"/>
      <c r="D92" s="1"/>
      <c r="E92" s="1"/>
      <c r="F92" s="1"/>
      <c r="G92" s="1"/>
      <c r="H92" s="1"/>
      <c r="I92" s="1"/>
      <c r="J92" s="1"/>
      <c r="K92" s="1"/>
      <c r="L92" s="1"/>
      <c r="M92" s="1"/>
    </row>
    <row r="93">
      <c r="A93" s="1"/>
      <c r="B93" s="1" t="s">
        <v>687</v>
      </c>
      <c r="C93" s="1"/>
      <c r="D93" s="1"/>
      <c r="E93" s="1"/>
      <c r="F93" s="1"/>
      <c r="G93" s="1"/>
      <c r="H93" s="1"/>
      <c r="I93" s="1"/>
      <c r="J93" s="1"/>
      <c r="K93" s="1"/>
      <c r="L93" s="1"/>
      <c r="M93" s="1"/>
    </row>
    <row r="94">
      <c r="A94" s="1"/>
      <c r="B94" s="1" t="s">
        <v>688</v>
      </c>
      <c r="C94" s="1"/>
      <c r="D94" s="1"/>
      <c r="E94" s="1"/>
      <c r="F94" s="1"/>
      <c r="G94" s="1"/>
      <c r="H94" s="1"/>
      <c r="I94" s="1"/>
      <c r="J94" s="1"/>
      <c r="K94" s="1"/>
      <c r="L94" s="1"/>
      <c r="M94" s="1"/>
    </row>
    <row r="95">
      <c r="A95" s="1"/>
      <c r="B95" s="1" t="s">
        <v>689</v>
      </c>
      <c r="C95" s="66">
        <v>14</v>
      </c>
      <c r="D95" s="1"/>
      <c r="E95" s="1"/>
      <c r="F95" s="1"/>
      <c r="G95" s="1"/>
      <c r="H95" s="1"/>
      <c r="I95" s="1"/>
      <c r="J95" s="1"/>
      <c r="K95" s="1"/>
      <c r="L95" s="1"/>
      <c r="M95" s="1"/>
    </row>
    <row r="96">
      <c r="A96" s="1"/>
      <c r="B96" s="1" t="s">
        <v>690</v>
      </c>
      <c r="C96" s="66">
        <v>14</v>
      </c>
      <c r="D96" s="1"/>
      <c r="E96" s="1"/>
      <c r="F96" s="1"/>
      <c r="G96" s="1"/>
      <c r="H96" s="1"/>
      <c r="I96" s="1"/>
      <c r="J96" s="1"/>
      <c r="K96" s="1"/>
      <c r="L96" s="1"/>
      <c r="M96" s="1"/>
    </row>
    <row r="97">
      <c r="A97" s="1"/>
      <c r="B97" s="1" t="s">
        <v>691</v>
      </c>
      <c r="C97" s="66">
        <v>14</v>
      </c>
      <c r="D97" s="1"/>
      <c r="E97" s="1"/>
      <c r="F97" s="1"/>
      <c r="G97" s="1"/>
      <c r="H97" s="1"/>
      <c r="I97" s="1"/>
      <c r="J97" s="1"/>
      <c r="K97" s="1"/>
      <c r="L97" s="1"/>
      <c r="M97" s="1"/>
    </row>
    <row r="98">
      <c r="A98" s="1"/>
      <c r="B98" s="1" t="s">
        <v>692</v>
      </c>
      <c r="C98" s="66">
        <v>14</v>
      </c>
      <c r="D98" s="1"/>
      <c r="E98" s="1"/>
      <c r="F98" s="1"/>
      <c r="G98" s="1"/>
      <c r="H98" s="1"/>
      <c r="I98" s="1"/>
      <c r="J98" s="1"/>
      <c r="K98" s="1"/>
      <c r="L98" s="1"/>
      <c r="M98" s="1"/>
    </row>
    <row r="99">
      <c r="A99" s="1"/>
      <c r="B99" s="1" t="s">
        <v>693</v>
      </c>
      <c r="C99" s="66">
        <v>0</v>
      </c>
      <c r="D99" s="1"/>
      <c r="E99" s="1"/>
      <c r="F99" s="1"/>
      <c r="G99" s="1"/>
      <c r="H99" s="1"/>
      <c r="I99" s="1"/>
      <c r="J99" s="1"/>
      <c r="K99" s="1"/>
      <c r="L99" s="1"/>
      <c r="M99" s="1"/>
    </row>
    <row r="100">
      <c r="A100" s="1"/>
      <c r="B100" s="1" t="s">
        <v>694</v>
      </c>
      <c r="C100" s="70">
        <v>3</v>
      </c>
      <c r="D100" s="1"/>
      <c r="E100" s="1"/>
      <c r="F100" s="1"/>
      <c r="G100" s="1"/>
      <c r="H100" s="1"/>
      <c r="I100" s="1"/>
      <c r="J100" s="1"/>
      <c r="K100" s="1"/>
      <c r="L100" s="1"/>
      <c r="M100" s="1"/>
    </row>
    <row r="101">
      <c r="A101" s="1"/>
      <c r="B101" s="1" t="s">
        <v>695</v>
      </c>
      <c r="C101" s="29" t="s">
        <v>696</v>
      </c>
      <c r="D101" s="1"/>
      <c r="E101" s="1"/>
      <c r="F101" s="1"/>
      <c r="G101" s="1"/>
      <c r="H101" s="1"/>
      <c r="I101" s="1"/>
      <c r="J101" s="1"/>
      <c r="K101" s="1"/>
      <c r="L101" s="1"/>
      <c r="M101" s="1"/>
    </row>
    <row r="102">
      <c r="A102" s="1"/>
      <c r="B102" s="1" t="s">
        <v>697</v>
      </c>
      <c r="C102" s="3">
        <v>2</v>
      </c>
      <c r="D102" s="1"/>
      <c r="E102" s="1"/>
      <c r="F102" s="1"/>
      <c r="G102" s="1"/>
      <c r="H102" s="1"/>
      <c r="I102" s="1"/>
      <c r="J102" s="1"/>
      <c r="K102" s="1"/>
      <c r="L102" s="1"/>
      <c r="M102" s="1"/>
    </row>
    <row r="103">
      <c r="A103" s="1"/>
      <c r="B103" s="1" t="s">
        <v>698</v>
      </c>
      <c r="C103" s="66">
        <v>12.15</v>
      </c>
      <c r="D103" s="1"/>
      <c r="E103" s="1"/>
      <c r="F103" s="1"/>
      <c r="G103" s="1"/>
      <c r="H103" s="1"/>
      <c r="I103" s="1"/>
      <c r="J103" s="1"/>
      <c r="K103" s="1"/>
      <c r="L103" s="1"/>
      <c r="M103" s="1"/>
    </row>
    <row r="104">
      <c r="A104" s="1"/>
      <c r="B104" s="1" t="s">
        <v>699</v>
      </c>
      <c r="C104" s="1"/>
      <c r="D104" s="1"/>
      <c r="E104" s="1"/>
      <c r="F104" s="1"/>
      <c r="G104" s="1"/>
      <c r="H104" s="1"/>
      <c r="I104" s="1"/>
      <c r="J104" s="1"/>
      <c r="K104" s="1"/>
      <c r="L104" s="1"/>
      <c r="M104" s="1"/>
    </row>
    <row r="105">
      <c r="A105" s="1"/>
      <c r="B105" s="1" t="s">
        <v>617</v>
      </c>
      <c r="C105" s="29" t="s">
        <v>16</v>
      </c>
      <c r="D105" s="1"/>
      <c r="E105" s="1"/>
      <c r="F105" s="1"/>
      <c r="G105" s="1"/>
      <c r="H105" s="1"/>
      <c r="I105" s="1"/>
      <c r="J105" s="1"/>
      <c r="K105" s="1"/>
      <c r="L105" s="1"/>
      <c r="M105" s="1"/>
    </row>
    <row r="106">
      <c r="A106" s="1"/>
      <c r="B106" s="1" t="s">
        <v>700</v>
      </c>
      <c r="C106" s="29" t="s">
        <v>701</v>
      </c>
      <c r="D106" s="1"/>
      <c r="E106" s="1"/>
      <c r="F106" s="1"/>
      <c r="G106" s="1"/>
      <c r="H106" s="1"/>
      <c r="I106" s="1"/>
      <c r="J106" s="1"/>
      <c r="K106" s="1"/>
      <c r="L106" s="1"/>
      <c r="M106" s="1"/>
    </row>
    <row r="107">
      <c r="A107" s="1"/>
      <c r="B107" s="1" t="s">
        <v>702</v>
      </c>
      <c r="C107" s="29" t="s">
        <v>474</v>
      </c>
      <c r="D107" s="1"/>
      <c r="E107" s="1"/>
      <c r="F107" s="1"/>
      <c r="G107" s="1"/>
      <c r="H107" s="1"/>
      <c r="I107" s="1"/>
      <c r="J107" s="1"/>
      <c r="K107" s="1"/>
      <c r="L107" s="1"/>
      <c r="M107" s="1"/>
    </row>
    <row r="108">
      <c r="A108" s="1"/>
      <c r="B108" s="1" t="s">
        <v>703</v>
      </c>
      <c r="C108" s="29" t="s">
        <v>704</v>
      </c>
      <c r="D108" s="1"/>
      <c r="E108" s="1"/>
      <c r="F108" s="1"/>
      <c r="G108" s="1"/>
      <c r="H108" s="1"/>
      <c r="I108" s="1"/>
      <c r="J108" s="1"/>
      <c r="K108" s="1"/>
      <c r="L108" s="1"/>
      <c r="M108" s="1"/>
    </row>
    <row r="109">
      <c r="A109" s="1"/>
      <c r="B109" s="1"/>
      <c r="C109" s="1"/>
      <c r="D109" s="1"/>
      <c r="E109" s="1"/>
      <c r="F109" s="1"/>
      <c r="G109" s="1"/>
      <c r="H109" s="1"/>
      <c r="I109" s="1"/>
      <c r="J109" s="1"/>
      <c r="K109" s="1"/>
      <c r="L109" s="1"/>
      <c r="M109" s="1"/>
    </row>
    <row r="110">
      <c r="A110" s="1"/>
      <c r="B110" s="16" t="s">
        <v>705</v>
      </c>
      <c r="C110" s="1"/>
      <c r="D110" s="1"/>
      <c r="E110" s="1"/>
      <c r="F110" s="1"/>
      <c r="G110" s="1"/>
      <c r="H110" s="1"/>
      <c r="I110" s="1"/>
      <c r="J110" s="1"/>
      <c r="K110" s="1"/>
      <c r="L110" s="1"/>
      <c r="M110" s="1"/>
    </row>
    <row r="111">
      <c r="A111" s="1"/>
      <c r="B111" s="1" t="s">
        <v>706</v>
      </c>
      <c r="C111" s="71">
        <v>2.65</v>
      </c>
      <c r="D111" s="1"/>
      <c r="E111" s="1"/>
      <c r="F111" s="1"/>
      <c r="G111" s="1"/>
      <c r="H111" s="1"/>
      <c r="I111" s="1"/>
      <c r="J111" s="1"/>
      <c r="K111" s="1"/>
      <c r="L111" s="1"/>
      <c r="M111" s="1"/>
    </row>
    <row r="112">
      <c r="A112" s="1"/>
      <c r="B112" s="1" t="s">
        <v>707</v>
      </c>
      <c r="C112" s="33" t="str">
        <f>IF(C111&lt;2,"small",IF(C111&lt;=10,"mid","large"))</f>
        <v>mid</v>
      </c>
      <c r="D112" s="1"/>
      <c r="E112" s="1"/>
      <c r="F112" s="1"/>
      <c r="G112" s="1"/>
      <c r="H112" s="1"/>
      <c r="I112" s="1"/>
      <c r="J112" s="1"/>
      <c r="K112" s="1"/>
      <c r="L112" s="1"/>
      <c r="M112" s="1"/>
    </row>
    <row r="113">
      <c r="A113" s="1"/>
      <c r="B113" s="1" t="s">
        <v>708</v>
      </c>
      <c r="C113" s="33" t="str">
        <f>C42</f>
        <v>N</v>
      </c>
      <c r="D113" s="1"/>
      <c r="E113" s="1"/>
      <c r="F113" s="1"/>
      <c r="G113" s="1"/>
      <c r="H113" s="1"/>
      <c r="I113" s="1"/>
      <c r="J113" s="1"/>
      <c r="K113" s="1"/>
      <c r="L113" s="1"/>
      <c r="M113" s="1"/>
    </row>
    <row r="114">
      <c r="A114" s="1"/>
      <c r="B114" s="1" t="s">
        <v>709</v>
      </c>
      <c r="C114" s="44">
        <v>0.6</v>
      </c>
      <c r="D114" s="1"/>
      <c r="E114" s="1"/>
      <c r="F114" s="1"/>
      <c r="G114" s="1"/>
      <c r="H114" s="1"/>
      <c r="I114" s="1"/>
      <c r="J114" s="1"/>
      <c r="K114" s="1"/>
      <c r="L114" s="1"/>
      <c r="M114" s="1"/>
    </row>
    <row r="115">
      <c r="A115" s="1"/>
      <c r="B115" s="1" t="s">
        <v>710</v>
      </c>
      <c r="C115" s="44">
        <v>0.7</v>
      </c>
      <c r="D115" s="1"/>
      <c r="E115" s="1"/>
      <c r="F115" s="1"/>
      <c r="G115" s="1"/>
      <c r="H115" s="1"/>
      <c r="I115" s="1"/>
      <c r="J115" s="1"/>
      <c r="K115" s="1"/>
      <c r="L115" s="1"/>
      <c r="M115" s="1"/>
    </row>
    <row r="116">
      <c r="A116" s="1"/>
      <c r="B116" s="1" t="s">
        <v>711</v>
      </c>
      <c r="C116" s="44">
        <v>0.78</v>
      </c>
      <c r="D116" s="1"/>
      <c r="E116" s="1"/>
      <c r="F116" s="1"/>
      <c r="G116" s="1"/>
      <c r="H116" s="1"/>
      <c r="I116" s="1"/>
      <c r="J116" s="1"/>
      <c r="K116" s="1"/>
      <c r="L116" s="1"/>
      <c r="M116" s="1"/>
    </row>
    <row r="117">
      <c r="A117" s="1"/>
      <c r="B117" s="1" t="s">
        <v>712</v>
      </c>
      <c r="C117" s="9">
        <f>IF(OR(C112="large",C113="Y"),C116,IF(C112="mid",C115,C114))</f>
        <v>0.7</v>
      </c>
      <c r="D117" s="1"/>
      <c r="E117" s="1"/>
      <c r="F117" s="1"/>
      <c r="G117" s="1"/>
      <c r="H117" s="1"/>
      <c r="I117" s="1"/>
      <c r="J117" s="1"/>
      <c r="K117" s="1"/>
      <c r="L117" s="1"/>
      <c r="M117" s="1"/>
    </row>
    <row r="118">
      <c r="A118" s="1"/>
      <c r="B118" s="1" t="s">
        <v>713</v>
      </c>
      <c r="C118" s="69">
        <f>SUMPRODUCT(--(E11:E16&gt;D11:D16))</f>
        <v>3</v>
      </c>
      <c r="D118" s="1"/>
      <c r="E118" s="1"/>
      <c r="F118" s="1"/>
      <c r="G118" s="1"/>
      <c r="H118" s="1"/>
      <c r="I118" s="1"/>
      <c r="J118" s="1"/>
      <c r="K118" s="1"/>
      <c r="L118" s="1"/>
      <c r="M118" s="1"/>
    </row>
    <row r="119">
      <c r="A119" s="1"/>
      <c r="B119" s="1" t="s">
        <v>714</v>
      </c>
      <c r="C119" s="69">
        <f>COUNT(E11:E16)</f>
        <v>6</v>
      </c>
      <c r="D119" s="1"/>
      <c r="E119" s="1"/>
      <c r="F119" s="1"/>
      <c r="G119" s="1"/>
      <c r="H119" s="1"/>
      <c r="I119" s="1"/>
      <c r="J119" s="1"/>
      <c r="K119" s="1"/>
      <c r="L119" s="1"/>
      <c r="M119" s="1"/>
    </row>
    <row r="120">
      <c r="A120" s="1"/>
      <c r="B120" s="1" t="s">
        <v>715</v>
      </c>
      <c r="C120" s="70">
        <v>8</v>
      </c>
      <c r="D120" s="1"/>
      <c r="E120" s="1"/>
      <c r="F120" s="1"/>
      <c r="G120" s="1"/>
      <c r="H120" s="1"/>
      <c r="I120" s="1"/>
      <c r="J120" s="1"/>
      <c r="K120" s="1"/>
      <c r="L120" s="1"/>
      <c r="M120" s="1"/>
    </row>
    <row r="121">
      <c r="A121" s="1"/>
      <c r="B121" s="1" t="s">
        <v>716</v>
      </c>
      <c r="C121" s="9">
        <f>(C120*C117+C118)/(C120+C119)</f>
        <v>0.6142857142857142</v>
      </c>
      <c r="D121" s="1"/>
      <c r="E121" s="1"/>
      <c r="F121" s="1"/>
      <c r="G121" s="1"/>
      <c r="H121" s="1"/>
      <c r="I121" s="1"/>
      <c r="J121" s="1"/>
      <c r="K121" s="1"/>
      <c r="L121" s="1"/>
      <c r="M121" s="1"/>
    </row>
    <row r="122">
      <c r="A122" s="1"/>
      <c r="B122" s="1" t="s">
        <v>717</v>
      </c>
      <c r="C122" s="44">
        <v>0.62</v>
      </c>
      <c r="D122" s="1"/>
      <c r="E122" s="1"/>
      <c r="F122" s="1"/>
      <c r="G122" s="1"/>
      <c r="H122" s="1"/>
      <c r="I122" s="1"/>
      <c r="J122" s="1"/>
      <c r="K122" s="1"/>
      <c r="L122" s="1"/>
      <c r="M122" s="1"/>
    </row>
    <row r="123">
      <c r="A123" s="1"/>
      <c r="B123" s="1" t="s">
        <v>718</v>
      </c>
      <c r="C123" s="9">
        <f>C122-C121</f>
        <v>0.005714285714285783</v>
      </c>
      <c r="D123" s="1"/>
      <c r="E123" s="1"/>
      <c r="F123" s="1"/>
      <c r="G123" s="1"/>
      <c r="H123" s="1"/>
      <c r="I123" s="1"/>
      <c r="J123" s="1"/>
      <c r="K123" s="1"/>
      <c r="L123" s="1"/>
      <c r="M123" s="1"/>
    </row>
    <row r="124">
      <c r="A124" s="1"/>
      <c r="B124" s="1" t="s">
        <v>719</v>
      </c>
      <c r="C124" s="11">
        <f>AVERAGE(K11:K16)</f>
        <v>0.006666666666666668</v>
      </c>
      <c r="D124" s="1"/>
      <c r="E124" s="1"/>
      <c r="F124" s="1"/>
      <c r="G124" s="1"/>
      <c r="H124" s="1"/>
      <c r="I124" s="1"/>
      <c r="J124" s="1"/>
      <c r="K124" s="1"/>
      <c r="L124" s="1"/>
      <c r="M124" s="1"/>
    </row>
    <row r="125">
      <c r="A125" s="1"/>
      <c r="B125" s="1" t="s">
        <v>43</v>
      </c>
      <c r="C125" s="72" t="s">
        <v>720</v>
      </c>
      <c r="D125" s="1"/>
      <c r="E125" s="1"/>
      <c r="F125" s="1"/>
      <c r="G125" s="1"/>
      <c r="H125" s="1"/>
      <c r="I125" s="1"/>
      <c r="J125" s="1"/>
      <c r="K125" s="1"/>
      <c r="L125" s="1"/>
      <c r="M125" s="1"/>
    </row>
    <row r="126">
      <c r="A126" s="1"/>
      <c r="B126" s="1"/>
      <c r="C126" s="1"/>
      <c r="D126" s="1"/>
      <c r="E126" s="1"/>
      <c r="F126" s="1"/>
      <c r="G126" s="1"/>
      <c r="H126" s="1"/>
      <c r="I126" s="1"/>
      <c r="J126" s="1"/>
      <c r="K126" s="1"/>
      <c r="L126" s="1"/>
      <c r="M126" s="1"/>
    </row>
    <row r="127">
      <c r="A127" s="1"/>
      <c r="B127" s="1"/>
      <c r="C127" s="1"/>
      <c r="D127" s="1"/>
      <c r="E127" s="1"/>
      <c r="F127" s="1"/>
      <c r="G127" s="1"/>
      <c r="H127" s="1"/>
      <c r="I127" s="1"/>
      <c r="J127" s="1"/>
      <c r="K127" s="1"/>
      <c r="L127" s="1"/>
      <c r="M127" s="1"/>
    </row>
  </sheetData>
  <legacyDrawing r:id="rId2"/>
</worksheet>
</file>