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ver" sheetId="1" r:id="rId1"/>
    <sheet name="Revenue summary" sheetId="2" r:id="rId2"/>
    <sheet name="Segment - North America" sheetId="3" r:id="rId3"/>
    <sheet name="Segment - International" sheetId="4" r:id="rId4"/>
    <sheet name="Income Statement" sheetId="5" r:id="rId5"/>
    <sheet name="Balance Sheet" sheetId="6" r:id="rId6"/>
    <sheet name="Cash Flow Statement" sheetId="7" r:id="rId7"/>
    <sheet name="Geo" sheetId="8" r:id="rId8"/>
    <sheet name="Share Count" sheetId="9" r:id="rId9"/>
    <sheet name="Guidance" sheetId="10" r:id="rId10"/>
    <sheet name="Sources" sheetId="11" r:id="rId11"/>
    <sheet name="Inputs" sheetId="12" r:id="rId12"/>
  </sheets>
  <calcPr calcId="0"/>
</workbook>
</file>

<file path=xl/comments1.xml><?xml version="1.0" encoding="utf-8"?>
<comments xmlns="http://schemas.openxmlformats.org/spreadsheetml/2006/main">
  <authors>
    <author>Shortcut</author>
  </authors>
  <commentList>
    <comment ref="G12" authorId="0">
      <text>
        <t>LW Q4/FY26 earnings release Ex.99.1 (sec.gov a-lwx20260531xexx991fy26v2.htm, 2026-07-24) | Consolidated Statements of Earnings | 6,612.3</t>
      </text>
    </comment>
    <comment ref="C23" authorId="0">
      <text>
        <t>LW Q1 FY26 earnings release Ex.99.1 (sec.gov lw-20250824x8kxexx9911q26.htm, 2025-09-30) | Segment Information (consolidated) | 6%</t>
      </text>
    </comment>
    <comment ref="D23" authorId="0">
      <text>
        <t>LW Q2 FY26 earnings release Ex.99.1 (investors.lambweston.com static-files/f4d3c7be, 2025-12-19) | Segment Information (consolidated) | 8%</t>
      </text>
    </comment>
    <comment ref="E23" authorId="0">
      <text>
        <t>LW Q3 FY26 earnings release Ex.99.1 (investors.lambweston.com static-files/9f03ff19, 2026-04-01) | Segment Information (consolidated) | 7%</t>
      </text>
    </comment>
    <comment ref="F23" authorId="0">
      <text>
        <t>LW Q4/FY26 earnings release Ex.99.1 (sec.gov a-lwx20260531xexx991fy26v2.htm, 2026-07-24) | Segment Information (consolidated) | 7%</t>
      </text>
    </comment>
    <comment ref="G23" authorId="0">
      <text>
        <t>LW Q4/FY26 earnings release Ex.99.1 (sec.gov a-lwx20260531xexx991fy26v2.htm, 2026-07-24) | Segment Information (consolidated) | 7%</t>
      </text>
    </comment>
    <comment ref="C26" authorId="0">
      <text>
        <t>LW Q1 FY26 earnings release Ex.99.1 (sec.gov lw-20250824x8kxexx9911q26.htm, 2025-09-30) | Segment Information (consolidated) | (7%)</t>
      </text>
    </comment>
    <comment ref="D26" authorId="0">
      <text>
        <t>LW Q2 FY26 earnings release Ex.99.1 (investors.lambweston.com static-files/f4d3c7be, 2025-12-19) | Segment Information (consolidated) | (8%)</t>
      </text>
    </comment>
    <comment ref="E26" authorId="0">
      <text>
        <t>LW Q3 FY26 earnings release Ex.99.1 (investors.lambweston.com static-files/9f03ff19, 2026-04-01) | Segment Information (consolidated) | (7%)</t>
      </text>
    </comment>
    <comment ref="F26" authorId="0">
      <text>
        <t>LW Q4/FY26 earnings release Ex.99.1 (sec.gov a-lwx20260531xexx991fy26v2.htm, 2026-07-24) | Segment Information (consolidated) | (3%)</t>
      </text>
    </comment>
    <comment ref="G26" authorId="0">
      <text>
        <t>LW Q4/FY26 earnings release Ex.99.1 (sec.gov a-lwx20260531xexx991fy26v2.htm, 2026-07-24) | Segment Information (consolidated) | (6%)</t>
      </text>
    </comment>
  </commentList>
</comments>
</file>

<file path=xl/comments2.xml><?xml version="1.0" encoding="utf-8"?>
<comments xmlns="http://schemas.openxmlformats.org/spreadsheetml/2006/main">
  <authors>
    <author>Shortcut</author>
  </authors>
  <commentList>
    <comment ref="C11" authorId="0">
      <text>
        <t>LW Q1 FY26 earnings release Ex.99.1 (sec.gov lw-20250824x8kxexx9911q26.htm, 2025-09-30) | Segment Information / Reconciliation of Net Sales at Constant Currency | 1,103.7</t>
      </text>
    </comment>
    <comment ref="D11" authorId="0">
      <text>
        <t>LW Q2 FY26 earnings release Ex.99.1 (investors.lambweston.com static-files/f4d3c7be, 2025-12-19) | Segment Information / Reconciliation of Net Sales at Constant Currency | 1,072.1</t>
      </text>
    </comment>
    <comment ref="E11" authorId="0">
      <text>
        <t>LW Q3 FY26 earnings release Ex.99.1 (investors.lambweston.com static-files/9f03ff19, 2026-04-01) | Segment Information / Reconciliation of Net Sales at Constant Currency | 986.3</t>
      </text>
    </comment>
    <comment ref="F11" authorId="0">
      <text>
        <t>LW Q4/FY26 earnings release Ex.99.1 (sec.gov a-lwx20260531xexx991fy26v2.htm, 2026-07-24) | Segment Information / Reconciliation of Net Sales at Constant Currency | 1,103.1</t>
      </text>
    </comment>
    <comment ref="G11" authorId="0">
      <text>
        <t>LW Q4/FY26 earnings release Ex.99.1 (sec.gov a-lwx20260531xexx991fy26v2.htm, 2026-07-24) | Segment Information / Reconciliation of Net Sales at Constant Currency | 4,265.2</t>
      </text>
    </comment>
    <comment ref="C14" authorId="0">
      <text>
        <t>LW Q1 FY26 earnings release Ex.99.1 (sec.gov lw-20250824x8kxexx9911q26.htm, 2025-09-30) | Segment Information / Reconciliation of Net Sales at Constant Currency | 5%</t>
      </text>
    </comment>
    <comment ref="D14" authorId="0">
      <text>
        <t>LW Q2 FY26 earnings release Ex.99.1 (investors.lambweston.com static-files/f4d3c7be, 2025-12-19) | Segment Information / Reconciliation of Net Sales at Constant Currency | 8%</t>
      </text>
    </comment>
    <comment ref="E14" authorId="0">
      <text>
        <t>LW Q3 FY26 earnings release Ex.99.1 (investors.lambweston.com static-files/9f03ff19, 2026-04-01) | Segment Information / Reconciliation of Net Sales at Constant Currency | 12%</t>
      </text>
    </comment>
    <comment ref="F14" authorId="0">
      <text>
        <t>LW Q4/FY26 earnings release Ex.99.1 (sec.gov a-lwx20260531xexx991fy26v2.htm, 2026-07-24) | Segment Information / Reconciliation of Net Sales at Constant Currency | 11%</t>
      </text>
    </comment>
    <comment ref="G14" authorId="0">
      <text>
        <t>LW Q4/FY26 earnings release Ex.99.1 (sec.gov a-lwx20260531xexx991fy26v2.htm, 2026-07-24) | Segment Information / Reconciliation of Net Sales at Constant Currency | 9%</t>
      </text>
    </comment>
    <comment ref="C20" authorId="0">
      <text>
        <t>LW Q1 FY26 earnings release Ex.99.1 (sec.gov lw-20250824x8kxexx9911q26.htm, 2025-09-30) | Segment Information / Reconciliation of Net Sales at Constant Currency | (7%)</t>
      </text>
    </comment>
    <comment ref="D20" authorId="0">
      <text>
        <t>LW Q2 FY26 earnings release Ex.99.1 (investors.lambweston.com static-files/f4d3c7be, 2025-12-19) | Segment Information / Reconciliation of Net Sales at Constant Currency | (8%)</t>
      </text>
    </comment>
    <comment ref="E20" authorId="0">
      <text>
        <t>LW Q3 FY26 earnings release Ex.99.1 (investors.lambweston.com static-files/9f03ff19, 2026-04-01) | Segment Information / Reconciliation of Net Sales at Constant Currency | (7%)</t>
      </text>
    </comment>
    <comment ref="F20" authorId="0">
      <text>
        <t>LW Q4/FY26 earnings release Ex.99.1 (sec.gov a-lwx20260531xexx991fy26v2.htm, 2026-07-24) | Segment Information / Reconciliation of Net Sales at Constant Currency | (2%)</t>
      </text>
    </comment>
    <comment ref="G20" authorId="0">
      <text>
        <t>LW Q4/FY26 earnings release Ex.99.1 (sec.gov a-lwx20260531xexx991fy26v2.htm, 2026-07-24) | Segment Information / Reconciliation of Net Sales at Constant Currency | (6%)</t>
      </text>
    </comment>
    <comment ref="C26" authorId="0">
      <text>
        <t>LW Q1 FY26 earnings release Ex.99.1 (sec.gov lw-20250824x8kxexx9911q26.htm, 2025-09-30) | Segment Information / Reconciliation of Net Sales at Constant Currency | (0.8)</t>
      </text>
    </comment>
    <comment ref="D26" authorId="0">
      <text>
        <t>LW Q2 FY26 earnings release Ex.99.1 (investors.lambweston.com static-files/f4d3c7be, 2025-12-19) | Segment Information / Reconciliation of Net Sales at Constant Currency | 1.8</t>
      </text>
    </comment>
    <comment ref="E26" authorId="0">
      <text>
        <t>LW Q3 FY26 earnings release Ex.99.1 (investors.lambweston.com static-files/9f03ff19, 2026-04-01) | Segment Information / Reconciliation of Net Sales at Constant Currency | 3.7</t>
      </text>
    </comment>
    <comment ref="F26" authorId="0">
      <text>
        <t>LW Q4/FY26 earnings release Ex.99.1 (sec.gov a-lwx20260531xexx991fy26v2.htm, 2026-07-24) | Segment Information / Reconciliation of Net Sales at Constant Currency | 3.3</t>
      </text>
    </comment>
    <comment ref="G26" authorId="0">
      <text>
        <t>LW Q4/FY26 earnings release Ex.99.1 (sec.gov a-lwx20260531xexx991fy26v2.htm, 2026-07-24) | Segment Information / Reconciliation of Net Sales at Constant Currency | 7.8</t>
      </text>
    </comment>
    <comment ref="C33" authorId="0">
      <text>
        <t>LW Q1 FY26 earnings release Ex.99.1 (sec.gov lw-20250824x8kxexx9911q26.htm, 2025-09-30) | Segment Information / Reconciliation of Net Sales at Constant Currency | 1,084.6</t>
      </text>
    </comment>
    <comment ref="D33" authorId="0">
      <text>
        <t>LW Q2 FY26 earnings release Ex.99.1 (investors.lambweston.com static-files/f4d3c7be, 2025-12-19) | Segment Information / Reconciliation of Net Sales at Constant Currency | 1,069.5</t>
      </text>
    </comment>
    <comment ref="E33" authorId="0">
      <text>
        <t>LW Q3 FY26 earnings release Ex.99.1 (investors.lambweston.com static-files/9f03ff19, 2026-04-01) | Segment Information / Reconciliation of Net Sales at Constant Currency | 1,035.0</t>
      </text>
    </comment>
    <comment ref="F33" authorId="0">
      <text>
        <t>LW Q4/FY26 earnings release Ex.99.1 (sec.gov a-lwx20260531xexx991fy26v2.htm, 2026-07-24) | Segment Information / Reconciliation of Net Sales at Constant Currency | 1,206.2</t>
      </text>
    </comment>
    <comment ref="G33" authorId="0">
      <text>
        <t>LW Q4/FY26 earnings release Ex.99.1 (sec.gov a-lwx20260531xexx991fy26v2.htm, 2026-07-24) | Segment Information / Reconciliation of Net Sales at Constant Currency | 4,395.2</t>
      </text>
    </comment>
    <comment ref="C39" authorId="0">
      <text>
        <t>LW Q1 FY26 earnings release Ex.99.1 (sec.gov lw-20250824x8kxexx9911q26.htm, 2025-09-30) | Net sales excluding FX and extra week reconciliation | —</t>
      </text>
    </comment>
    <comment ref="D39" authorId="0">
      <text>
        <t>LW Q2 FY26 earnings release Ex.99.1 (investors.lambweston.com static-files/f4d3c7be, 2025-12-19) | Net sales excluding FX and extra week reconciliation | —</t>
      </text>
    </comment>
    <comment ref="E39" authorId="0">
      <text>
        <t>LW Q3 FY26 earnings release Ex.99.1 (investors.lambweston.com static-files/9f03ff19, 2026-04-01) | Net sales excluding FX and extra week reconciliation | —</t>
      </text>
    </comment>
    <comment ref="F39" authorId="0">
      <text>
        <t>LW Q4/FY26 earnings release Ex.99.1 (sec.gov a-lwx20260531xexx991fy26v2.htm, 2026-07-24) | Net sales excluding FX and extra week reconciliation | 86.4</t>
      </text>
    </comment>
    <comment ref="G39" authorId="0">
      <text>
        <t>LW Q4/FY26 earnings release Ex.99.1 (sec.gov a-lwx20260531xexx991fy26v2.htm, 2026-07-24) | Net sales excluding FX and extra week reconciliation | 86.4</t>
      </text>
    </comment>
    <comment ref="C43" authorId="0">
      <text>
        <t>LW FY26 Form 10-K (sec.gov lw-20260531.htm, 2026-07-24) | 10-K FY26 — no business combinations or divestitures in FY26 | —</t>
      </text>
    </comment>
    <comment ref="D43" authorId="0">
      <text>
        <t>LW FY26 Form 10-K (sec.gov lw-20260531.htm, 2026-07-24) | 10-K FY26 — no business combinations or divestitures in FY26 | —</t>
      </text>
    </comment>
    <comment ref="E43" authorId="0">
      <text>
        <t>LW FY26 Form 10-K (sec.gov lw-20260531.htm, 2026-07-24) | 10-K FY26 — no business combinations or divestitures in FY26 | —</t>
      </text>
    </comment>
    <comment ref="F43" authorId="0">
      <text>
        <t>LW FY26 Form 10-K (sec.gov lw-20260531.htm, 2026-07-24) | 10-K FY26 — no business combinations or divestitures in FY26 | —</t>
      </text>
    </comment>
    <comment ref="G43" authorId="0">
      <text>
        <t>LW FY26 Form 10-K (sec.gov lw-20260531.htm, 2026-07-24) | 10-K FY26 — no business combinations or divestitures in FY26 | —</t>
      </text>
    </comment>
    <comment ref="C54" authorId="0">
      <text>
        <t>LW Q1 FY26 earnings release Ex.99.1 (sec.gov lw-20250824x8kxexx9911q26.htm, 2025-09-30) | Segment Adjusted EBITDA | 278.0</t>
      </text>
    </comment>
    <comment ref="D54" authorId="0">
      <text>
        <t>LW Q2 FY26 earnings release Ex.99.1 (investors.lambweston.com static-files/f4d3c7be, 2025-12-19) | Segment Adjusted EBITDA | 269.2</t>
      </text>
    </comment>
    <comment ref="E54" authorId="0">
      <text>
        <t>LW Q3 FY26 earnings release Ex.99.1 (investors.lambweston.com static-files/9f03ff19, 2026-04-01) | Segment Adjusted EBITDA | 302.6</t>
      </text>
    </comment>
    <comment ref="F54" authorId="0">
      <text>
        <t>LW Q4/FY26 earnings release Ex.99.1 (sec.gov a-lwx20260531xexx991fy26v2.htm, 2026-07-24) | Segment Adjusted EBITDA | 259.6</t>
      </text>
    </comment>
    <comment ref="G54" authorId="0">
      <text>
        <t>LW Q4/FY26 earnings release Ex.99.1 (sec.gov a-lwx20260531xexx991fy26v2.htm, 2026-07-24) | Segment Adjusted EBITDA | 1,109.4</t>
      </text>
    </comment>
    <comment ref="C58" authorId="0">
      <text>
        <t>LW Q1 FY26 earnings release Ex.99.1 (sec.gov lw-20250824x8kxexx9911q26.htm, 2025-09-30) | Segment Adjusted EBITDA | 260.0</t>
      </text>
    </comment>
    <comment ref="D58" authorId="0">
      <text>
        <t>LW Q2 FY26 earnings release Ex.99.1 (investors.lambweston.com static-files/f4d3c7be, 2025-12-19) | Segment Adjusted EBITDA | 287.8</t>
      </text>
    </comment>
    <comment ref="E58" authorId="0">
      <text>
        <t>LW Q3 FY26 earnings release Ex.99.1 (investors.lambweston.com static-files/9f03ff19, 2026-04-01) | Segment Adjusted EBITDA | 289.8</t>
      </text>
    </comment>
    <comment ref="F58" authorId="0">
      <text>
        <t>LW Q4/FY26 earnings release Ex.99.1 (sec.gov a-lwx20260531xexx991fy26v2.htm, 2026-07-24) | Segment Adjusted EBITDA | 304.7</t>
      </text>
    </comment>
    <comment ref="G58" authorId="0">
      <text>
        <t>LW Q4/FY26 earnings release Ex.99.1 (sec.gov a-lwx20260531xexx991fy26v2.htm, 2026-07-24) | Segment Adjusted EBITDA | 1,142.3</t>
      </text>
    </comment>
    <comment ref="C62" authorId="0">
      <text>
        <t>LW Q1 FY26 earnings release Ex.99.1 (sec.gov lw-20250824x8kxexx9911q26.htm, 2025-09-30) | Segment Adjusted EBITDA excluding Extra Week reconciliation | —</t>
      </text>
    </comment>
    <comment ref="D62" authorId="0">
      <text>
        <t>LW Q2 FY26 earnings release Ex.99.1 (investors.lambweston.com static-files/f4d3c7be, 2025-12-19) | Segment Adjusted EBITDA excluding Extra Week reconciliation | —</t>
      </text>
    </comment>
    <comment ref="E62" authorId="0">
      <text>
        <t>LW Q3 FY26 earnings release Ex.99.1 (investors.lambweston.com static-files/9f03ff19, 2026-04-01) | Segment Adjusted EBITDA excluding Extra Week reconciliation | —</t>
      </text>
    </comment>
    <comment ref="F62" authorId="0">
      <text>
        <t>LW Q4/FY26 earnings release Ex.99.1 (sec.gov a-lwx20260531xexx991fy26v2.htm, 2026-07-24) | Segment Adjusted EBITDA excluding Extra Week reconciliation | 25.5</t>
      </text>
    </comment>
    <comment ref="G62" authorId="0">
      <text>
        <t>LW Q4/FY26 earnings release Ex.99.1 (sec.gov a-lwx20260531xexx991fy26v2.htm, 2026-07-24) | Segment Adjusted EBITDA excluding Extra Week reconciliation | 25.5</t>
      </text>
    </comment>
  </commentList>
</comments>
</file>

<file path=xl/comments3.xml><?xml version="1.0" encoding="utf-8"?>
<comments xmlns="http://schemas.openxmlformats.org/spreadsheetml/2006/main">
  <authors>
    <author>Shortcut</author>
  </authors>
  <commentList>
    <comment ref="C11" authorId="0">
      <text>
        <t>LW Q1 FY26 earnings release Ex.99.1 (sec.gov lw-20250824x8kxexx9911q26.htm, 2025-09-30) | Segment Information / Reconciliation of Net Sales at Constant Currency | 550.4</t>
      </text>
    </comment>
    <comment ref="D11" authorId="0">
      <text>
        <t>LW Q2 FY26 earnings release Ex.99.1 (investors.lambweston.com static-files/f4d3c7be, 2025-12-19) | Segment Information / Reconciliation of Net Sales at Constant Currency | 528.8</t>
      </text>
    </comment>
    <comment ref="E11" authorId="0">
      <text>
        <t>LW Q3 FY26 earnings release Ex.99.1 (investors.lambweston.com static-files/9f03ff19, 2026-04-01) | Segment Information / Reconciliation of Net Sales at Constant Currency | 534.2</t>
      </text>
    </comment>
    <comment ref="F11" authorId="0">
      <text>
        <t>LW Q4/FY26 earnings release Ex.99.1 (sec.gov a-lwx20260531xexx991fy26v2.htm, 2026-07-24) | Segment Information / Reconciliation of Net Sales at Constant Currency | 572.7</t>
      </text>
    </comment>
    <comment ref="G11" authorId="0">
      <text>
        <t>LW Q4/FY26 earnings release Ex.99.1 (sec.gov a-lwx20260531xexx991fy26v2.htm, 2026-07-24) | Segment Information / Reconciliation of Net Sales at Constant Currency | 2,186.1</t>
      </text>
    </comment>
    <comment ref="C14" authorId="0">
      <text>
        <t>LW Q1 FY26 earnings release Ex.99.1 (sec.gov lw-20250824x8kxexx9911q26.htm, 2025-09-30) | Segment Information / Reconciliation of Net Sales at Constant Currency | 6%</t>
      </text>
    </comment>
    <comment ref="D14" authorId="0">
      <text>
        <t>LW Q2 FY26 earnings release Ex.99.1 (investors.lambweston.com static-files/f4d3c7be, 2025-12-19) | Segment Information / Reconciliation of Net Sales at Constant Currency | 7%</t>
      </text>
    </comment>
    <comment ref="E14" authorId="0">
      <text>
        <t>LW Q3 FY26 earnings release Ex.99.1 (investors.lambweston.com static-files/9f03ff19, 2026-04-01) | Segment Information / Reconciliation of Net Sales at Constant Currency | (2%)</t>
      </text>
    </comment>
    <comment ref="F14" authorId="0">
      <text>
        <t>LW Q4/FY26 earnings release Ex.99.1 (sec.gov a-lwx20260531xexx991fy26v2.htm, 2026-07-24) | Segment Information / Reconciliation of Net Sales at Constant Currency | (2%)</t>
      </text>
    </comment>
    <comment ref="G14" authorId="0">
      <text>
        <t>LW Q4/FY26 earnings release Ex.99.1 (sec.gov a-lwx20260531xexx991fy26v2.htm, 2026-07-24) | Segment Information / Reconciliation of Net Sales at Constant Currency | 2%</t>
      </text>
    </comment>
    <comment ref="C20" authorId="0">
      <text>
        <t>LW Q1 FY26 earnings release Ex.99.1 (sec.gov lw-20250824x8kxexx9911q26.htm, 2025-09-30) | Segment Information / Reconciliation of Net Sales at Constant Currency | (6%)</t>
      </text>
    </comment>
    <comment ref="D20" authorId="0">
      <text>
        <t>LW Q2 FY26 earnings release Ex.99.1 (investors.lambweston.com static-files/f4d3c7be, 2025-12-19) | Segment Information / Reconciliation of Net Sales at Constant Currency | (8%)</t>
      </text>
    </comment>
    <comment ref="E20" authorId="0">
      <text>
        <t>LW Q3 FY26 earnings release Ex.99.1 (investors.lambweston.com static-files/9f03ff19, 2026-04-01) | Segment Information / Reconciliation of Net Sales at Constant Currency | (7%)</t>
      </text>
    </comment>
    <comment ref="F20" authorId="0">
      <text>
        <t>LW Q4/FY26 earnings release Ex.99.1 (sec.gov a-lwx20260531xexx991fy26v2.htm, 2026-07-24) | Segment Information / Reconciliation of Net Sales at Constant Currency | (4%)</t>
      </text>
    </comment>
    <comment ref="G20" authorId="0">
      <text>
        <t>LW Q4/FY26 earnings release Ex.99.1 (sec.gov a-lwx20260531xexx991fy26v2.htm, 2026-07-24) | Segment Information / Reconciliation of Net Sales at Constant Currency | (6%)</t>
      </text>
    </comment>
    <comment ref="C26" authorId="0">
      <text>
        <t>LW Q1 FY26 earnings release Ex.99.1 (sec.gov lw-20250824x8kxexx9911q26.htm, 2025-09-30) | Segment Information / Reconciliation of Net Sales at Constant Currency | 24.5</t>
      </text>
    </comment>
    <comment ref="D26" authorId="0">
      <text>
        <t>LW Q2 FY26 earnings release Ex.99.1 (investors.lambweston.com static-files/f4d3c7be, 2025-12-19) | Segment Information / Reconciliation of Net Sales at Constant Currency | 22.6</t>
      </text>
    </comment>
    <comment ref="E26" authorId="0">
      <text>
        <t>LW Q3 FY26 earnings release Ex.99.1 (investors.lambweston.com static-files/9f03ff19, 2026-04-01) | Segment Information / Reconciliation of Net Sales at Constant Currency | 43.7</t>
      </text>
    </comment>
    <comment ref="F26" authorId="0">
      <text>
        <t>LW Q4/FY26 earnings release Ex.99.1 (sec.gov a-lwx20260531xexx991fy26v2.htm, 2026-07-24) | Segment Information / Reconciliation of Net Sales at Constant Currency | 24.4</t>
      </text>
    </comment>
    <comment ref="G26" authorId="0">
      <text>
        <t>LW Q4/FY26 earnings release Ex.99.1 (sec.gov a-lwx20260531xexx991fy26v2.htm, 2026-07-24) | Segment Information / Reconciliation of Net Sales at Constant Currency | 115.3</t>
      </text>
    </comment>
    <comment ref="C33" authorId="0">
      <text>
        <t>LW Q1 FY26 earnings release Ex.99.1 (sec.gov lw-20250824x8kxexx9911q26.htm, 2025-09-30) | Segment Information / Reconciliation of Net Sales at Constant Currency | 574.7</t>
      </text>
    </comment>
    <comment ref="D33" authorId="0">
      <text>
        <t>LW Q2 FY26 earnings release Ex.99.1 (investors.lambweston.com static-files/f4d3c7be, 2025-12-19) | Segment Information / Reconciliation of Net Sales at Constant Currency | 548.6</t>
      </text>
    </comment>
    <comment ref="E33" authorId="0">
      <text>
        <t>LW Q3 FY26 earnings release Ex.99.1 (investors.lambweston.com static-files/9f03ff19, 2026-04-01) | Segment Information / Reconciliation of Net Sales at Constant Currency | 529.8</t>
      </text>
    </comment>
    <comment ref="F33" authorId="0">
      <text>
        <t>LW Q4/FY26 earnings release Ex.99.1 (sec.gov a-lwx20260531xexx991fy26v2.htm, 2026-07-24) | Segment Information / Reconciliation of Net Sales at Constant Currency | 563.9</t>
      </text>
    </comment>
    <comment ref="G33" authorId="0">
      <text>
        <t>LW Q4/FY26 earnings release Ex.99.1 (sec.gov a-lwx20260531xexx991fy26v2.htm, 2026-07-24) | Segment Information / Reconciliation of Net Sales at Constant Currency | 2,217.1</t>
      </text>
    </comment>
    <comment ref="C39" authorId="0">
      <text>
        <t>LW Q1 FY26 earnings release Ex.99.1 (sec.gov lw-20250824x8kxexx9911q26.htm, 2025-09-30) | Net sales excluding FX and extra week reconciliation | —</t>
      </text>
    </comment>
    <comment ref="D39" authorId="0">
      <text>
        <t>LW Q2 FY26 earnings release Ex.99.1 (investors.lambweston.com static-files/f4d3c7be, 2025-12-19) | Net sales excluding FX and extra week reconciliation | —</t>
      </text>
    </comment>
    <comment ref="E39" authorId="0">
      <text>
        <t>LW Q3 FY26 earnings release Ex.99.1 (investors.lambweston.com static-files/9f03ff19, 2026-04-01) | Net sales excluding FX and extra week reconciliation | —</t>
      </text>
    </comment>
    <comment ref="F39" authorId="0">
      <text>
        <t>LW Q4/FY26 earnings release Ex.99.1 (sec.gov a-lwx20260531xexx991fy26v2.htm, 2026-07-24) | Net sales excluding FX and extra week reconciliation | 40.7</t>
      </text>
    </comment>
    <comment ref="G39" authorId="0">
      <text>
        <t>LW Q4/FY26 earnings release Ex.99.1 (sec.gov a-lwx20260531xexx991fy26v2.htm, 2026-07-24) | Net sales excluding FX and extra week reconciliation | 40.7</t>
      </text>
    </comment>
    <comment ref="C43" authorId="0">
      <text>
        <t>LW FY26 Form 10-K (sec.gov lw-20260531.htm, 2026-07-24) | 10-K FY26 — no business combinations or divestitures in FY26 | —</t>
      </text>
    </comment>
    <comment ref="D43" authorId="0">
      <text>
        <t>LW FY26 Form 10-K (sec.gov lw-20260531.htm, 2026-07-24) | 10-K FY26 — no business combinations or divestitures in FY26 | —</t>
      </text>
    </comment>
    <comment ref="E43" authorId="0">
      <text>
        <t>LW FY26 Form 10-K (sec.gov lw-20260531.htm, 2026-07-24) | 10-K FY26 — no business combinations or divestitures in FY26 | —</t>
      </text>
    </comment>
    <comment ref="F43" authorId="0">
      <text>
        <t>LW FY26 Form 10-K (sec.gov lw-20260531.htm, 2026-07-24) | 10-K FY26 — no business combinations or divestitures in FY26 | —</t>
      </text>
    </comment>
    <comment ref="G43" authorId="0">
      <text>
        <t>LW FY26 Form 10-K (sec.gov lw-20260531.htm, 2026-07-24) | 10-K FY26 — no business combinations or divestitures in FY26 | —</t>
      </text>
    </comment>
    <comment ref="C54" authorId="0">
      <text>
        <t>LW Q1 FY26 earnings release Ex.99.1 (sec.gov lw-20250824x8kxexx9911q26.htm, 2025-09-30) | Segment Adjusted EBITDA | 51.4</t>
      </text>
    </comment>
    <comment ref="D54" authorId="0">
      <text>
        <t>LW Q2 FY26 earnings release Ex.99.1 (investors.lambweston.com static-files/f4d3c7be, 2025-12-19) | Segment Adjusted EBITDA | 48.6</t>
      </text>
    </comment>
    <comment ref="E54" authorId="0">
      <text>
        <t>LW Q3 FY26 earnings release Ex.99.1 (investors.lambweston.com static-files/9f03ff19, 2026-04-01) | Segment Adjusted EBITDA | 94.1</t>
      </text>
    </comment>
    <comment ref="F54" authorId="0">
      <text>
        <t>LW Q4/FY26 earnings release Ex.99.1 (sec.gov a-lwx20260531xexx991fy26v2.htm, 2026-07-24) | Segment Adjusted EBITDA | 63.5</t>
      </text>
    </comment>
    <comment ref="G54" authorId="0">
      <text>
        <t>LW Q4/FY26 earnings release Ex.99.1 (sec.gov a-lwx20260531xexx991fy26v2.htm, 2026-07-24) | Segment Adjusted EBITDA | 257.6</t>
      </text>
    </comment>
    <comment ref="C58" authorId="0">
      <text>
        <t>LW Q1 FY26 earnings release Ex.99.1 (sec.gov lw-20250824x8kxexx9911q26.htm, 2025-09-30) | Segment Adjusted EBITDA | 57.2</t>
      </text>
    </comment>
    <comment ref="D58" authorId="0">
      <text>
        <t>LW Q2 FY26 earnings release Ex.99.1 (investors.lambweston.com static-files/f4d3c7be, 2025-12-19) | Segment Adjusted EBITDA | 27.2</t>
      </text>
    </comment>
    <comment ref="E58" authorId="0">
      <text>
        <t>LW Q3 FY26 earnings release Ex.99.1 (investors.lambweston.com static-files/9f03ff19, 2026-04-01) | Segment Adjusted EBITDA | 18.5</t>
      </text>
    </comment>
    <comment ref="F58" authorId="0">
      <text>
        <t>LW Q4/FY26 earnings release Ex.99.1 (sec.gov a-lwx20260531xexx991fy26v2.htm, 2026-07-24) | Segment Adjusted EBITDA | 11.8</t>
      </text>
    </comment>
    <comment ref="G58" authorId="0">
      <text>
        <t>LW Q4/FY26 earnings release Ex.99.1 (sec.gov a-lwx20260531xexx991fy26v2.htm, 2026-07-24) | Segment Adjusted EBITDA | 114.7</t>
      </text>
    </comment>
    <comment ref="C62" authorId="0">
      <text>
        <t>LW Q1 FY26 earnings release Ex.99.1 (sec.gov lw-20250824x8kxexx9911q26.htm, 2025-09-30) | Segment Adjusted EBITDA excluding Extra Week reconciliation | —</t>
      </text>
    </comment>
    <comment ref="D62" authorId="0">
      <text>
        <t>LW Q2 FY26 earnings release Ex.99.1 (investors.lambweston.com static-files/f4d3c7be, 2025-12-19) | Segment Adjusted EBITDA excluding Extra Week reconciliation | —</t>
      </text>
    </comment>
    <comment ref="E62" authorId="0">
      <text>
        <t>LW Q3 FY26 earnings release Ex.99.1 (investors.lambweston.com static-files/9f03ff19, 2026-04-01) | Segment Adjusted EBITDA excluding Extra Week reconciliation | —</t>
      </text>
    </comment>
    <comment ref="F62" authorId="0">
      <text>
        <t>LW Q4/FY26 earnings release Ex.99.1 (sec.gov a-lwx20260531xexx991fy26v2.htm, 2026-07-24) | Segment Adjusted EBITDA excluding Extra Week reconciliation | 4.0</t>
      </text>
    </comment>
    <comment ref="G62" authorId="0">
      <text>
        <t>LW Q4/FY26 earnings release Ex.99.1 (sec.gov a-lwx20260531xexx991fy26v2.htm, 2026-07-24) | Segment Adjusted EBITDA excluding Extra Week reconciliation | 4.0</t>
      </text>
    </comment>
    <comment ref="E65" authorId="0">
      <text>
        <t>LW Q3 FY26 earnings release Ex.99.1 (investors.lambweston.com static-files/9f03ff19, 2026-04-01) | Segment Information footnote (2) | 32.5</t>
      </text>
    </comment>
  </commentList>
</comments>
</file>

<file path=xl/comments4.xml><?xml version="1.0" encoding="utf-8"?>
<comments xmlns="http://schemas.openxmlformats.org/spreadsheetml/2006/main">
  <authors>
    <author>Shortcut</author>
  </authors>
  <commentList>
    <comment ref="C11" authorId="0">
      <text>
        <t>LW Q1 FY26 earnings release Ex.99.1 (sec.gov lw-20250824x8kxexx9911q26.htm, 2025-09-30) | Consolidated Statements of Earnings | 1,316.9</t>
      </text>
    </comment>
    <comment ref="D11" authorId="0">
      <text>
        <t>LW Q2 FY26 earnings release Ex.99.1 (investors.lambweston.com static-files/f4d3c7be, 2025-12-19) | Consolidated Statements of Earnings | 1,293.8</t>
      </text>
    </comment>
    <comment ref="E11" authorId="0">
      <text>
        <t>LW Q3 FY26 earnings release Ex.99.1 (investors.lambweston.com static-files/9f03ff19, 2026-04-01) | Consolidated Statements of Earnings | 1,233.2</t>
      </text>
    </comment>
    <comment ref="F11" authorId="0">
      <text>
        <t>LW Q4/FY26 earnings release Ex.99.1 (sec.gov a-lwx20260531xexx991fy26v2.htm, 2026-07-24) | Consolidated Statements of Earnings | 1,408.7</t>
      </text>
    </comment>
    <comment ref="G11" authorId="0">
      <text>
        <t>LW Q4/FY26 earnings release Ex.99.1 (sec.gov a-lwx20260531xexx991fy26v2.htm, 2026-07-24) | Consolidated Statements of Earnings | 5,252.6</t>
      </text>
    </comment>
    <comment ref="C16" authorId="0">
      <text>
        <t>LW Q1 FY26 earnings release Ex.99.1 (sec.gov lw-20250824x8kxexx9911q26.htm, 2025-09-30) | Consolidated Statements of Earnings | 153.6</t>
      </text>
    </comment>
    <comment ref="D16" authorId="0">
      <text>
        <t>LW Q2 FY26 earnings release Ex.99.1 (investors.lambweston.com static-files/f4d3c7be, 2025-12-19) | Consolidated Statements of Earnings | 171.0</t>
      </text>
    </comment>
    <comment ref="E16" authorId="0">
      <text>
        <t>LW Q3 FY26 earnings release Ex.99.1 (investors.lambweston.com static-files/9f03ff19, 2026-04-01) | Consolidated Statements of Earnings | 156.8</t>
      </text>
    </comment>
    <comment ref="F16" authorId="0">
      <text>
        <t>LW Q4/FY26 earnings release Ex.99.1 (sec.gov a-lwx20260531xexx991fy26v2.htm, 2026-07-24) | Consolidated Statements of Earnings | 183.2</t>
      </text>
    </comment>
    <comment ref="G16" authorId="0">
      <text>
        <t>LW Q4/FY26 earnings release Ex.99.1 (sec.gov a-lwx20260531xexx991fy26v2.htm, 2026-07-24) | Consolidated Statements of Earnings | 664.6</t>
      </text>
    </comment>
    <comment ref="C20" authorId="0">
      <text>
        <t>LW Q1 FY26 earnings release Ex.99.1 (sec.gov lw-20250824x8kxexx9911q26.htm, 2025-09-30) | Consolidated Statements of Earnings | 32.3</t>
      </text>
    </comment>
    <comment ref="D20" authorId="0">
      <text>
        <t>LW Q2 FY26 earnings release Ex.99.1 (investors.lambweston.com static-files/f4d3c7be, 2025-12-19) | Consolidated Statements of Earnings | 14.1</t>
      </text>
    </comment>
    <comment ref="E20" authorId="0">
      <text>
        <t>LW Q3 FY26 earnings release Ex.99.1 (investors.lambweston.com static-files/9f03ff19, 2026-04-01) | Consolidated Statements of Earnings | 48.2</t>
      </text>
    </comment>
    <comment ref="F20" authorId="0">
      <text>
        <t>LW Q4/FY26 earnings release Ex.99.1 (sec.gov a-lwx20260531xexx991fy26v2.htm, 2026-07-24) | Consolidated Statements of Earnings | 9.4</t>
      </text>
    </comment>
    <comment ref="G20" authorId="0">
      <text>
        <t>LW Q4/FY26 earnings release Ex.99.1 (sec.gov a-lwx20260531xexx991fy26v2.htm, 2026-07-24) | Consolidated Statements of Earnings | 104.0</t>
      </text>
    </comment>
    <comment ref="C25" authorId="0">
      <text>
        <t>LW Q1 FY26 earnings release Ex.99.1 (sec.gov lw-20250824x8kxexx9911q26.htm, 2025-09-30) | Consolidated Statements of Earnings | 43.7</t>
      </text>
    </comment>
    <comment ref="D25" authorId="0">
      <text>
        <t>LW Q2 FY26 earnings release Ex.99.1 (investors.lambweston.com static-files/f4d3c7be, 2025-12-19) | Consolidated Statements of Earnings | 44.3</t>
      </text>
    </comment>
    <comment ref="E25" authorId="0">
      <text>
        <t>LW Q3 FY26 earnings release Ex.99.1 (investors.lambweston.com static-files/9f03ff19, 2026-04-01) | Consolidated Statements of Earnings | 45.0</t>
      </text>
    </comment>
    <comment ref="F25" authorId="0">
      <text>
        <t>LW Q4/FY26 earnings release Ex.99.1 (sec.gov a-lwx20260531xexx991fy26v2.htm, 2026-07-24) | Consolidated Statements of Earnings | 47.5</t>
      </text>
    </comment>
    <comment ref="G25" authorId="0">
      <text>
        <t>LW Q4/FY26 earnings release Ex.99.1 (sec.gov a-lwx20260531xexx991fy26v2.htm, 2026-07-24) | Consolidated Statements of Earnings | 180.5</t>
      </text>
    </comment>
    <comment ref="C29" authorId="0">
      <text>
        <t>LW Q1 FY26 earnings release Ex.99.1 (sec.gov lw-20250824x8kxexx9911q26.htm, 2025-09-30) | Consolidated Statements of Earnings | 47.9</t>
      </text>
    </comment>
    <comment ref="D29" authorId="0">
      <text>
        <t>LW Q2 FY26 earnings release Ex.99.1 (investors.lambweston.com static-files/f4d3c7be, 2025-12-19) | Consolidated Statements of Earnings | 36.0</t>
      </text>
    </comment>
    <comment ref="E29" authorId="0">
      <text>
        <t>LW Q3 FY26 earnings release Ex.99.1 (investors.lambweston.com static-files/9f03ff19, 2026-04-01) | Consolidated Statements of Earnings | 30.3</t>
      </text>
    </comment>
    <comment ref="F29" authorId="0">
      <text>
        <t>LW Q4/FY26 earnings release Ex.99.1 (sec.gov a-lwx20260531xexx991fy26v2.htm, 2026-07-24) | Consolidated Statements of Earnings | 13.9</t>
      </text>
    </comment>
    <comment ref="G29" authorId="0">
      <text>
        <t>LW Q4/FY26 earnings release Ex.99.1 (sec.gov a-lwx20260531xexx991fy26v2.htm, 2026-07-24) | Consolidated Statements of Earnings | 128.1</t>
      </text>
    </comment>
    <comment ref="C33" authorId="0">
      <text>
        <t>LW Q1 FY26 earnings release Ex.99.1 (sec.gov lw-20250824x8kxexx9911q26.htm, 2025-09-30) | Consolidated Statements of Earnings | (0.6)</t>
      </text>
    </comment>
    <comment ref="D33" authorId="0">
      <text>
        <t>LW Q2 FY26 earnings release Ex.99.1 (investors.lambweston.com static-files/f4d3c7be, 2025-12-19) | Consolidated Statements of Earnings | 3.2</t>
      </text>
    </comment>
    <comment ref="E33" authorId="0">
      <text>
        <t>LW Q3 FY26 earnings release Ex.99.1 (investors.lambweston.com static-files/9f03ff19, 2026-04-01) | Consolidated Statements of Earnings | 2.7</t>
      </text>
    </comment>
    <comment ref="F33" authorId="0">
      <text>
        <t>LW Q4/FY26 earnings release Ex.99.1 (sec.gov a-lwx20260531xexx991fy26v2.htm, 2026-07-24) | Consolidated Statements of Earnings | 2.2</t>
      </text>
    </comment>
    <comment ref="G33" authorId="0">
      <text>
        <t>LW Q4/FY26 earnings release Ex.99.1 (sec.gov a-lwx20260531xexx991fy26v2.htm, 2026-07-24) | Consolidated Statements of Earnings | 7.5</t>
      </text>
    </comment>
    <comment ref="C38" authorId="0">
      <text>
        <t>LW Q1 FY26 earnings release Ex.99.1 (sec.gov lw-20250824x8kxexx9911q26.htm, 2025-09-30) | Consolidated Statements of Earnings (comparative column) | 127.4</t>
      </text>
    </comment>
    <comment ref="D38" authorId="0">
      <text>
        <t>LW Q2 FY26 earnings release Ex.99.1 (investors.lambweston.com static-files/f4d3c7be, 2025-12-19) | Consolidated Statements of Earnings (comparative column) | (36.1)</t>
      </text>
    </comment>
    <comment ref="E38" authorId="0">
      <text>
        <t>LW Q3 FY26 earnings release Ex.99.1 (investors.lambweston.com static-files/9f03ff19, 2026-04-01) | Consolidated Statements of Earnings (comparative column) | 146.0</t>
      </text>
    </comment>
    <comment ref="F38" authorId="0">
      <text>
        <t>LW Q4/FY26 earnings release Ex.99.1 (sec.gov a-lwx20260531xexx991fy26v2.htm, 2026-07-24) | Consolidated Statements of Earnings (comparative column) | 119.9</t>
      </text>
    </comment>
    <comment ref="G38" authorId="0">
      <text>
        <t>LW Q4/FY26 earnings release Ex.99.1 (sec.gov a-lwx20260531xexx991fy26v2.htm, 2026-07-24) | Consolidated Statements of Earnings (comparative column) | 357.2</t>
      </text>
    </comment>
    <comment ref="G47" authorId="0">
      <text>
        <t>LW Q4/FY26 earnings release Ex.99.1 (sec.gov a-lwx20260531xexx991fy26v2.htm, 2026-07-24) | Consolidated Statements of Earnings | $2.08</t>
      </text>
    </comment>
    <comment ref="C48" authorId="0">
      <text>
        <t>LW Q1 FY26 earnings release Ex.99.1 (sec.gov lw-20250824x8kxexx9911q26.htm, 2025-09-30) | Consolidated Statements of Earnings (comparative column) | $0.88</t>
      </text>
    </comment>
    <comment ref="D48" authorId="0">
      <text>
        <t>LW Q2 FY26 earnings release Ex.99.1 (investors.lambweston.com static-files/f4d3c7be, 2025-12-19) | Consolidated Statements of Earnings (comparative column) | ($0.25)</t>
      </text>
    </comment>
    <comment ref="E48" authorId="0">
      <text>
        <t>LW Q3 FY26 earnings release Ex.99.1 (investors.lambweston.com static-files/9f03ff19, 2026-04-01) | Consolidated Statements of Earnings (comparative column) | $1.03</t>
      </text>
    </comment>
    <comment ref="F48" authorId="0">
      <text>
        <t>LW Q4/FY26 earnings release Ex.99.1 (sec.gov a-lwx20260531xexx991fy26v2.htm, 2026-07-24) | Consolidated Statements of Earnings (comparative column) | $0.85</t>
      </text>
    </comment>
    <comment ref="G48" authorId="0">
      <text>
        <t>LW Q4/FY26 earnings release Ex.99.1 (sec.gov a-lwx20260531xexx991fy26v2.htm, 2026-07-24) | Consolidated Statements of Earnings (comparative column) | $2.50</t>
      </text>
    </comment>
    <comment ref="C53" authorId="0">
      <text>
        <t>LW Q1 FY26 earnings release Ex.99.1 (sec.gov lw-20250824x8kxexx9911q26.htm, 2025-09-30) | Reconciliation of Non-GAAP Financial Measures | (4.9)</t>
      </text>
    </comment>
    <comment ref="D53" authorId="0">
      <text>
        <t>LW Q2 FY26 earnings release Ex.99.1 (investors.lambweston.com static-files/f4d3c7be, 2025-12-19) | Reconciliation of Non-GAAP Financial Measures | 12.1</t>
      </text>
    </comment>
    <comment ref="E53" authorId="0">
      <text>
        <t>LW Q3 FY26 earnings release Ex.99.1 (investors.lambweston.com static-files/9f03ff19, 2026-04-01) | Reconciliation of Non-GAAP Financial Measures | (11.0)</t>
      </text>
    </comment>
    <comment ref="F53" authorId="0">
      <text>
        <t>LW Q4/FY26 earnings release Ex.99.1 (sec.gov a-lwx20260531xexx991fy26v2.htm, 2026-07-24) | Reconciliation of Non-GAAP Financial Measures | (16.3)</t>
      </text>
    </comment>
    <comment ref="G53" authorId="0">
      <text>
        <t>LW Q4/FY26 earnings release Ex.99.1 (sec.gov a-lwx20260531xexx991fy26v2.htm, 2026-07-24) | Reconciliation of Non-GAAP Financial Measures | (20.1)</t>
      </text>
    </comment>
    <comment ref="C54" authorId="0">
      <text>
        <t>LW Q1 FY26 earnings release Ex.99.1 (sec.gov lw-20250824x8kxexx9911q26.htm, 2025-09-30) | Reconciliation of Non-GAAP Financial Measures | (4.7)</t>
      </text>
    </comment>
    <comment ref="D54" authorId="0">
      <text>
        <t>LW Q2 FY26 earnings release Ex.99.1 (investors.lambweston.com static-files/f4d3c7be, 2025-12-19) | Reconciliation of Non-GAAP Financial Measures | 6.8</t>
      </text>
    </comment>
    <comment ref="E54" authorId="0">
      <text>
        <t>LW Q3 FY26 earnings release Ex.99.1 (investors.lambweston.com static-files/9f03ff19, 2026-04-01) | Reconciliation of Non-GAAP Financial Measures | (11.5)</t>
      </text>
    </comment>
    <comment ref="F54" authorId="0">
      <text>
        <t>LW Q4/FY26 earnings release Ex.99.1 (sec.gov a-lwx20260531xexx991fy26v2.htm, 2026-07-24) | Reconciliation of Non-GAAP Financial Measures | 1.2</t>
      </text>
    </comment>
    <comment ref="G54" authorId="0">
      <text>
        <t>LW Q4/FY26 earnings release Ex.99.1 (sec.gov a-lwx20260531xexx991fy26v2.htm, 2026-07-24) | Reconciliation of Non-GAAP Financial Measures | (8.2)</t>
      </text>
    </comment>
    <comment ref="C55" authorId="0">
      <text>
        <t>LW Q1 FY26 earnings release Ex.99.1 (sec.gov lw-20250824x8kxexx9911q26.htm, 2025-09-30) | Reconciliation of Non-GAAP Financial Measures | —</t>
      </text>
    </comment>
    <comment ref="D55" authorId="0">
      <text>
        <t>LW Q2 FY26 earnings release Ex.99.1 (investors.lambweston.com static-files/f4d3c7be, 2025-12-19) | Reconciliation of Non-GAAP Financial Measures | —</t>
      </text>
    </comment>
    <comment ref="E55" authorId="0">
      <text>
        <t>LW Q3 FY26 earnings release Ex.99.1 (investors.lambweston.com static-files/9f03ff19, 2026-04-01) | Reconciliation of Non-GAAP Financial Measures | —</t>
      </text>
    </comment>
    <comment ref="F55" authorId="0">
      <text>
        <t>LW Q4/FY26 earnings release Ex.99.1 (sec.gov a-lwx20260531xexx991fy26v2.htm, 2026-07-24) | Reconciliation of Non-GAAP Financial Measures | —</t>
      </text>
    </comment>
    <comment ref="G55" authorId="0">
      <text>
        <t>LW Q4/FY26 earnings release Ex.99.1 (sec.gov a-lwx20260531xexx991fy26v2.htm, 2026-07-24) | Reconciliation of Non-GAAP Financial Measures | —</t>
      </text>
    </comment>
    <comment ref="C56" authorId="0">
      <text>
        <t>LW Q1 FY26 earnings release Ex.99.1 (sec.gov lw-20250824x8kxexx9911q26.htm, 2025-09-30) | Reconciliation of Non-GAAP Financial Measures | 10.6</t>
      </text>
    </comment>
    <comment ref="D56" authorId="0">
      <text>
        <t>LW Q2 FY26 earnings release Ex.99.1 (investors.lambweston.com static-files/f4d3c7be, 2025-12-19) | Reconciliation of Non-GAAP Financial Measures | 9.5</t>
      </text>
    </comment>
    <comment ref="E56" authorId="0">
      <text>
        <t>LW Q3 FY26 earnings release Ex.99.1 (investors.lambweston.com static-files/9f03ff19, 2026-04-01) | Reconciliation of Non-GAAP Financial Measures | 10.5</t>
      </text>
    </comment>
    <comment ref="F56" authorId="0">
      <text>
        <t>LW Q4/FY26 earnings release Ex.99.1 (sec.gov a-lwx20260531xexx991fy26v2.htm, 2026-07-24) | Reconciliation of Non-GAAP Financial Measures | 15.6</t>
      </text>
    </comment>
    <comment ref="G56" authorId="0">
      <text>
        <t>LW Q4/FY26 earnings release Ex.99.1 (sec.gov a-lwx20260531xexx991fy26v2.htm, 2026-07-24) | Reconciliation of Non-GAAP Financial Measures | 46.2</t>
      </text>
    </comment>
    <comment ref="C59" authorId="0">
      <text>
        <t>LW Q1 FY26 earnings release Ex.99.1 (sec.gov lw-20250824x8kxexx9911q26.htm, 2025-09-30) | Reconciliation of Non-GAAP Financial Measures | 31.9</t>
      </text>
    </comment>
    <comment ref="D59" authorId="0">
      <text>
        <t>LW Q2 FY26 earnings release Ex.99.1 (investors.lambweston.com static-files/f4d3c7be, 2025-12-19) | Reconciliation of Non-GAAP Financial Measures | 14.1</t>
      </text>
    </comment>
    <comment ref="E59" authorId="0">
      <text>
        <t>LW Q3 FY26 earnings release Ex.99.1 (investors.lambweston.com static-files/9f03ff19, 2026-04-01) | Reconciliation of Non-GAAP Financial Measures | 55.5</t>
      </text>
    </comment>
    <comment ref="F59" authorId="0">
      <text>
        <t>LW Q4/FY26 earnings release Ex.99.1 (sec.gov a-lwx20260531xexx991fy26v2.htm, 2026-07-24) | Reconciliation of Non-GAAP Financial Measures | 10.1</t>
      </text>
    </comment>
    <comment ref="G59" authorId="0">
      <text>
        <t>LW Q4/FY26 earnings release Ex.99.1 (sec.gov a-lwx20260531xexx991fy26v2.htm, 2026-07-24) | Reconciliation of Non-GAAP Financial Measures | 111.6</t>
      </text>
    </comment>
    <comment ref="C62" authorId="0">
      <text>
        <t>LW Q1 FY26 earnings release Ex.99.1 (sec.gov lw-20250824x8kxexx9911q26.htm, 2025-09-30) | Reconciliation of Non-GAAP Financial Measures | 4.0</t>
      </text>
    </comment>
    <comment ref="D62" authorId="0">
      <text>
        <t>LW Q2 FY26 earnings release Ex.99.1 (investors.lambweston.com static-files/f4d3c7be, 2025-12-19) | Reconciliation of Non-GAAP Financial Measures | —</t>
      </text>
    </comment>
    <comment ref="E62" authorId="0">
      <text>
        <t>LW Q3 FY26 earnings release Ex.99.1 (investors.lambweston.com static-files/9f03ff19, 2026-04-01) | Reconciliation of Non-GAAP Financial Measures | —</t>
      </text>
    </comment>
    <comment ref="F62" authorId="0">
      <text>
        <t>LW Q4/FY26 earnings release Ex.99.1 (sec.gov a-lwx20260531xexx991fy26v2.htm, 2026-07-24) | Reconciliation of Non-GAAP Financial Measures | —</t>
      </text>
    </comment>
    <comment ref="G62" authorId="0">
      <text>
        <t>LW Q4/FY26 earnings release Ex.99.1 (sec.gov a-lwx20260531xexx991fy26v2.htm, 2026-07-24) | Reconciliation of Non-GAAP Financial Measures | 4.0</t>
      </text>
    </comment>
    <comment ref="C63" authorId="0">
      <text>
        <t>LW Q1 FY26 earnings release Ex.99.1 (sec.gov lw-20250824x8kxexx9911q26.htm, 2025-09-30) | Reconciliation of Non-GAAP Financial Measures | 13.1</t>
      </text>
    </comment>
    <comment ref="D63" authorId="0">
      <text>
        <t>LW Q2 FY26 earnings release Ex.99.1 (investors.lambweston.com static-files/f4d3c7be, 2025-12-19) | Reconciliation of Non-GAAP Financial Measures | 1.1</t>
      </text>
    </comment>
    <comment ref="E63" authorId="0">
      <text>
        <t>LW Q3 FY26 earnings release Ex.99.1 (investors.lambweston.com static-files/9f03ff19, 2026-04-01) | Reconciliation of Non-GAAP Financial Measures | —</t>
      </text>
    </comment>
    <comment ref="F63" authorId="0">
      <text>
        <t>LW Q4/FY26 earnings release Ex.99.1 (sec.gov a-lwx20260531xexx991fy26v2.htm, 2026-07-24) | Reconciliation of Non-GAAP Financial Measures | —</t>
      </text>
    </comment>
    <comment ref="G63" authorId="0">
      <text>
        <t>LW Q4/FY26 earnings release Ex.99.1 (sec.gov a-lwx20260531xexx991fy26v2.htm, 2026-07-24) | Reconciliation of Non-GAAP Financial Measures | 14.2</t>
      </text>
    </comment>
    <comment ref="C66" authorId="0">
      <text>
        <t>LW Q1 FY26 earnings release Ex.99.1 (sec.gov lw-20250824x8kxexx9911q26.htm, 2025-09-30) | Reconciliation of Non-GAAP Financial Measures | (1.1)</t>
      </text>
    </comment>
    <comment ref="D66" authorId="0">
      <text>
        <t>LW Q2 FY26 earnings release Ex.99.1 (investors.lambweston.com static-files/f4d3c7be, 2025-12-19) | Reconciliation of Non-GAAP Financial Measures | 3.0</t>
      </text>
    </comment>
    <comment ref="E66" authorId="0">
      <text>
        <t>LW Q3 FY26 earnings release Ex.99.1 (investors.lambweston.com static-files/9f03ff19, 2026-04-01) | Reconciliation of Non-GAAP Financial Measures | (2.7)</t>
      </text>
    </comment>
    <comment ref="F66" authorId="0">
      <text>
        <t>LW Q4/FY26 earnings release Ex.99.1 (sec.gov a-lwx20260531xexx991fy26v2.htm, 2026-07-24) | Reconciliation of Non-GAAP Financial Measures | (4.1)</t>
      </text>
    </comment>
    <comment ref="G66" authorId="0">
      <text>
        <t>LW Q4/FY26 earnings release Ex.99.1 (sec.gov a-lwx20260531xexx991fy26v2.htm, 2026-07-24) | Reconciliation of Non-GAAP Financial Measures | (4.9)</t>
      </text>
    </comment>
    <comment ref="C67" authorId="0">
      <text>
        <t>LW Q1 FY26 earnings release Ex.99.1 (sec.gov lw-20250824x8kxexx9911q26.htm, 2025-09-30) | Reconciliation of Non-GAAP Financial Measures | (0.8)</t>
      </text>
    </comment>
    <comment ref="D67" authorId="0">
      <text>
        <t>LW Q2 FY26 earnings release Ex.99.1 (investors.lambweston.com static-files/f4d3c7be, 2025-12-19) | Reconciliation of Non-GAAP Financial Measures | 0.9</t>
      </text>
    </comment>
    <comment ref="E67" authorId="0">
      <text>
        <t>LW Q3 FY26 earnings release Ex.99.1 (investors.lambweston.com static-files/9f03ff19, 2026-04-01) | Reconciliation of Non-GAAP Financial Measures | (2.9)</t>
      </text>
    </comment>
    <comment ref="F67" authorId="0">
      <text>
        <t>LW Q4/FY26 earnings release Ex.99.1 (sec.gov a-lwx20260531xexx991fy26v2.htm, 2026-07-24) | Reconciliation of Non-GAAP Financial Measures | 0.3</t>
      </text>
    </comment>
    <comment ref="G67" authorId="0">
      <text>
        <t>LW Q4/FY26 earnings release Ex.99.1 (sec.gov a-lwx20260531xexx991fy26v2.htm, 2026-07-24) | Reconciliation of Non-GAAP Financial Measures | (2.5)</t>
      </text>
    </comment>
    <comment ref="C68" authorId="0">
      <text>
        <t>LW Q1 FY26 earnings release Ex.99.1 (sec.gov lw-20250824x8kxexx9911q26.htm, 2025-09-30) | Reconciliation of Non-GAAP Financial Measures | —</t>
      </text>
    </comment>
    <comment ref="D68" authorId="0">
      <text>
        <t>LW Q2 FY26 earnings release Ex.99.1 (investors.lambweston.com static-files/f4d3c7be, 2025-12-19) | Reconciliation of Non-GAAP Financial Measures | —</t>
      </text>
    </comment>
    <comment ref="E68" authorId="0">
      <text>
        <t>LW Q3 FY26 earnings release Ex.99.1 (investors.lambweston.com static-files/9f03ff19, 2026-04-01) | Reconciliation of Non-GAAP Financial Measures | —</t>
      </text>
    </comment>
    <comment ref="F68" authorId="0">
      <text>
        <t>LW Q4/FY26 earnings release Ex.99.1 (sec.gov a-lwx20260531xexx991fy26v2.htm, 2026-07-24) | Reconciliation of Non-GAAP Financial Measures | —</t>
      </text>
    </comment>
    <comment ref="G68" authorId="0">
      <text>
        <t>LW Q4/FY26 earnings release Ex.99.1 (sec.gov a-lwx20260531xexx991fy26v2.htm, 2026-07-24) | Reconciliation of Non-GAAP Financial Measures | —</t>
      </text>
    </comment>
    <comment ref="C69" authorId="0">
      <text>
        <t>LW Q1 FY26 earnings release Ex.99.1 (sec.gov lw-20250824x8kxexx9911q26.htm, 2025-09-30) | Reconciliation of Non-GAAP Financial Measures | 1.6</t>
      </text>
    </comment>
    <comment ref="D69" authorId="0">
      <text>
        <t>LW Q2 FY26 earnings release Ex.99.1 (investors.lambweston.com static-files/f4d3c7be, 2025-12-19) | Reconciliation of Non-GAAP Financial Measures | 1.6</t>
      </text>
    </comment>
    <comment ref="E69" authorId="0">
      <text>
        <t>LW Q3 FY26 earnings release Ex.99.1 (investors.lambweston.com static-files/9f03ff19, 2026-04-01) | Reconciliation of Non-GAAP Financial Measures | 1.8</t>
      </text>
    </comment>
    <comment ref="F69" authorId="0">
      <text>
        <t>LW Q4/FY26 earnings release Ex.99.1 (sec.gov a-lwx20260531xexx991fy26v2.htm, 2026-07-24) | Reconciliation of Non-GAAP Financial Measures | 2.7</t>
      </text>
    </comment>
    <comment ref="G69" authorId="0">
      <text>
        <t>LW Q4/FY26 earnings release Ex.99.1 (sec.gov a-lwx20260531xexx991fy26v2.htm, 2026-07-24) | Reconciliation of Non-GAAP Financial Measures | 7.7</t>
      </text>
    </comment>
    <comment ref="C72" authorId="0">
      <text>
        <t>LW Q1 FY26 earnings release Ex.99.1 (sec.gov lw-20250824x8kxexx9911q26.htm, 2025-09-30) | Reconciliation of Non-GAAP Financial Measures | 7.7</t>
      </text>
    </comment>
    <comment ref="D72" authorId="0">
      <text>
        <t>LW Q2 FY26 earnings release Ex.99.1 (investors.lambweston.com static-files/f4d3c7be, 2025-12-19) | Reconciliation of Non-GAAP Financial Measures | 3.3</t>
      </text>
    </comment>
    <comment ref="E72" authorId="0">
      <text>
        <t>LW Q3 FY26 earnings release Ex.99.1 (investors.lambweston.com static-files/9f03ff19, 2026-04-01) | Reconciliation of Non-GAAP Financial Measures | 1.3</t>
      </text>
    </comment>
    <comment ref="F72" authorId="0">
      <text>
        <t>LW Q4/FY26 earnings release Ex.99.1 (sec.gov a-lwx20260531xexx991fy26v2.htm, 2026-07-24) | Reconciliation of Non-GAAP Financial Measures | 1.2</t>
      </text>
    </comment>
    <comment ref="G72" authorId="0">
      <text>
        <t>LW Q4/FY26 earnings release Ex.99.1 (sec.gov a-lwx20260531xexx991fy26v2.htm, 2026-07-24) | Reconciliation of Non-GAAP Financial Measures | 13.5</t>
      </text>
    </comment>
    <comment ref="C75" authorId="0">
      <text>
        <t>LW Q1 FY26 earnings release Ex.99.1 (sec.gov lw-20250824x8kxexx9911q26.htm, 2025-09-30) | Reconciliation of Non-GAAP Financial Measures | 0.9</t>
      </text>
    </comment>
    <comment ref="D75" authorId="0">
      <text>
        <t>LW Q2 FY26 earnings release Ex.99.1 (investors.lambweston.com static-files/f4d3c7be, 2025-12-19) | Reconciliation of Non-GAAP Financial Measures | —</t>
      </text>
    </comment>
    <comment ref="E75" authorId="0">
      <text>
        <t>LW Q3 FY26 earnings release Ex.99.1 (investors.lambweston.com static-files/9f03ff19, 2026-04-01) | Reconciliation of Non-GAAP Financial Measures | —</t>
      </text>
    </comment>
    <comment ref="F75" authorId="0">
      <text>
        <t>LW Q4/FY26 earnings release Ex.99.1 (sec.gov a-lwx20260531xexx991fy26v2.htm, 2026-07-24) | Reconciliation of Non-GAAP Financial Measures | —</t>
      </text>
    </comment>
    <comment ref="G75" authorId="0">
      <text>
        <t>LW Q4/FY26 earnings release Ex.99.1 (sec.gov a-lwx20260531xexx991fy26v2.htm, 2026-07-24) | Reconciliation of Non-GAAP Financial Measures | 0.9</t>
      </text>
    </comment>
    <comment ref="C76" authorId="0">
      <text>
        <t>LW Q1 FY26 earnings release Ex.99.1 (sec.gov lw-20250824x8kxexx9911q26.htm, 2025-09-30) | Reconciliation of Non-GAAP Financial Measures | 3.0</t>
      </text>
    </comment>
    <comment ref="D76" authorId="0">
      <text>
        <t>LW Q2 FY26 earnings release Ex.99.1 (investors.lambweston.com static-files/f4d3c7be, 2025-12-19) | Reconciliation of Non-GAAP Financial Measures | 0.2</t>
      </text>
    </comment>
    <comment ref="E76" authorId="0">
      <text>
        <t>LW Q3 FY26 earnings release Ex.99.1 (investors.lambweston.com static-files/9f03ff19, 2026-04-01) | Reconciliation of Non-GAAP Financial Measures | —</t>
      </text>
    </comment>
    <comment ref="F76" authorId="0">
      <text>
        <t>LW Q4/FY26 earnings release Ex.99.1 (sec.gov a-lwx20260531xexx991fy26v2.htm, 2026-07-24) | Reconciliation of Non-GAAP Financial Measures | —</t>
      </text>
    </comment>
    <comment ref="G76" authorId="0">
      <text>
        <t>LW Q4/FY26 earnings release Ex.99.1 (sec.gov a-lwx20260531xexx991fy26v2.htm, 2026-07-24) | Reconciliation of Non-GAAP Financial Measures | 3.2</t>
      </text>
    </comment>
    <comment ref="C100" authorId="0">
      <text>
        <t>LW Q1 FY26 earnings release Ex.99.1 (sec.gov lw-20250824x8kxexx9911q26.htm, 2025-09-30) | Reconciliation of Non-GAAP Financial Measures | 338.9</t>
      </text>
    </comment>
    <comment ref="D100" authorId="0">
      <text>
        <t>LW Q2 FY26 earnings release Ex.99.1 (investors.lambweston.com static-files/f4d3c7be, 2025-12-19) | Reconciliation of Non-GAAP Financial Measures | 327.9</t>
      </text>
    </comment>
    <comment ref="E100" authorId="0">
      <text>
        <t>LW Q3 FY26 earnings release Ex.99.1 (investors.lambweston.com static-files/9f03ff19, 2026-04-01) | Reconciliation of Non-GAAP Financial Measures | 327.5</t>
      </text>
    </comment>
    <comment ref="F100" authorId="0">
      <text>
        <t>LW Q4/FY26 earnings release Ex.99.1 (sec.gov a-lwx20260531xexx991fy26v2.htm, 2026-07-24) | Reconciliation of Non-GAAP Financial Measures | 342.9</t>
      </text>
    </comment>
    <comment ref="G100" authorId="0">
      <text>
        <t>LW Q4/FY26 earnings release Ex.99.1 (sec.gov a-lwx20260531xexx991fy26v2.htm, 2026-07-24) | Reconciliation of Non-GAAP Financial Measures | 1,337.2</t>
      </text>
    </comment>
    <comment ref="C107" authorId="0">
      <text>
        <t>LW Q1 FY26 earnings release Ex.99.1 (sec.gov lw-20250824x8kxexx9911q26.htm, 2025-09-30) | Reconciliation of Non-GAAP Financial Measures | 132.4</t>
      </text>
    </comment>
    <comment ref="D107" authorId="0">
      <text>
        <t>LW Q2 FY26 earnings release Ex.99.1 (investors.lambweston.com static-files/f4d3c7be, 2025-12-19) | Reconciliation of Non-GAAP Financial Measures | 145.1</t>
      </text>
    </comment>
    <comment ref="E107" authorId="0">
      <text>
        <t>LW Q3 FY26 earnings release Ex.99.1 (investors.lambweston.com static-files/9f03ff19, 2026-04-01) | Reconciliation of Non-GAAP Financial Measures | 157.4</t>
      </text>
    </comment>
    <comment ref="F107" authorId="0">
      <text>
        <t>LW Q4/FY26 earnings release Ex.99.1 (sec.gov a-lwx20260531xexx991fy26v2.htm, 2026-07-24) | Reconciliation of Non-GAAP Financial Measures | 163.5</t>
      </text>
    </comment>
    <comment ref="G107" authorId="0">
      <text>
        <t>LW Q4/FY26 earnings release Ex.99.1 (sec.gov a-lwx20260531xexx991fy26v2.htm, 2026-07-24) | Reconciliation of Non-GAAP Financial Measures | 598.4</t>
      </text>
    </comment>
    <comment ref="C126" authorId="0">
      <text>
        <t>LW Q1 FY26 earnings release Ex.99.1 (sec.gov lw-20250824x8kxexx9911q26.htm, 2025-09-30) | Reconciliation of Non-GAAP Financial Measures | 59.2</t>
      </text>
    </comment>
    <comment ref="D126" authorId="0">
      <text>
        <t>LW Q2 FY26 earnings release Ex.99.1 (investors.lambweston.com static-files/f4d3c7be, 2025-12-19) | Reconciliation of Non-GAAP Financial Measures | 45.0</t>
      </text>
    </comment>
    <comment ref="E126" authorId="0">
      <text>
        <t>LW Q3 FY26 earnings release Ex.99.1 (investors.lambweston.com static-files/9f03ff19, 2026-04-01) | Reconciliation of Non-GAAP Financial Measures | 27.8</t>
      </text>
    </comment>
    <comment ref="F126" authorId="0">
      <text>
        <t>LW Q4/FY26 earnings release Ex.99.1 (sec.gov a-lwx20260531xexx991fy26v2.htm, 2026-07-24) | Reconciliation of Non-GAAP Financial Measures | 14.0</t>
      </text>
    </comment>
    <comment ref="G126" authorId="0">
      <text>
        <t>LW Q4/FY26 earnings release Ex.99.1 (sec.gov a-lwx20260531xexx991fy26v2.htm, 2026-07-24) | Reconciliation of Non-GAAP Financial Measures | 146.0</t>
      </text>
    </comment>
    <comment ref="C131" authorId="0">
      <text>
        <t>LW Q1 FY26 earnings release Ex.99.1 (sec.gov lw-20250824x8kxexx9911q26.htm, 2025-09-30) | Reconciliation of Non-GAAP Financial Measures | 103.0</t>
      </text>
    </comment>
    <comment ref="D131" authorId="0">
      <text>
        <t>LW Q2 FY26 earnings release Ex.99.1 (investors.lambweston.com static-files/f4d3c7be, 2025-12-19) | Reconciliation of Non-GAAP Financial Measures | 96.7</t>
      </text>
    </comment>
    <comment ref="E131" authorId="0">
      <text>
        <t>LW Q3 FY26 earnings release Ex.99.1 (investors.lambweston.com static-files/9f03ff19, 2026-04-01) | Reconciliation of Non-GAAP Financial Measures | 100.0</t>
      </text>
    </comment>
    <comment ref="F131" authorId="0">
      <text>
        <t>LW Q4/FY26 earnings release Ex.99.1 (sec.gov a-lwx20260531xexx991fy26v2.htm, 2026-07-24) | Reconciliation of Non-GAAP Financial Measures | 120.1</t>
      </text>
    </comment>
    <comment ref="G131" authorId="0">
      <text>
        <t>LW Q4/FY26 earnings release Ex.99.1 (sec.gov a-lwx20260531xexx991fy26v2.htm, 2026-07-24) | Reconciliation of Non-GAAP Financial Measures | 419.8</t>
      </text>
    </comment>
    <comment ref="G134" authorId="0">
      <text>
        <t>LW Q4/FY26 earnings release Ex.99.1 (sec.gov a-lwx20260531xexx991fy26v2.htm, 2026-07-24) | Reconciliation of Non-GAAP Financial Measures | $3.01</t>
      </text>
    </comment>
    <comment ref="C136" authorId="0">
      <text>
        <t>LW Q1 FY26 earnings release Ex.99.1 (sec.gov lw-20250824x8kxexx9911q26.htm, 2025-09-30) | Reconciliation of Non-GAAP Financial Measures (comparative) | $0.78</t>
      </text>
    </comment>
    <comment ref="D136" authorId="0">
      <text>
        <t>LW Q2 FY26 earnings release Ex.99.1 (investors.lambweston.com static-files/f4d3c7be, 2025-12-19) | Reconciliation of Non-GAAP Financial Measures (comparative) | $0.73</t>
      </text>
    </comment>
    <comment ref="E136" authorId="0">
      <text>
        <t>LW Q3 FY26 earnings release Ex.99.1 (investors.lambweston.com static-files/9f03ff19, 2026-04-01) | Reconciliation of Non-GAAP Financial Measures (comparative) | $1.15</t>
      </text>
    </comment>
    <comment ref="F136" authorId="0">
      <text>
        <t>LW Q4/FY26 earnings release Ex.99.1 (sec.gov a-lwx20260531xexx991fy26v2.htm, 2026-07-24) | Reconciliation of Non-GAAP Financial Measures (comparative) | $0.92</t>
      </text>
    </comment>
    <comment ref="G136" authorId="0">
      <text>
        <t>LW Q4/FY26 earnings release Ex.99.1 (sec.gov a-lwx20260531xexx991fy26v2.htm, 2026-07-24) | Reconciliation of Non-GAAP Financial Measures (comparative) | $3.58</t>
      </text>
    </comment>
    <comment ref="C144" authorId="0">
      <text>
        <t>LW Q1 FY26 earnings release Ex.99.1 (sec.gov lw-20250824x8kxexx9911q26.htm, 2025-09-30) | Reconciliation of Non-GAAP Financial Measures | (15.0)</t>
      </text>
    </comment>
    <comment ref="D144" authorId="0">
      <text>
        <t>LW Q2 FY26 earnings release Ex.99.1 (investors.lambweston.com static-files/f4d3c7be, 2025-12-19) | Reconciliation of Non-GAAP Financial Measures | (29.3)</t>
      </text>
    </comment>
    <comment ref="E144" authorId="0">
      <text>
        <t>LW Q3 FY26 earnings release Ex.99.1 (investors.lambweston.com static-files/9f03ff19, 2026-04-01) | Reconciliation of Non-GAAP Financial Measures | (36.6)</t>
      </text>
    </comment>
    <comment ref="F144" authorId="0">
      <text>
        <t>LW Q4/FY26 earnings release Ex.99.1 (sec.gov a-lwx20260531xexx991fy26v2.htm, 2026-07-24) | Reconciliation of Non-GAAP Financial Measures | (28.9)</t>
      </text>
    </comment>
    <comment ref="G144" authorId="0">
      <text>
        <t>LW Q4/FY26 earnings release Ex.99.1 (sec.gov a-lwx20260531xexx991fy26v2.htm, 2026-07-24) | Reconciliation of Non-GAAP Financial Measures | (109.8)</t>
      </text>
    </comment>
    <comment ref="C151" authorId="0">
      <text>
        <t>LW Q1 FY26 earnings release Ex.99.1 (sec.gov lw-20250824x8kxexx9911q26.htm, 2025-09-30) | Reconciliation of Non-GAAP Financial Measures (comparative) | 299.4</t>
      </text>
    </comment>
    <comment ref="D151" authorId="0">
      <text>
        <t>LW Q2 FY26 earnings release Ex.99.1 (investors.lambweston.com static-files/f4d3c7be, 2025-12-19) | Reconciliation of Non-GAAP Financial Measures (comparative) | 294.2</t>
      </text>
    </comment>
    <comment ref="E151" authorId="0">
      <text>
        <t>LW Q3 FY26 earnings release Ex.99.1 (investors.lambweston.com static-files/9f03ff19, 2026-04-01) | Reconciliation of Non-GAAP Financial Measures (comparative) | 373.0</t>
      </text>
    </comment>
    <comment ref="F151" authorId="0">
      <text>
        <t>LW Q4/FY26 earnings release Ex.99.1 (sec.gov a-lwx20260531xexx991fy26v2.htm, 2026-07-24) | Reconciliation of Non-GAAP Financial Measures (comparative) | 293.4</t>
      </text>
    </comment>
    <comment ref="G151" authorId="0">
      <text>
        <t>LW Q4/FY26 earnings release Ex.99.1 (sec.gov a-lwx20260531xexx991fy26v2.htm, 2026-07-24) | Reconciliation of Non-GAAP Financial Measures (comparative) | 1,260.0</t>
      </text>
    </comment>
    <comment ref="C153" authorId="0">
      <text>
        <t>LW Q1 FY26 earnings release Ex.99.1 (sec.gov lw-20250824x8kxexx9911q26.htm, 2025-09-30) | Reconciliation of Non-GAAP Financial Measures | 302.2</t>
      </text>
    </comment>
    <comment ref="D153" authorId="0">
      <text>
        <t>LW Q2 FY26 earnings release Ex.99.1 (investors.lambweston.com static-files/f4d3c7be, 2025-12-19) | Reconciliation of Non-GAAP Financial Measures | 285.7</t>
      </text>
    </comment>
    <comment ref="E153" authorId="0">
      <text>
        <t>LW Q3 FY26 earnings release Ex.99.1 (investors.lambweston.com static-files/9f03ff19, 2026-04-01) | Reconciliation of Non-GAAP Financial Measures | 271.7</t>
      </text>
    </comment>
    <comment ref="F153" authorId="0">
      <text>
        <t>LW Q4/FY26 earnings release Ex.99.1 (sec.gov a-lwx20260531xexx991fy26v2.htm, 2026-07-24) | Reconciliation of Non-GAAP Financial Measures | 287.6</t>
      </text>
    </comment>
    <comment ref="G153" authorId="0">
      <text>
        <t>LW Q4/FY26 earnings release Ex.99.1 (sec.gov a-lwx20260531xexx991fy26v2.htm, 2026-07-24) | Reconciliation of Non-GAAP Financial Measures | 1,147.2</t>
      </text>
    </comment>
    <comment ref="C154" authorId="0">
      <text>
        <t>LW Q1 FY26 earnings release Ex.99.1 (sec.gov lw-20250824x8kxexx9911q26.htm, 2025-09-30) | Reconciliation of Non-GAAP Financial Measures | 96.3</t>
      </text>
    </comment>
    <comment ref="D154" authorId="0">
      <text>
        <t>LW Q2 FY26 earnings release Ex.99.1 (investors.lambweston.com static-files/f4d3c7be, 2025-12-19) | Reconciliation of Non-GAAP Financial Measures | 99.7</t>
      </text>
    </comment>
    <comment ref="E154" authorId="0">
      <text>
        <t>LW Q3 FY26 earnings release Ex.99.1 (investors.lambweston.com static-files/9f03ff19, 2026-04-01) | Reconciliation of Non-GAAP Financial Measures | 98.9</t>
      </text>
    </comment>
    <comment ref="F154" authorId="0">
      <text>
        <t>LW Q4/FY26 earnings release Ex.99.1 (sec.gov a-lwx20260531xexx991fy26v2.htm, 2026-07-24) | Reconciliation of Non-GAAP Financial Measures | 106.0</t>
      </text>
    </comment>
    <comment ref="G154" authorId="0">
      <text>
        <t>LW Q4/FY26 earnings release Ex.99.1 (sec.gov a-lwx20260531xexx991fy26v2.htm, 2026-07-24) | Reconciliation of Non-GAAP Financial Measures | 400.9</t>
      </text>
    </comment>
  </commentList>
</comments>
</file>

<file path=xl/comments5.xml><?xml version="1.0" encoding="utf-8"?>
<comments xmlns="http://schemas.openxmlformats.org/spreadsheetml/2006/main">
  <authors>
    <author>Shortcut</author>
  </authors>
  <commentList>
    <comment ref="C9" authorId="0">
      <text>
        <t>LW Q1 FY26 earnings release Ex.99.1 (sec.gov lw-20250824x8kxexx9911q26.htm, 2025-09-30) | Consolidated Balance Sheets | 98.6</t>
      </text>
    </comment>
    <comment ref="D9" authorId="0">
      <text>
        <t>LW Q2 FY26 earnings release Ex.99.1 (investors.lambweston.com static-files/f4d3c7be, 2025-12-19) | Consolidated Balance Sheets | 82.7</t>
      </text>
    </comment>
    <comment ref="E9" authorId="0">
      <text>
        <t>LW Q3 FY26 earnings release Ex.99.1 (investors.lambweston.com static-files/9f03ff19, 2026-04-01) | Consolidated Balance Sheets | 57.5</t>
      </text>
    </comment>
    <comment ref="F9" authorId="0">
      <text>
        <t>LW Q4/FY26 earnings release Ex.99.1 (sec.gov a-lwx20260531xexx991fy26v2.htm, 2026-07-24) | Consolidated Balance Sheets | 68.2</t>
      </text>
    </comment>
    <comment ref="C10" authorId="0">
      <text>
        <t>LW Q1 FY26 earnings release Ex.99.1 (sec.gov lw-20250824x8kxexx9911q26.htm, 2025-09-30) | Consolidated Balance Sheets | 772.7</t>
      </text>
    </comment>
    <comment ref="D10" authorId="0">
      <text>
        <t>LW Q2 FY26 earnings release Ex.99.1 (investors.lambweston.com static-files/f4d3c7be, 2025-12-19) | Consolidated Balance Sheets | 742.2</t>
      </text>
    </comment>
    <comment ref="E10" authorId="0">
      <text>
        <t>LW Q3 FY26 earnings release Ex.99.1 (investors.lambweston.com static-files/9f03ff19, 2026-04-01) | Consolidated Balance Sheets | 750.5</t>
      </text>
    </comment>
    <comment ref="F10" authorId="0">
      <text>
        <t>LW Q4/FY26 earnings release Ex.99.1 (sec.gov a-lwx20260531xexx991fy26v2.htm, 2026-07-24) | Consolidated Balance Sheets | 779.1</t>
      </text>
    </comment>
    <comment ref="C11" authorId="0">
      <text>
        <t>LW Q1 FY26 earnings release Ex.99.1 (sec.gov lw-20250824x8kxexx9911q26.htm, 2025-09-30) | Consolidated Balance Sheets | 906.8</t>
      </text>
    </comment>
    <comment ref="D11" authorId="0">
      <text>
        <t>LW Q2 FY26 earnings release Ex.99.1 (investors.lambweston.com static-files/f4d3c7be, 2025-12-19) | Consolidated Balance Sheets | 1,117.8</t>
      </text>
    </comment>
    <comment ref="E11" authorId="0">
      <text>
        <t>LW Q3 FY26 earnings release Ex.99.1 (investors.lambweston.com static-files/9f03ff19, 2026-04-01) | Consolidated Balance Sheets | 1,093.6</t>
      </text>
    </comment>
    <comment ref="F11" authorId="0">
      <text>
        <t>LW Q4/FY26 earnings release Ex.99.1 (sec.gov a-lwx20260531xexx991fy26v2.htm, 2026-07-24) | Consolidated Balance Sheets | 968.5</t>
      </text>
    </comment>
    <comment ref="C12" authorId="0">
      <text>
        <t>LW Q1 FY26 earnings release Ex.99.1 (sec.gov lw-20250824x8kxexx9911q26.htm, 2025-09-30) | Consolidated Balance Sheets | 95.2</t>
      </text>
    </comment>
    <comment ref="D12" authorId="0">
      <text>
        <t>LW Q2 FY26 earnings release Ex.99.1 (investors.lambweston.com static-files/f4d3c7be, 2025-12-19) | Consolidated Balance Sheets | 68.3</t>
      </text>
    </comment>
    <comment ref="E12" authorId="0">
      <text>
        <t>LW Q3 FY26 earnings release Ex.99.1 (investors.lambweston.com static-files/9f03ff19, 2026-04-01) | Consolidated Balance Sheets | 158.3</t>
      </text>
    </comment>
    <comment ref="F12" authorId="0">
      <text>
        <t>LW Q4/FY26 earnings release Ex.99.1 (sec.gov a-lwx20260531xexx991fy26v2.htm, 2026-07-24) | Consolidated Balance Sheets | 198.6</t>
      </text>
    </comment>
    <comment ref="C14" authorId="0">
      <text>
        <t>LW Q1 FY26 earnings release Ex.99.1 (sec.gov lw-20250824x8kxexx9911q26.htm, 2025-09-30) | Consolidated Balance Sheets | 3,686.7</t>
      </text>
    </comment>
    <comment ref="D14" authorId="0">
      <text>
        <t>LW Q2 FY26 earnings release Ex.99.1 (investors.lambweston.com static-files/f4d3c7be, 2025-12-19) | Consolidated Balance Sheets | 3,652.9</t>
      </text>
    </comment>
    <comment ref="E14" authorId="0">
      <text>
        <t>LW Q3 FY26 earnings release Ex.99.1 (investors.lambweston.com static-files/9f03ff19, 2026-04-01) | Consolidated Balance Sheets | 3,652.6</t>
      </text>
    </comment>
    <comment ref="F14" authorId="0">
      <text>
        <t>LW Q4/FY26 earnings release Ex.99.1 (sec.gov a-lwx20260531xexx991fy26v2.htm, 2026-07-24) | Consolidated Balance Sheets | 3,690.0</t>
      </text>
    </comment>
    <comment ref="C15" authorId="0">
      <text>
        <t>LW Q1 FY26 earnings release Ex.99.1 (sec.gov lw-20250824x8kxexx9911q26.htm, 2025-09-30) | Consolidated Balance Sheets | 117.7</t>
      </text>
    </comment>
    <comment ref="D15" authorId="0">
      <text>
        <t>LW Q2 FY26 earnings release Ex.99.1 (investors.lambweston.com static-files/f4d3c7be, 2025-12-19) | Consolidated Balance Sheets | 118.2</t>
      </text>
    </comment>
    <comment ref="E15" authorId="0">
      <text>
        <t>LW Q3 FY26 earnings release Ex.99.1 (investors.lambweston.com static-files/9f03ff19, 2026-04-01) | Consolidated Balance Sheets | 116.8</t>
      </text>
    </comment>
    <comment ref="F15" authorId="0">
      <text>
        <t>LW Q4/FY26 earnings release Ex.99.1 (sec.gov a-lwx20260531xexx991fy26v2.htm, 2026-07-24) | Consolidated Balance Sheets | 111.6</t>
      </text>
    </comment>
    <comment ref="C16" authorId="0">
      <text>
        <t>LW Q1 FY26 earnings release Ex.99.1 (sec.gov lw-20250824x8kxexx9911q26.htm, 2025-09-30) | Consolidated Balance Sheets | 1,113.7</t>
      </text>
    </comment>
    <comment ref="D16" authorId="0">
      <text>
        <t>LW Q2 FY26 earnings release Ex.99.1 (investors.lambweston.com static-files/f4d3c7be, 2025-12-19) | Consolidated Balance Sheets | 1,099.5</t>
      </text>
    </comment>
    <comment ref="E16" authorId="0">
      <text>
        <t>LW Q3 FY26 earnings release Ex.99.1 (investors.lambweston.com static-files/9f03ff19, 2026-04-01) | Consolidated Balance Sheets | 1,135.0</t>
      </text>
    </comment>
    <comment ref="F16" authorId="0">
      <text>
        <t>LW Q4/FY26 earnings release Ex.99.1 (sec.gov a-lwx20260531xexx991fy26v2.htm, 2026-07-24) | Consolidated Balance Sheets | 1,130.1</t>
      </text>
    </comment>
    <comment ref="C17" authorId="0">
      <text>
        <t>LW Q1 FY26 earnings release Ex.99.1 (sec.gov lw-20250824x8kxexx9911q26.htm, 2025-09-30) | Consolidated Balance Sheets | 114.5</t>
      </text>
    </comment>
    <comment ref="D17" authorId="0">
      <text>
        <t>LW Q2 FY26 earnings release Ex.99.1 (investors.lambweston.com static-files/f4d3c7be, 2025-12-19) | Consolidated Balance Sheets | 110.9</t>
      </text>
    </comment>
    <comment ref="E17" authorId="0">
      <text>
        <t>LW Q3 FY26 earnings release Ex.99.1 (investors.lambweston.com static-files/9f03ff19, 2026-04-01) | Consolidated Balance Sheets | 109.7</t>
      </text>
    </comment>
    <comment ref="F17" authorId="0">
      <text>
        <t>LW Q4/FY26 earnings release Ex.99.1 (sec.gov a-lwx20260531xexx991fy26v2.htm, 2026-07-24) | Consolidated Balance Sheets | 108.3</t>
      </text>
    </comment>
    <comment ref="C18" authorId="0">
      <text>
        <t>LW Q1 FY26 earnings release Ex.99.1 (sec.gov lw-20250824x8kxexx9911q26.htm, 2025-09-30) | Consolidated Balance Sheets | 330.8</t>
      </text>
    </comment>
    <comment ref="D18" authorId="0">
      <text>
        <t>LW Q2 FY26 earnings release Ex.99.1 (investors.lambweston.com static-files/f4d3c7be, 2025-12-19) | Consolidated Balance Sheets | 338.5</t>
      </text>
    </comment>
    <comment ref="E18" authorId="0">
      <text>
        <t>LW Q3 FY26 earnings release Ex.99.1 (investors.lambweston.com static-files/9f03ff19, 2026-04-01) | Consolidated Balance Sheets | 319.5</t>
      </text>
    </comment>
    <comment ref="F18" authorId="0">
      <text>
        <t>LW Q4/FY26 earnings release Ex.99.1 (sec.gov a-lwx20260531xexx991fy26v2.htm, 2026-07-24) | Consolidated Balance Sheets | 325.7</t>
      </text>
    </comment>
    <comment ref="C20" authorId="0">
      <text>
        <t>LW Q1 FY26 earnings release Ex.99.1 (sec.gov lw-20250824x8kxexx9911q26.htm, 2025-09-30) | Consolidated Balance Sheets | 7,236.7</t>
      </text>
    </comment>
    <comment ref="D20" authorId="0">
      <text>
        <t>LW Q2 FY26 earnings release Ex.99.1 (investors.lambweston.com static-files/f4d3c7be, 2025-12-19) | Consolidated Balance Sheets | 7,331.0</t>
      </text>
    </comment>
    <comment ref="E20" authorId="0">
      <text>
        <t>LW Q3 FY26 earnings release Ex.99.1 (investors.lambweston.com static-files/9f03ff19, 2026-04-01) | Consolidated Balance Sheets | 7,393.5</t>
      </text>
    </comment>
    <comment ref="F20" authorId="0">
      <text>
        <t>LW Q4/FY26 earnings release Ex.99.1 (sec.gov a-lwx20260531xexx991fy26v2.htm, 2026-07-24) | Consolidated Balance Sheets | 7,380.1</t>
      </text>
    </comment>
    <comment ref="C23" authorId="0">
      <text>
        <t>LW Q1 FY26 earnings release Ex.99.1 (sec.gov lw-20250824x8kxexx9911q26.htm, 2025-09-30) | Consolidated Balance Sheets | 215.4</t>
      </text>
    </comment>
    <comment ref="D23" authorId="0">
      <text>
        <t>LW Q2 FY26 earnings release Ex.99.1 (investors.lambweston.com static-files/f4d3c7be, 2025-12-19) | Consolidated Balance Sheets | 187.0</t>
      </text>
    </comment>
    <comment ref="E23" authorId="0">
      <text>
        <t>LW Q3 FY26 earnings release Ex.99.1 (investors.lambweston.com static-files/9f03ff19, 2026-04-01) | Consolidated Balance Sheets | 269.2</t>
      </text>
    </comment>
    <comment ref="F23" authorId="0">
      <text>
        <t>LW Q4/FY26 earnings release Ex.99.1 (sec.gov a-lwx20260531xexx991fy26v2.htm, 2026-07-24) | Consolidated Balance Sheets | 249.4</t>
      </text>
    </comment>
    <comment ref="C24" authorId="0">
      <text>
        <t>LW Q1 FY26 earnings release Ex.99.1 (sec.gov lw-20250824x8kxexx9911q26.htm, 2025-09-30) | Consolidated Balance Sheets | 81.8</t>
      </text>
    </comment>
    <comment ref="D24" authorId="0">
      <text>
        <t>LW Q2 FY26 earnings release Ex.99.1 (investors.lambweston.com static-files/f4d3c7be, 2025-12-19) | Consolidated Balance Sheets | 82.7</t>
      </text>
    </comment>
    <comment ref="E24" authorId="0">
      <text>
        <t>LW Q3 FY26 earnings release Ex.99.1 (investors.lambweston.com static-files/9f03ff19, 2026-04-01) | Consolidated Balance Sheets | 80.6</t>
      </text>
    </comment>
    <comment ref="F24" authorId="0">
      <text>
        <t>LW Q4/FY26 earnings release Ex.99.1 (sec.gov a-lwx20260531xexx991fy26v2.htm, 2026-07-24) | Consolidated Balance Sheets | 70.6</t>
      </text>
    </comment>
    <comment ref="C25" authorId="0">
      <text>
        <t>LW Q1 FY26 earnings release Ex.99.1 (sec.gov lw-20250824x8kxexx9911q26.htm, 2025-09-30) | Consolidated Balance Sheets | 544.9</t>
      </text>
    </comment>
    <comment ref="D25" authorId="0">
      <text>
        <t>LW Q2 FY26 earnings release Ex.99.1 (investors.lambweston.com static-files/f4d3c7be, 2025-12-19) | Consolidated Balance Sheets | 709.2</t>
      </text>
    </comment>
    <comment ref="E25" authorId="0">
      <text>
        <t>LW Q3 FY26 earnings release Ex.99.1 (investors.lambweston.com static-files/9f03ff19, 2026-04-01) | Consolidated Balance Sheets | 599.7</t>
      </text>
    </comment>
    <comment ref="F25" authorId="0">
      <text>
        <t>LW Q4/FY26 earnings release Ex.99.1 (sec.gov a-lwx20260531xexx991fy26v2.htm, 2026-07-24) | Consolidated Balance Sheets | 613.1</t>
      </text>
    </comment>
    <comment ref="C26" authorId="0">
      <text>
        <t>LW Q1 FY26 earnings release Ex.99.1 (sec.gov lw-20250824x8kxexx9911q26.htm, 2025-09-30) | Consolidated Balance Sheets | 415.9</t>
      </text>
    </comment>
    <comment ref="D26" authorId="0">
      <text>
        <t>LW Q2 FY26 earnings release Ex.99.1 (investors.lambweston.com static-files/f4d3c7be, 2025-12-19) | Consolidated Balance Sheets | 424.2</t>
      </text>
    </comment>
    <comment ref="E26" authorId="0">
      <text>
        <t>LW Q3 FY26 earnings release Ex.99.1 (investors.lambweston.com static-files/9f03ff19, 2026-04-01) | Consolidated Balance Sheets | 460.0</t>
      </text>
    </comment>
    <comment ref="F26" authorId="0">
      <text>
        <t>LW Q4/FY26 earnings release Ex.99.1 (sec.gov a-lwx20260531xexx991fy26v2.htm, 2026-07-24) | Consolidated Balance Sheets | 482.4</t>
      </text>
    </comment>
    <comment ref="C28" authorId="0">
      <text>
        <t>LW Q1 FY26 earnings release Ex.99.1 (sec.gov lw-20250824x8kxexx9911q26.htm, 2025-09-30) | Consolidated Balance Sheets | 3,670.9</t>
      </text>
    </comment>
    <comment ref="D28" authorId="0">
      <text>
        <t>LW Q2 FY26 earnings release Ex.99.1 (investors.lambweston.com static-files/f4d3c7be, 2025-12-19) | Consolidated Balance Sheets | 3,648.9</t>
      </text>
    </comment>
    <comment ref="E28" authorId="0">
      <text>
        <t>LW Q3 FY26 earnings release Ex.99.1 (investors.lambweston.com static-files/9f03ff19, 2026-04-01) | Consolidated Balance Sheets | 3,642.9</t>
      </text>
    </comment>
    <comment ref="F28" authorId="0">
      <text>
        <t>LW Q4/FY26 earnings release Ex.99.1 (sec.gov a-lwx20260531xexx991fy26v2.htm, 2026-07-24) | Consolidated Balance Sheets | 3,595.2</t>
      </text>
    </comment>
    <comment ref="C29" authorId="0">
      <text>
        <t>LW Q1 FY26 earnings release Ex.99.1 (sec.gov lw-20250824x8kxexx9911q26.htm, 2025-09-30) | Consolidated Balance Sheets | 264.0</t>
      </text>
    </comment>
    <comment ref="D29" authorId="0">
      <text>
        <t>LW Q2 FY26 earnings release Ex.99.1 (investors.lambweston.com static-files/f4d3c7be, 2025-12-19) | Consolidated Balance Sheets | 273.3</t>
      </text>
    </comment>
    <comment ref="E29" authorId="0">
      <text>
        <t>LW Q3 FY26 earnings release Ex.99.1 (investors.lambweston.com static-files/9f03ff19, 2026-04-01) | Consolidated Balance Sheets | 272.8</t>
      </text>
    </comment>
    <comment ref="F29" authorId="0">
      <text>
        <t>LW Q4/FY26 earnings release Ex.99.1 (sec.gov a-lwx20260531xexx991fy26v2.htm, 2026-07-24) | Consolidated Balance Sheets | 297.5</t>
      </text>
    </comment>
    <comment ref="C30" authorId="0">
      <text>
        <t>LW Q1 FY26 earnings release Ex.99.1 (sec.gov lw-20250824x8kxexx9911q26.htm, 2025-09-30) | Consolidated Balance Sheets | 254.0</t>
      </text>
    </comment>
    <comment ref="D30" authorId="0">
      <text>
        <t>LW Q2 FY26 earnings release Ex.99.1 (investors.lambweston.com static-files/f4d3c7be, 2025-12-19) | Consolidated Balance Sheets | 251.3</t>
      </text>
    </comment>
    <comment ref="E30" authorId="0">
      <text>
        <t>LW Q3 FY26 earnings release Ex.99.1 (investors.lambweston.com static-files/9f03ff19, 2026-04-01) | Consolidated Balance Sheets | 241.2</t>
      </text>
    </comment>
    <comment ref="F30" authorId="0">
      <text>
        <t>LW Q4/FY26 earnings release Ex.99.1 (sec.gov a-lwx20260531xexx991fy26v2.htm, 2026-07-24) | Consolidated Balance Sheets | 247.0</t>
      </text>
    </comment>
    <comment ref="C35" authorId="0">
      <text>
        <t>LW Q1 FY26 earnings release Ex.99.1 (sec.gov lw-20250824x8kxexx9911q26.htm, 2025-09-30) | Consolidated Balance Sheets | 151.8</t>
      </text>
    </comment>
    <comment ref="D35" authorId="0">
      <text>
        <t>LW Q2 FY26 earnings release Ex.99.1 (investors.lambweston.com static-files/f4d3c7be, 2025-12-19) | Consolidated Balance Sheets | 152.0</t>
      </text>
    </comment>
    <comment ref="E35" authorId="0">
      <text>
        <t>LW Q3 FY26 earnings release Ex.99.1 (investors.lambweston.com static-files/9f03ff19, 2026-04-01) | Consolidated Balance Sheets | 152.1</t>
      </text>
    </comment>
    <comment ref="F35" authorId="0">
      <text>
        <t>LW Q4/FY26 earnings release Ex.99.1 (sec.gov a-lwx20260531xexx991fy26v2.htm, 2026-07-24) | Consolidated Balance Sheets | 152.1</t>
      </text>
    </comment>
    <comment ref="C36" authorId="0">
      <text>
        <t>LW Q1 FY26 earnings release Ex.99.1 (sec.gov lw-20250824x8kxexx9911q26.htm, 2025-09-30) | Consolidated Balance Sheets | (856.7)</t>
      </text>
    </comment>
    <comment ref="D36" authorId="0">
      <text>
        <t>LW Q2 FY26 earnings release Ex.99.1 (investors.lambweston.com static-files/f4d3c7be, 2025-12-19) | Consolidated Balance Sheets | (897.4)</t>
      </text>
    </comment>
    <comment ref="E36" authorId="0">
      <text>
        <t>LW Q3 FY26 earnings release Ex.99.1 (investors.lambweston.com static-files/9f03ff19, 2026-04-01) | Consolidated Balance Sheets | (897.5)</t>
      </text>
    </comment>
    <comment ref="F36" authorId="0">
      <text>
        <t>LW Q4/FY26 earnings release Ex.99.1 (sec.gov a-lwx20260531xexx991fy26v2.htm, 2026-07-24) | Consolidated Balance Sheets | (961.8)</t>
      </text>
    </comment>
    <comment ref="C37" authorId="0">
      <text>
        <t>LW Q1 FY26 earnings release Ex.99.1 (sec.gov lw-20250824x8kxexx9911q26.htm, 2025-09-30) | Consolidated Balance Sheets | (468.2)</t>
      </text>
    </comment>
    <comment ref="D37" authorId="0">
      <text>
        <t>LW Q2 FY26 earnings release Ex.99.1 (investors.lambweston.com static-files/f4d3c7be, 2025-12-19) | Consolidated Balance Sheets | (453.7)</t>
      </text>
    </comment>
    <comment ref="E37" authorId="0">
      <text>
        <t>LW Q3 FY26 earnings release Ex.99.1 (investors.lambweston.com static-files/9f03ff19, 2026-04-01) | Consolidated Balance Sheets | (443.2)</t>
      </text>
    </comment>
    <comment ref="F37" authorId="0">
      <text>
        <t>LW Q4/FY26 earnings release Ex.99.1 (sec.gov a-lwx20260531xexx991fy26v2.htm, 2026-07-24) | Consolidated Balance Sheets | (426.9)</t>
      </text>
    </comment>
    <comment ref="C38" authorId="0">
      <text>
        <t>LW Q1 FY26 earnings release Ex.99.1 (sec.gov lw-20250824x8kxexx9911q26.htm, 2025-09-30) | Consolidated Balance Sheets | 2,861.8</t>
      </text>
    </comment>
    <comment ref="D38" authorId="0">
      <text>
        <t>LW Q2 FY26 earnings release Ex.99.1 (investors.lambweston.com static-files/f4d3c7be, 2025-12-19) | Consolidated Balance Sheets | 2,871.9</t>
      </text>
    </comment>
    <comment ref="E38" authorId="0">
      <text>
        <t>LW Q3 FY26 earnings release Ex.99.1 (investors.lambweston.com static-files/9f03ff19, 2026-04-01) | Consolidated Balance Sheets | 2,872.8</t>
      </text>
    </comment>
    <comment ref="F38" authorId="0">
      <text>
        <t>LW Q4/FY26 earnings release Ex.99.1 (sec.gov a-lwx20260531xexx991fy26v2.htm, 2026-07-24) | Consolidated Balance Sheets | 2,929.7</t>
      </text>
    </comment>
    <comment ref="C39" authorId="0">
      <text>
        <t>LW Q1 FY26 earnings release Ex.99.1 (sec.gov lw-20250824x8kxexx9911q26.htm, 2025-09-30) | Consolidated Balance Sheets | 101.1</t>
      </text>
    </comment>
    <comment ref="D39" authorId="0">
      <text>
        <t>LW Q2 FY26 earnings release Ex.99.1 (investors.lambweston.com static-files/f4d3c7be, 2025-12-19) | Consolidated Balance Sheets | 81.6</t>
      </text>
    </comment>
    <comment ref="E39" authorId="0">
      <text>
        <t>LW Q3 FY26 earnings release Ex.99.1 (investors.lambweston.com static-files/9f03ff19, 2026-04-01) | Consolidated Balance Sheets | 142.9</t>
      </text>
    </comment>
    <comment ref="F39" authorId="0">
      <text>
        <t>LW Q4/FY26 earnings release Ex.99.1 (sec.gov a-lwx20260531xexx991fy26v2.htm, 2026-07-24) | Consolidated Balance Sheets | 131.8</t>
      </text>
    </comment>
  </commentList>
</comments>
</file>

<file path=xl/comments6.xml><?xml version="1.0" encoding="utf-8"?>
<comments xmlns="http://schemas.openxmlformats.org/spreadsheetml/2006/main">
  <authors>
    <author>Shortcut</author>
  </authors>
  <commentList>
    <comment ref="C100" authorId="0">
      <text>
        <t>LW Q1 FY26 earnings release Ex.99.1 (sec.gov lw-20250824x8kxexx9911q26.htm, 2025-09-30) | Consolidated Statements of Cash Flows | 70.7</t>
      </text>
    </comment>
    <comment ref="C114" authorId="0">
      <text>
        <t>LW Q1 FY26 earnings release Ex.99.1 (sec.gov lw-20250824x8kxexx9911q26.htm, 2025-09-30) | Consolidated Statements of Cash Flows (year-to-date) | 95.3</t>
      </text>
    </comment>
    <comment ref="D114" authorId="0">
      <text>
        <t>LW Q2 FY26 earnings release Ex.99.1 (investors.lambweston.com static-files/f4d3c7be, 2025-12-19) | Consolidated Statements of Cash Flows (year-to-date) | 191.5</t>
      </text>
    </comment>
    <comment ref="E114" authorId="0">
      <text>
        <t>LW Q3 FY26 earnings release Ex.99.1 (investors.lambweston.com static-files/9f03ff19, 2026-04-01) | Consolidated Statements of Cash Flows (year-to-date) | 291.8</t>
      </text>
    </comment>
    <comment ref="F114" authorId="0">
      <text>
        <t>LW Q4/FY26 earnings release Ex.99.1 (sec.gov a-lwx20260531xexx991fy26v2.htm, 2026-07-24) | Consolidated Statements of Cash Flows (year-to-date) | 396.7</t>
      </text>
    </comment>
    <comment ref="C116" authorId="0">
      <text>
        <t>LW Q1 FY26 earnings release Ex.99.1 (sec.gov lw-20250824x8kxexx9911q26.htm, 2025-09-30) | Consolidated Statements of Cash Flows (year-to-date) | 0.2</t>
      </text>
    </comment>
    <comment ref="D116" authorId="0">
      <text>
        <t>LW Q2 FY26 earnings release Ex.99.1 (investors.lambweston.com static-files/f4d3c7be, 2025-12-19) | Consolidated Statements of Cash Flows (year-to-date) | (2.8)</t>
      </text>
    </comment>
    <comment ref="E116" authorId="0">
      <text>
        <t>LW Q3 FY26 earnings release Ex.99.1 (investors.lambweston.com static-files/9f03ff19, 2026-04-01) | Consolidated Statements of Cash Flows (year-to-date) | (2.5)</t>
      </text>
    </comment>
    <comment ref="F116" authorId="0">
      <text>
        <t>LW Q4/FY26 earnings release Ex.99.1 (sec.gov a-lwx20260531xexx991fy26v2.htm, 2026-07-24) | Consolidated Statements of Cash Flows (year-to-date) | (2.5)</t>
      </text>
    </comment>
    <comment ref="C117" authorId="0">
      <text>
        <t>LW Q1 FY26 earnings release Ex.99.1 (sec.gov lw-20250824x8kxexx9911q26.htm, 2025-09-30) | Consolidated Statements of Cash Flows (year-to-date) | 14.5</t>
      </text>
    </comment>
    <comment ref="D117" authorId="0">
      <text>
        <t>LW Q2 FY26 earnings release Ex.99.1 (investors.lambweston.com static-files/f4d3c7be, 2025-12-19) | Consolidated Statements of Cash Flows (year-to-date) | 19.0</t>
      </text>
    </comment>
    <comment ref="E117" authorId="0">
      <text>
        <t>LW Q3 FY26 earnings release Ex.99.1 (investors.lambweston.com static-files/9f03ff19, 2026-04-01) | Consolidated Statements of Cash Flows (year-to-date) | 15.1</t>
      </text>
    </comment>
    <comment ref="F117" authorId="0">
      <text>
        <t>LW Q4/FY26 earnings release Ex.99.1 (sec.gov a-lwx20260531xexx991fy26v2.htm, 2026-07-24) | Consolidated Statements of Cash Flows (year-to-date) | 40.5</t>
      </text>
    </comment>
    <comment ref="E119" authorId="0">
      <text>
        <t>LW Q3 FY26 earnings release Ex.99.1 (investors.lambweston.com static-files/9f03ff19, 2026-04-01) | Consolidated Statements of Cash Flows (year-to-date) | 46.4</t>
      </text>
    </comment>
    <comment ref="F119" authorId="0">
      <text>
        <t>LW Q4/FY26 earnings release Ex.99.1 (sec.gov a-lwx20260531xexx991fy26v2.htm, 2026-07-24) | Consolidated Statements of Cash Flows (year-to-date) | 37.8</t>
      </text>
    </comment>
    <comment ref="C120" authorId="0">
      <text>
        <t>LW Q1 FY26 earnings release Ex.99.1 (sec.gov lw-20250824x8kxexx9911q26.htm, 2025-09-30) | Consolidated Statements of Cash Flows (year-to-date) | —</t>
      </text>
    </comment>
    <comment ref="D120" authorId="0">
      <text>
        <t>LW Q2 FY26 earnings release Ex.99.1 (investors.lambweston.com static-files/f4d3c7be, 2025-12-19) | Consolidated Statements of Cash Flows (year-to-date) | —</t>
      </text>
    </comment>
    <comment ref="E120" authorId="0">
      <text>
        <t>LW Q3 FY26 earnings release Ex.99.1 (investors.lambweston.com static-files/9f03ff19, 2026-04-01) | Consolidated Statements of Cash Flows (year-to-date) | —</t>
      </text>
    </comment>
    <comment ref="F120" authorId="0">
      <text>
        <t>LW Q4/FY26 earnings release Ex.99.1 (sec.gov a-lwx20260531xexx991fy26v2.htm, 2026-07-24) | Consolidated Statements of Cash Flows (year-to-date) | —</t>
      </text>
    </comment>
    <comment ref="C121" authorId="0">
      <text>
        <t>LW Q1 FY26 earnings release Ex.99.1 (sec.gov lw-20250824x8kxexx9911q26.htm, 2025-09-30) | Consolidated Statements of Cash Flows (year-to-date) | (1.5)</t>
      </text>
    </comment>
    <comment ref="D121" authorId="0">
      <text>
        <t>LW Q2 FY26 earnings release Ex.99.1 (investors.lambweston.com static-files/f4d3c7be, 2025-12-19) | Consolidated Statements of Cash Flows (year-to-date) | 11.8</t>
      </text>
    </comment>
    <comment ref="E121" authorId="0">
      <text>
        <t>LW Q3 FY26 earnings release Ex.99.1 (investors.lambweston.com static-files/9f03ff19, 2026-04-01) | Consolidated Statements of Cash Flows (year-to-date) | (8.0)</t>
      </text>
    </comment>
    <comment ref="F121" authorId="0">
      <text>
        <t>LW Q4/FY26 earnings release Ex.99.1 (sec.gov a-lwx20260531xexx991fy26v2.htm, 2026-07-24) | Consolidated Statements of Cash Flows (year-to-date) | 1.0</t>
      </text>
    </comment>
    <comment ref="C122" authorId="0">
      <text>
        <t>LW Q1 FY26 earnings release Ex.99.1 (sec.gov lw-20250824x8kxexx9911q26.htm, 2025-09-30) | Consolidated Statements of Cash Flows (year-to-date) | 17.6</t>
      </text>
    </comment>
    <comment ref="D122" authorId="0">
      <text>
        <t>LW Q2 FY26 earnings release Ex.99.1 (investors.lambweston.com static-files/f4d3c7be, 2025-12-19) | Consolidated Statements of Cash Flows (year-to-date) | 43.8</t>
      </text>
    </comment>
    <comment ref="E122" authorId="0">
      <text>
        <t>LW Q3 FY26 earnings release Ex.99.1 (investors.lambweston.com static-files/9f03ff19, 2026-04-01) | Consolidated Statements of Cash Flows (year-to-date) | 53.6</t>
      </text>
    </comment>
    <comment ref="F122" authorId="0">
      <text>
        <t>LW Q4/FY26 earnings release Ex.99.1 (sec.gov a-lwx20260531xexx991fy26v2.htm, 2026-07-24) | Consolidated Statements of Cash Flows (year-to-date) | 20.3</t>
      </text>
    </comment>
    <comment ref="C123" authorId="0">
      <text>
        <t>LW Q1 FY26 earnings release Ex.99.1 (sec.gov lw-20250824x8kxexx9911q26.htm, 2025-09-30) | Consolidated Statements of Cash Flows (year-to-date) | 136.3</t>
      </text>
    </comment>
    <comment ref="D123" authorId="0">
      <text>
        <t>LW Q2 FY26 earnings release Ex.99.1 (investors.lambweston.com static-files/f4d3c7be, 2025-12-19) | Consolidated Statements of Cash Flows (year-to-date) | (79.5)</t>
      </text>
    </comment>
    <comment ref="E123" authorId="0">
      <text>
        <t>LW Q3 FY26 earnings release Ex.99.1 (investors.lambweston.com static-files/9f03ff19, 2026-04-01) | Consolidated Statements of Cash Flows (year-to-date) | (45.2)</t>
      </text>
    </comment>
    <comment ref="F123" authorId="0">
      <text>
        <t>LW Q4/FY26 earnings release Ex.99.1 (sec.gov a-lwx20260531xexx991fy26v2.htm, 2026-07-24) | Consolidated Statements of Cash Flows (year-to-date) | 77.8</t>
      </text>
    </comment>
    <comment ref="C124" authorId="0">
      <text>
        <t>LW Q1 FY26 earnings release Ex.99.1 (sec.gov lw-20250824x8kxexx9911q26.htm, 2025-09-30) | Consolidated Statements of Cash Flows (year-to-date) | 22.8</t>
      </text>
    </comment>
    <comment ref="D124" authorId="0">
      <text>
        <t>LW Q2 FY26 earnings release Ex.99.1 (investors.lambweston.com static-files/f4d3c7be, 2025-12-19) | Consolidated Statements of Cash Flows (year-to-date) | (6.5)</t>
      </text>
    </comment>
    <comment ref="E124" authorId="0">
      <text>
        <t>LW Q3 FY26 earnings release Ex.99.1 (investors.lambweston.com static-files/9f03ff19, 2026-04-01) | Consolidated Statements of Cash Flows (year-to-date) | (1.7)</t>
      </text>
    </comment>
    <comment ref="F124" authorId="0">
      <text>
        <t>LW Q4/FY26 earnings release Ex.99.1 (sec.gov a-lwx20260531xexx991fy26v2.htm, 2026-07-24) | Consolidated Statements of Cash Flows (year-to-date) | (41.9)</t>
      </text>
    </comment>
    <comment ref="C125" authorId="0">
      <text>
        <t>LW Q1 FY26 earnings release Ex.99.1 (sec.gov lw-20250824x8kxexx9911q26.htm, 2025-09-30) | Consolidated Statements of Cash Flows (year-to-date) | 40.2</t>
      </text>
    </comment>
    <comment ref="D125" authorId="0">
      <text>
        <t>LW Q2 FY26 earnings release Ex.99.1 (investors.lambweston.com static-files/f4d3c7be, 2025-12-19) | Consolidated Statements of Cash Flows (year-to-date) | 67.5</t>
      </text>
    </comment>
    <comment ref="E125" authorId="0">
      <text>
        <t>LW Q3 FY26 earnings release Ex.99.1 (investors.lambweston.com static-files/9f03ff19, 2026-04-01) | Consolidated Statements of Cash Flows (year-to-date) | (13.8)</t>
      </text>
    </comment>
    <comment ref="F125" authorId="0">
      <text>
        <t>LW Q4/FY26 earnings release Ex.99.1 (sec.gov a-lwx20260531xexx991fy26v2.htm, 2026-07-24) | Consolidated Statements of Cash Flows (year-to-date) | (2.6)</t>
      </text>
    </comment>
    <comment ref="C126" authorId="0">
      <text>
        <t>LW Q1 FY26 earnings release Ex.99.1 (sec.gov lw-20250824x8kxexx9911q26.htm, 2025-09-30) | Consolidated Statements of Cash Flows (year-to-date) | (47.7)</t>
      </text>
    </comment>
    <comment ref="D126" authorId="0">
      <text>
        <t>LW Q2 FY26 earnings release Ex.99.1 (investors.lambweston.com static-files/f4d3c7be, 2025-12-19) | Consolidated Statements of Cash Flows (year-to-date) | 117.3</t>
      </text>
    </comment>
    <comment ref="E126" authorId="0">
      <text>
        <t>LW Q3 FY26 earnings release Ex.99.1 (investors.lambweston.com static-files/9f03ff19, 2026-04-01) | Consolidated Statements of Cash Flows (year-to-date) | (8.1)</t>
      </text>
    </comment>
    <comment ref="F126" authorId="0">
      <text>
        <t>LW Q4/FY26 earnings release Ex.99.1 (sec.gov a-lwx20260531xexx991fy26v2.htm, 2026-07-24) | Consolidated Statements of Cash Flows (year-to-date) | (1.5)</t>
      </text>
    </comment>
    <comment ref="C127" authorId="0">
      <text>
        <t>LW Q1 FY26 earnings release Ex.99.1 (sec.gov lw-20250824x8kxexx9911q26.htm, 2025-09-30) | Consolidated Statements of Cash Flows (year-to-date) | (13.7)</t>
      </text>
    </comment>
    <comment ref="D127" authorId="0">
      <text>
        <t>LW Q2 FY26 earnings release Ex.99.1 (investors.lambweston.com static-files/f4d3c7be, 2025-12-19) | Consolidated Statements of Cash Flows (year-to-date) | 7.6</t>
      </text>
    </comment>
    <comment ref="E127" authorId="0">
      <text>
        <t>LW Q3 FY26 earnings release Ex.99.1 (investors.lambweston.com static-files/9f03ff19, 2026-04-01) | Consolidated Statements of Cash Flows (year-to-date) | 57.0</t>
      </text>
    </comment>
    <comment ref="F127" authorId="0">
      <text>
        <t>LW Q4/FY26 earnings release Ex.99.1 (sec.gov a-lwx20260531xexx991fy26v2.htm, 2026-07-24) | Consolidated Statements of Cash Flows (year-to-date) | 81.1</t>
      </text>
    </comment>
    <comment ref="C128" authorId="0">
      <text>
        <t>LW Q1 FY26 earnings release Ex.99.1 (sec.gov lw-20250824x8kxexx9911q26.htm, 2025-09-30) | Consolidated Statements of Cash Flows (year-to-date) | 352.0</t>
      </text>
    </comment>
    <comment ref="D128" authorId="0">
      <text>
        <t>LW Q2 FY26 earnings release Ex.99.1 (investors.lambweston.com static-files/f4d3c7be, 2025-12-19) | Consolidated Statements of Cash Flows (year-to-date) | 530.4</t>
      </text>
    </comment>
    <comment ref="E128" authorId="0">
      <text>
        <t>LW Q3 FY26 earnings release Ex.99.1 (investors.lambweston.com static-files/9f03ff19, 2026-04-01) | Consolidated Statements of Cash Flows (year-to-date) | 595.6</t>
      </text>
    </comment>
    <comment ref="F128" authorId="0">
      <text>
        <t>LW Q4/FY26 earnings release Ex.99.1 (sec.gov a-lwx20260531xexx991fy26v2.htm, 2026-07-24) | Consolidated Statements of Cash Flows (year-to-date) | 942.9</t>
      </text>
    </comment>
    <comment ref="C129" authorId="0">
      <text>
        <t>LW Q1 FY26 earnings release Ex.99.1 (sec.gov lw-20250824x8kxexx9911q26.htm, 2025-09-30) | Consolidated Statements of Cash Flows (year-to-date) | (77.6)</t>
      </text>
    </comment>
    <comment ref="D129" authorId="0">
      <text>
        <t>LW Q2 FY26 earnings release Ex.99.1 (investors.lambweston.com static-files/f4d3c7be, 2025-12-19) | Consolidated Statements of Cash Flows (year-to-date) | (155.0)</t>
      </text>
    </comment>
    <comment ref="E129" authorId="0">
      <text>
        <t>LW Q3 FY26 earnings release Ex.99.1 (investors.lambweston.com static-files/9f03ff19, 2026-04-01) | Consolidated Statements of Cash Flows (year-to-date) | (256.5)</t>
      </text>
    </comment>
    <comment ref="F129" authorId="0">
      <text>
        <t>LW Q4/FY26 earnings release Ex.99.1 (sec.gov a-lwx20260531xexx991fy26v2.htm, 2026-07-24) | Consolidated Statements of Cash Flows (year-to-date) | (402.7)</t>
      </text>
    </comment>
    <comment ref="C130" authorId="0">
      <text>
        <t>LW Q1 FY26 earnings release Ex.99.1 (sec.gov lw-20250824x8kxexx9911q26.htm, 2025-09-30) | Consolidated Statements of Cash Flows (year-to-date) | (1.6)</t>
      </text>
    </comment>
    <comment ref="D130" authorId="0">
      <text>
        <t>LW Q2 FY26 earnings release Ex.99.1 (investors.lambweston.com static-files/f4d3c7be, 2025-12-19) | Consolidated Statements of Cash Flows (year-to-date) | (0.7)</t>
      </text>
    </comment>
    <comment ref="E130" authorId="0">
      <text>
        <t>LW Q3 FY26 earnings release Ex.99.1 (investors.lambweston.com static-files/9f03ff19, 2026-04-01) | Consolidated Statements of Cash Flows (year-to-date) | (0.1)</t>
      </text>
    </comment>
    <comment ref="F130" authorId="0">
      <text>
        <t>LW Q4/FY26 earnings release Ex.99.1 (sec.gov a-lwx20260531xexx991fy26v2.htm, 2026-07-24) | Consolidated Statements of Cash Flows (year-to-date) | (7.4)</t>
      </text>
    </comment>
    <comment ref="D131" authorId="0">
      <text>
        <t>LW Q2 FY26 earnings release Ex.99.1 (investors.lambweston.com static-files/f4d3c7be, 2025-12-19) | Consolidated Statements of Cash Flows (year-to-date) | 14.7</t>
      </text>
    </comment>
    <comment ref="E131" authorId="0">
      <text>
        <t>LW Q3 FY26 earnings release Ex.99.1 (investors.lambweston.com static-files/9f03ff19, 2026-04-01) | Consolidated Statements of Cash Flows (year-to-date) | 14.9</t>
      </text>
    </comment>
    <comment ref="F131" authorId="0">
      <text>
        <t>LW Q4/FY26 earnings release Ex.99.1 (sec.gov a-lwx20260531xexx991fy26v2.htm, 2026-07-24) | Consolidated Statements of Cash Flows (year-to-date) | 26.0</t>
      </text>
    </comment>
    <comment ref="C132" authorId="0">
      <text>
        <t>LW Q1 FY26 earnings release Ex.99.1 (sec.gov lw-20250824x8kxexx9911q26.htm, 2025-09-30) | Consolidated Statements of Cash Flows (year-to-date) | —</t>
      </text>
    </comment>
    <comment ref="D132" authorId="0">
      <text>
        <t>LW Q2 FY26 earnings release Ex.99.1 (investors.lambweston.com static-files/f4d3c7be, 2025-12-19) | Consolidated Statements of Cash Flows (year-to-date) | —</t>
      </text>
    </comment>
    <comment ref="E132" authorId="0">
      <text>
        <t>LW Q3 FY26 earnings release Ex.99.1 (investors.lambweston.com static-files/9f03ff19, 2026-04-01) | Consolidated Statements of Cash Flows (year-to-date) | —</t>
      </text>
    </comment>
    <comment ref="F132" authorId="0">
      <text>
        <t>LW Q4/FY26 earnings release Ex.99.1 (sec.gov a-lwx20260531xexx991fy26v2.htm, 2026-07-24) | Consolidated Statements of Cash Flows (year-to-date) | —</t>
      </text>
    </comment>
    <comment ref="C133" authorId="0">
      <text>
        <t>LW Q1 FY26 earnings release Ex.99.1 (sec.gov lw-20250824x8kxexx9911q26.htm, 2025-09-30) | Consolidated Statements of Cash Flows (year-to-date) | 2.9</t>
      </text>
    </comment>
    <comment ref="D133" authorId="0">
      <text>
        <t>LW Q2 FY26 earnings release Ex.99.1 (investors.lambweston.com static-files/f4d3c7be, 2025-12-19) | Consolidated Statements of Cash Flows (year-to-date) | 3.7</t>
      </text>
    </comment>
    <comment ref="E133" authorId="0">
      <text>
        <t>LW Q3 FY26 earnings release Ex.99.1 (investors.lambweston.com static-files/9f03ff19, 2026-04-01) | Consolidated Statements of Cash Flows (year-to-date) | 3.7</t>
      </text>
    </comment>
    <comment ref="F133" authorId="0">
      <text>
        <t>LW Q4/FY26 earnings release Ex.99.1 (sec.gov a-lwx20260531xexx991fy26v2.htm, 2026-07-24) | Consolidated Statements of Cash Flows (year-to-date) | 3.9</t>
      </text>
    </comment>
    <comment ref="C134" authorId="0">
      <text>
        <t>LW Q1 FY26 earnings release Ex.99.1 (sec.gov lw-20250824x8kxexx9911q26.htm, 2025-09-30) | Consolidated Statements of Cash Flows (year-to-date) | (76.3)</t>
      </text>
    </comment>
    <comment ref="D134" authorId="0">
      <text>
        <t>LW Q2 FY26 earnings release Ex.99.1 (investors.lambweston.com static-files/f4d3c7be, 2025-12-19) | Consolidated Statements of Cash Flows (year-to-date) | (137.3)</t>
      </text>
    </comment>
    <comment ref="E134" authorId="0">
      <text>
        <t>LW Q3 FY26 earnings release Ex.99.1 (investors.lambweston.com static-files/9f03ff19, 2026-04-01) | Consolidated Statements of Cash Flows (year-to-date) | (238.0)</t>
      </text>
    </comment>
    <comment ref="F134" authorId="0">
      <text>
        <t>LW Q4/FY26 earnings release Ex.99.1 (sec.gov a-lwx20260531xexx991fy26v2.htm, 2026-07-24) | Consolidated Statements of Cash Flows (year-to-date) | (380.2)</t>
      </text>
    </comment>
    <comment ref="C135" authorId="0">
      <text>
        <t>LW Q1 FY26 earnings release Ex.99.1 (sec.gov lw-20250824x8kxexx9911q26.htm, 2025-09-30) | Consolidated Statements of Cash Flows (year-to-date) | 305.0</t>
      </text>
    </comment>
    <comment ref="D135" authorId="0">
      <text>
        <t>LW Q2 FY26 earnings release Ex.99.1 (investors.lambweston.com static-files/f4d3c7be, 2025-12-19) | Consolidated Statements of Cash Flows (year-to-date) | 374.8</t>
      </text>
    </comment>
    <comment ref="E135" authorId="0">
      <text>
        <t>LW Q3 FY26 earnings release Ex.99.1 (investors.lambweston.com static-files/9f03ff19, 2026-04-01) | Consolidated Statements of Cash Flows (year-to-date) | 753.8</t>
      </text>
    </comment>
    <comment ref="F135" authorId="0">
      <text>
        <t>LW Q4/FY26 earnings release Ex.99.1 (sec.gov a-lwx20260531xexx991fy26v2.htm, 2026-07-24) | Consolidated Statements of Cash Flows (year-to-date) | 1,169.8</t>
      </text>
    </comment>
    <comment ref="C136" authorId="0">
      <text>
        <t>LW Q1 FY26 earnings release Ex.99.1 (sec.gov lw-20250824x8kxexx9911q26.htm, 2025-09-30) | Consolidated Statements of Cash Flows (year-to-date) | (466.9)</t>
      </text>
    </comment>
    <comment ref="D136" authorId="0">
      <text>
        <t>LW Q2 FY26 earnings release Ex.99.1 (investors.lambweston.com static-files/f4d3c7be, 2025-12-19) | Consolidated Statements of Cash Flows (year-to-date) | (562.4)</t>
      </text>
    </comment>
    <comment ref="E136" authorId="0">
      <text>
        <t>LW Q3 FY26 earnings release Ex.99.1 (investors.lambweston.com static-files/9f03ff19, 2026-04-01) | Consolidated Statements of Cash Flows (year-to-date) | (862.6)</t>
      </text>
    </comment>
    <comment ref="F136" authorId="0">
      <text>
        <t>LW Q4/FY26 earnings release Ex.99.1 (sec.gov a-lwx20260531xexx991fy26v2.htm, 2026-07-24) | Consolidated Statements of Cash Flows (year-to-date) | (1,296.9)</t>
      </text>
    </comment>
    <comment ref="C137" authorId="0">
      <text>
        <t>LW Q1 FY26 earnings release Ex.99.1 (sec.gov lw-20250824x8kxexx9911q26.htm, 2025-09-30) | Consolidated Statements of Cash Flows (year-to-date) | —</t>
      </text>
    </comment>
    <comment ref="D137" authorId="0">
      <text>
        <t>LW Q2 FY26 earnings release Ex.99.1 (investors.lambweston.com static-files/f4d3c7be, 2025-12-19) | Consolidated Statements of Cash Flows (year-to-date) | —</t>
      </text>
    </comment>
    <comment ref="E137" authorId="0">
      <text>
        <t>LW Q3 FY26 earnings release Ex.99.1 (investors.lambweston.com static-files/9f03ff19, 2026-04-01) | Consolidated Statements of Cash Flows (year-to-date) | —</t>
      </text>
    </comment>
    <comment ref="F137" authorId="0">
      <text>
        <t>LW Q4/FY26 earnings release Ex.99.1 (sec.gov a-lwx20260531xexx991fy26v2.htm, 2026-07-24) | Consolidated Statements of Cash Flows (year-to-date) | 103.5</t>
      </text>
    </comment>
    <comment ref="C138" authorId="0">
      <text>
        <t>LW Q1 FY26 earnings release Ex.99.1 (sec.gov lw-20250824x8kxexx9911q26.htm, 2025-09-30) | Consolidated Statements of Cash Flows (year-to-date) | (16.2)</t>
      </text>
    </comment>
    <comment ref="D138" authorId="0">
      <text>
        <t>LW Q2 FY26 earnings release Ex.99.1 (investors.lambweston.com static-files/f4d3c7be, 2025-12-19) | Consolidated Statements of Cash Flows (year-to-date) | (35.7)</t>
      </text>
    </comment>
    <comment ref="E138" authorId="0">
      <text>
        <t>LW Q3 FY26 earnings release Ex.99.1 (investors.lambweston.com static-files/9f03ff19, 2026-04-01) | Consolidated Statements of Cash Flows (year-to-date) | (54.9)</t>
      </text>
    </comment>
    <comment ref="F138" authorId="0">
      <text>
        <t>LW Q4/FY26 earnings release Ex.99.1 (sec.gov a-lwx20260531xexx991fy26v2.htm, 2026-07-24) | Consolidated Statements of Cash Flows (year-to-date) | (217.1)</t>
      </text>
    </comment>
    <comment ref="C139" authorId="0">
      <text>
        <t>LW Q1 FY26 earnings release Ex.99.1 (sec.gov lw-20250824x8kxexx9911q26.htm, 2025-09-30) | Consolidated Statements of Cash Flows (year-to-date) | (51.7)</t>
      </text>
    </comment>
    <comment ref="D139" authorId="0">
      <text>
        <t>LW Q2 FY26 earnings release Ex.99.1 (investors.lambweston.com static-files/f4d3c7be, 2025-12-19) | Consolidated Statements of Cash Flows (year-to-date) | (103.3)</t>
      </text>
    </comment>
    <comment ref="E139" authorId="0">
      <text>
        <t>LW Q3 FY26 earnings release Ex.99.1 (investors.lambweston.com static-files/9f03ff19, 2026-04-01) | Consolidated Statements of Cash Flows (year-to-date) | (154.7)</t>
      </text>
    </comment>
    <comment ref="F139" authorId="0">
      <text>
        <t>LW Q4/FY26 earnings release Ex.99.1 (sec.gov a-lwx20260531xexx991fy26v2.htm, 2026-07-24) | Consolidated Statements of Cash Flows (year-to-date) | (207.5)</t>
      </text>
    </comment>
    <comment ref="C140" authorId="0">
      <text>
        <t>LW Q1 FY26 earnings release Ex.99.1 (sec.gov lw-20250824x8kxexx9911q26.htm, 2025-09-30) | Consolidated Statements of Cash Flows (year-to-date) | (18.7)</t>
      </text>
    </comment>
    <comment ref="D140" authorId="0">
      <text>
        <t>LW Q2 FY26 earnings release Ex.99.1 (investors.lambweston.com static-files/f4d3c7be, 2025-12-19) | Consolidated Statements of Cash Flows (year-to-date) | (59.1)</t>
      </text>
    </comment>
    <comment ref="E140" authorId="0">
      <text>
        <t>LW Q3 FY26 earnings release Ex.99.1 (investors.lambweston.com static-files/9f03ff19, 2026-04-01) | Consolidated Statements of Cash Flows (year-to-date) | (59.2)</t>
      </text>
    </comment>
    <comment ref="F140" authorId="0">
      <text>
        <t>LW Q4/FY26 earnings release Ex.99.1 (sec.gov a-lwx20260531xexx991fy26v2.htm, 2026-07-24) | Consolidated Statements of Cash Flows (year-to-date) | (122.8)</t>
      </text>
    </comment>
    <comment ref="C141" authorId="0">
      <text>
        <t>LW Q1 FY26 earnings release Ex.99.1 (sec.gov lw-20250824x8kxexx9911q26.htm, 2025-09-30) | Consolidated Statements of Cash Flows (year-to-date) | —</t>
      </text>
    </comment>
    <comment ref="D141" authorId="0">
      <text>
        <t>LW Q2 FY26 earnings release Ex.99.1 (investors.lambweston.com static-files/f4d3c7be, 2025-12-19) | Consolidated Statements of Cash Flows (year-to-date) | 3.9</t>
      </text>
    </comment>
    <comment ref="E141" authorId="0">
      <text>
        <t>LW Q3 FY26 earnings release Ex.99.1 (investors.lambweston.com static-files/9f03ff19, 2026-04-01) | Consolidated Statements of Cash Flows (year-to-date) | 3.5</t>
      </text>
    </comment>
    <comment ref="F141" authorId="0">
      <text>
        <t>LW Q4/FY26 earnings release Ex.99.1 (sec.gov a-lwx20260531xexx991fy26v2.htm, 2026-07-24) | Consolidated Statements of Cash Flows (year-to-date) | 1.9</t>
      </text>
    </comment>
    <comment ref="C142" authorId="0">
      <text>
        <t>LW Q1 FY26 earnings release Ex.99.1 (sec.gov lw-20250824x8kxexx9911q26.htm, 2025-09-30) | Consolidated Statements of Cash Flows (year-to-date) | (248.5)</t>
      </text>
    </comment>
    <comment ref="D142" authorId="0">
      <text>
        <t>LW Q2 FY26 earnings release Ex.99.1 (investors.lambweston.com static-files/f4d3c7be, 2025-12-19) | Consolidated Statements of Cash Flows (year-to-date) | (381.8)</t>
      </text>
    </comment>
    <comment ref="E142" authorId="0">
      <text>
        <t>LW Q3 FY26 earnings release Ex.99.1 (investors.lambweston.com static-files/9f03ff19, 2026-04-01) | Consolidated Statements of Cash Flows (year-to-date) | (374.1)</t>
      </text>
    </comment>
    <comment ref="F142" authorId="0">
      <text>
        <t>LW Q4/FY26 earnings release Ex.99.1 (sec.gov a-lwx20260531xexx991fy26v2.htm, 2026-07-24) | Consolidated Statements of Cash Flows (year-to-date) | (569.1)</t>
      </text>
    </comment>
    <comment ref="C143" authorId="0">
      <text>
        <t>LW Q1 FY26 earnings release Ex.99.1 (sec.gov lw-20250824x8kxexx9911q26.htm, 2025-09-30) | Consolidated Statements of Cash Flows (year-to-date) | 0.7</t>
      </text>
    </comment>
    <comment ref="D143" authorId="0">
      <text>
        <t>LW Q2 FY26 earnings release Ex.99.1 (investors.lambweston.com static-files/f4d3c7be, 2025-12-19) | Consolidated Statements of Cash Flows (year-to-date) | 0.7</t>
      </text>
    </comment>
    <comment ref="E143" authorId="0">
      <text>
        <t>LW Q3 FY26 earnings release Ex.99.1 (investors.lambweston.com static-files/9f03ff19, 2026-04-01) | Consolidated Statements of Cash Flows (year-to-date) | 3.3</t>
      </text>
    </comment>
    <comment ref="F143" authorId="0">
      <text>
        <t>LW Q4/FY26 earnings release Ex.99.1 (sec.gov a-lwx20260531xexx991fy26v2.htm, 2026-07-24) | Consolidated Statements of Cash Flows (year-to-date) | 3.9</t>
      </text>
    </comment>
  </commentList>
</comments>
</file>

<file path=xl/comments7.xml><?xml version="1.0" encoding="utf-8"?>
<comments xmlns="http://schemas.openxmlformats.org/spreadsheetml/2006/main">
  <authors>
    <author>Shortcut</author>
  </authors>
  <commentList>
    <comment ref="G10" authorId="0">
      <text>
        <t>LW FY26 Form 10-K XBRL R92 Segments — Net Sales and Long-Lived Assets (sec.gov, 2026-07-24) | Segments — net sales by geography | 4,289.6</t>
      </text>
    </comment>
    <comment ref="G13" authorId="0">
      <text>
        <t>LW FY26 Form 10-K XBRL R92 Segments — Net Sales and Long-Lived Assets (sec.gov, 2026-07-24) | Segments — net sales by geography | 2,322.7</t>
      </text>
    </comment>
    <comment ref="G28" authorId="0">
      <text>
        <t>LW FY26 Form 10-K XBRL R92 Segments — Net Sales and Long-Lived Assets (sec.gov, 2026-07-24) | Segments — net sales by geography | 4,174.5</t>
      </text>
    </comment>
    <comment ref="G29" authorId="0">
      <text>
        <t>LW FY26 Form 10-K XBRL R92 Segments — Net Sales and Long-Lived Assets (sec.gov, 2026-07-24) | Segments — net sales by geography | 2,276.8</t>
      </text>
    </comment>
    <comment ref="G32" authorId="0">
      <text>
        <t>LW FY26 Form 10-K XBRL R92 Segments — Net Sales and Long-Lived Assets (sec.gov, 2026-07-24) | Segments — long-lived assets | 2,357.1</t>
      </text>
    </comment>
    <comment ref="G33" authorId="0">
      <text>
        <t>LW FY26 Form 10-K XBRL R92 Segments — Net Sales and Long-Lived Assets (sec.gov, 2026-07-24) | Segments — long-lived assets | 838.0</t>
      </text>
    </comment>
    <comment ref="G34" authorId="0">
      <text>
        <t>LW FY26 Form 10-K XBRL R92 Segments — Net Sales and Long-Lived Assets (sec.gov, 2026-07-24) | Segments — long-lived assets | 782.3</t>
      </text>
    </comment>
    <comment ref="G36" authorId="0">
      <text>
        <t>LW FY26 Form 10-K XBRL R92 Segments — Net Sales and Long-Lived Assets (sec.gov, 2026-07-24) | Segments — long-lived assets | 3,977.4</t>
      </text>
    </comment>
  </commentList>
</comments>
</file>

<file path=xl/comments8.xml><?xml version="1.0" encoding="utf-8"?>
<comments xmlns="http://schemas.openxmlformats.org/spreadsheetml/2006/main">
  <authors>
    <author>Shortcut</author>
  </authors>
  <commentList>
    <comment ref="C9" authorId="0">
      <text>
        <t>LW Q1 FY26 earnings release Ex.99.1 (sec.gov lw-20250824x8kxexx9911q26.htm, 2025-09-30) | Consolidated Statements of Earnings | 139.5</t>
      </text>
    </comment>
    <comment ref="D9" authorId="0">
      <text>
        <t>LW Q2 FY26 earnings release Ex.99.1 (investors.lambweston.com static-files/f4d3c7be, 2025-12-19) | Consolidated Statements of Earnings | 139.4</t>
      </text>
    </comment>
    <comment ref="E9" authorId="0">
      <text>
        <t>LW Q3 FY26 earnings release Ex.99.1 (investors.lambweston.com static-files/9f03ff19, 2026-04-01) | Consolidated Statements of Earnings | 139.0</t>
      </text>
    </comment>
    <comment ref="F9" authorId="0">
      <text>
        <t>LW Q4/FY26 earnings release Ex.99.1 (sec.gov a-lwx20260531xexx991fy26v2.htm, 2026-07-24) | Consolidated Statements of Earnings | 137.7</t>
      </text>
    </comment>
    <comment ref="G9" authorId="0">
      <text>
        <t>LW Q4/FY26 earnings release Ex.99.1 (sec.gov a-lwx20260531xexx991fy26v2.htm, 2026-07-24) | Consolidated Statements of Earnings | 138.9</t>
      </text>
    </comment>
    <comment ref="C13" authorId="0">
      <text>
        <t>LW Q1 FY26 earnings release Ex.99.1 (sec.gov lw-20250824x8kxexx9911q26.htm, 2025-09-30) | Consolidated Statements of Earnings | 139.8</t>
      </text>
    </comment>
    <comment ref="D13" authorId="0">
      <text>
        <t>LW Q2 FY26 earnings release Ex.99.1 (investors.lambweston.com static-files/f4d3c7be, 2025-12-19) | Consolidated Statements of Earnings | 139.6</t>
      </text>
    </comment>
    <comment ref="E13" authorId="0">
      <text>
        <t>LW Q3 FY26 earnings release Ex.99.1 (investors.lambweston.com static-files/9f03ff19, 2026-04-01) | Consolidated Statements of Earnings | 139.3</t>
      </text>
    </comment>
    <comment ref="F13" authorId="0">
      <text>
        <t>LW Q4/FY26 earnings release Ex.99.1 (sec.gov a-lwx20260531xexx991fy26v2.htm, 2026-07-24) | Consolidated Statements of Earnings | 138.0</t>
      </text>
    </comment>
    <comment ref="G13" authorId="0">
      <text>
        <t>LW Q4/FY26 earnings release Ex.99.1 (sec.gov a-lwx20260531xexx991fy26v2.htm, 2026-07-24) | Consolidated Statements of Earnings | 139.1</t>
      </text>
    </comment>
    <comment ref="C16" authorId="0">
      <text>
        <t>LW Q1 FY26 earnings release Ex.99.1 (sec.gov lw-20250824x8kxexx9911q26.htm, 2025-09-30) | Consolidated Statements of Earnings (comparative column) | 144.2</t>
      </text>
    </comment>
    <comment ref="D16" authorId="0">
      <text>
        <t>LW Q2 FY26 earnings release Ex.99.1 (investors.lambweston.com static-files/f4d3c7be, 2025-12-19) | Consolidated Statements of Earnings (comparative column) | 143.2</t>
      </text>
    </comment>
    <comment ref="E16" authorId="0">
      <text>
        <t>LW Q3 FY26 earnings release Ex.99.1 (investors.lambweston.com static-files/9f03ff19, 2026-04-01) | Consolidated Statements of Earnings (comparative column) | 142.4</t>
      </text>
    </comment>
    <comment ref="F16" authorId="0">
      <text>
        <t>LW Q4/FY26 earnings release Ex.99.1 (sec.gov a-lwx20260531xexx991fy26v2.htm, 2026-07-24) | Consolidated Statements of Earnings (comparative column) | 141.0</t>
      </text>
    </comment>
    <comment ref="G16" authorId="0">
      <text>
        <t>LW Q4/FY26 earnings release Ex.99.1 (sec.gov a-lwx20260531xexx991fy26v2.htm, 2026-07-24) | Consolidated Statements of Earnings (comparative column) | 142.7</t>
      </text>
    </comment>
    <comment ref="C19" authorId="0">
      <text>
        <t>LW Q1 FY26 earnings release Ex.99.1 (sec.gov lw-20250824x8kxexx9911q26.htm, 2025-09-30) | Consolidated Balance Sheets (May 25, 2025 column) | 151.390267</t>
      </text>
    </comment>
    <comment ref="C20" authorId="0">
      <text>
        <t>LW Q1 FY26 earnings release Ex.99.1 (sec.gov lw-20250824x8kxexx9911q26.htm, 2025-09-30) | Consolidated Balance Sheets (May 25, 2025 column) | 12.152507</t>
      </text>
    </comment>
    <comment ref="C22" authorId="0">
      <text>
        <t>LW Q1 FY26 earnings release Ex.99.1 (sec.gov lw-20250824x8kxexx9911q26.htm, 2025-09-30) | Capital Returned to Shareholders | 0.187259</t>
      </text>
    </comment>
    <comment ref="D22" authorId="0">
      <text>
        <t>LW Q2 FY26 earnings release Ex.99.1 (investors.lambweston.com static-files/f4d3c7be, 2025-12-19) | Capital Returned to Shareholders | 0.617623</t>
      </text>
    </comment>
    <comment ref="E22" authorId="0">
      <text>
        <t>LW Q3 FY26 earnings release Ex.99.1 (investors.lambweston.com static-files/9f03ff19, 2026-04-01) | Capital Returned to Shareholders | —</t>
      </text>
    </comment>
    <comment ref="G22" authorId="0">
      <text>
        <t>LW FY26 Form 10-K (sec.gov lw-20260531.htm, 2026-07-24) | Capital Returned to Shareholders | 2.344468</t>
      </text>
    </comment>
    <comment ref="C23" authorId="0">
      <text>
        <t>LW Q1 FY26 earnings release Ex.99.1 (sec.gov lw-20250824x8kxexx9911q26.htm, 2025-09-30) | Capital Returned to Shareholders | 10.4</t>
      </text>
    </comment>
    <comment ref="D23" authorId="0">
      <text>
        <t>LW Q2 FY26 earnings release Ex.99.1 (investors.lambweston.com static-files/f4d3c7be, 2025-12-19) | Capital Returned to Shareholders | 39.6</t>
      </text>
    </comment>
    <comment ref="E23" authorId="0">
      <text>
        <t>LW Q3 FY26 earnings release Ex.99.1 (investors.lambweston.com static-files/9f03ff19, 2026-04-01) | Capital Returned to Shareholders | —</t>
      </text>
    </comment>
    <comment ref="G23" authorId="0">
      <text>
        <t>LW Q4/FY26 earnings release Ex.99.1 (sec.gov a-lwx20260531xexx991fy26v2.htm, 2026-07-24) | Capital Returned to Shareholders | 113.2</t>
      </text>
    </comment>
    <comment ref="C32" authorId="0">
      <text>
        <t>LW Q1 FY26 earnings release Ex.99.1 (sec.gov lw-20250824x8kxexx9911q26.htm, 2025-09-30) | Consolidated Balance Sheets (share data) | 151.832842</t>
      </text>
    </comment>
    <comment ref="D32" authorId="0">
      <text>
        <t>LW Q2 FY26 earnings release Ex.99.1 (investors.lambweston.com static-files/f4d3c7be, 2025-12-19) | Consolidated Balance Sheets (share data) | 152.006164</t>
      </text>
    </comment>
    <comment ref="E32" authorId="0">
      <text>
        <t>LW Q3 FY26 earnings release Ex.99.1 (investors.lambweston.com static-files/9f03ff19, 2026-04-01) | Consolidated Balance Sheets (share data) | 152.108953</t>
      </text>
    </comment>
    <comment ref="F32" authorId="0">
      <text>
        <t>LW Q4/FY26 earnings release Ex.99.1 (sec.gov a-lwx20260531xexx991fy26v2.htm, 2026-07-24) | Consolidated Balance Sheets (share data) | 152.134757</t>
      </text>
    </comment>
    <comment ref="C33" authorId="0">
      <text>
        <t>LW Q1 FY26 earnings release Ex.99.1 (sec.gov lw-20250824x8kxexx9911q26.htm, 2025-09-30) | Consolidated Balance Sheets (share data) | 12.497431</t>
      </text>
    </comment>
    <comment ref="D33" authorId="0">
      <text>
        <t>LW Q2 FY26 earnings release Ex.99.1 (investors.lambweston.com static-files/f4d3c7be, 2025-12-19) | Consolidated Balance Sheets (share data) | 13.126699</t>
      </text>
    </comment>
    <comment ref="E33" authorId="0">
      <text>
        <t>LW Q3 FY26 earnings release Ex.99.1 (investors.lambweston.com static-files/9f03ff19, 2026-04-01) | Consolidated Balance Sheets (share data) | 13.129408</t>
      </text>
    </comment>
    <comment ref="F33" authorId="0">
      <text>
        <t>LW Q4/FY26 earnings release Ex.99.1 (sec.gov a-lwx20260531xexx991fy26v2.htm, 2026-07-24) | Consolidated Balance Sheets (share data) | 14.679316</t>
      </text>
    </comment>
    <comment ref="H36" authorId="0">
      <text>
        <t>LW FY26 Form 10-K (sec.gov lw-20260531.htm, 2026-07-24) | Cover page | 137.481011</t>
      </text>
    </comment>
    <comment ref="C40" authorId="0">
      <text>
        <t>LW Q1 FY26 earnings release Ex.99.1 (sec.gov lw-20250824x8kxexx9911q26.htm, 2025-09-30) | Consolidated Statements of Earnings | $0.37</t>
      </text>
    </comment>
    <comment ref="D40" authorId="0">
      <text>
        <t>LW Q2 FY26 earnings release Ex.99.1 (investors.lambweston.com static-files/f4d3c7be, 2025-12-19) | Consolidated Statements of Earnings | $0.37</t>
      </text>
    </comment>
    <comment ref="E40" authorId="0">
      <text>
        <t>LW Q3 FY26 earnings release Ex.99.1 (investors.lambweston.com static-files/9f03ff19, 2026-04-01) | Consolidated Statements of Earnings | $0.38</t>
      </text>
    </comment>
    <comment ref="F40" authorId="0">
      <text>
        <t>LW Q4/FY26 earnings release Ex.99.1 (sec.gov a-lwx20260531xexx991fy26v2.htm, 2026-07-24) | Consolidated Statements of Earnings | $0.38</t>
      </text>
    </comment>
    <comment ref="G40" authorId="0">
      <text>
        <t>LW Q4/FY26 earnings release Ex.99.1 (sec.gov a-lwx20260531xexx991fy26v2.htm, 2026-07-24) | Consolidated Statements of Earnings | $1.50</t>
      </text>
    </comment>
    <comment ref="H40" authorId="0">
      <text>
        <t>LW Q4/FY26 earnings release Ex.99.1 (sec.gov a-lwx20260531xexx991fy26v2.htm, 2026-07-24) | Consolidated Statements of Earnings | $0.38</t>
      </text>
    </comment>
  </commentList>
</comments>
</file>

<file path=xl/comments9.xml><?xml version="1.0" encoding="utf-8"?>
<comments xmlns="http://schemas.openxmlformats.org/spreadsheetml/2006/main">
  <authors>
    <author>Shortcut</author>
  </authors>
  <commentList>
    <comment ref="C9" authorId="0">
      <text>
        <t>LW_consensus.json | source | S&amp;P Capital IQ</t>
      </text>
    </comment>
    <comment ref="C10" authorId="0">
      <text>
        <t>LW_consensus.json | ticker | LW</t>
      </text>
    </comment>
    <comment ref="C11" authorId="0">
      <text>
        <t>LW_consensus.json | company | Lamb Weston Holdings, Inc.</t>
      </text>
    </comment>
    <comment ref="C12" authorId="0">
      <text>
        <t>LW_consensus.json | fiscal_period | Q1 FY2027</t>
      </text>
    </comment>
    <comment ref="C13" authorId="0">
      <text>
        <t>LW_consensus.json | period_end_date | 2026-08-31</t>
      </text>
    </comment>
    <comment ref="C14" authorId="0">
      <text>
        <t>LW_consensus.json | as_of_date | 2026-10-04</t>
      </text>
    </comment>
    <comment ref="C15" authorId="0">
      <text>
        <t>LW_consensus.json | analyst_count | 9</t>
      </text>
    </comment>
    <comment ref="C16" authorId="0">
      <text>
        <t>LW_consensus.json | consensus_eps | 0.59</t>
      </text>
    </comment>
    <comment ref="C17" authorId="0">
      <text>
        <t>LW_consensus.json | eps_basis | Normalized diluted EPS per common share, USD; verify issuer adjustments</t>
      </text>
    </comment>
    <comment ref="C18" authorId="0">
      <text>
        <t>LW_consensus.json | consensus_revenue_m | 1655.96</t>
      </text>
    </comment>
    <comment ref="C19" authorId="0">
      <text>
        <t>LW_consensus.json | currency | USD</t>
      </text>
    </comment>
    <comment ref="C20" authorId="0">
      <text>
        <t>LW_consensus.json | summary_sha256 | dcd0ceefcbfabc05b4b93dc4d870480edb653ec275c18d538b8e064442f96004</t>
      </text>
    </comment>
    <comment ref="C21" authorId="0">
      <text>
        <t>LW_consensus.json | captured_precision | date only, user confirmed</t>
      </text>
    </comment>
    <comment ref="C22" authorId="0">
      <text>
        <t>LW_consensus.json | currency_units_status | USD per common share inferred; verify filings</t>
      </text>
    </comment>
    <comment ref="C26" authorId="0">
      <text>
        <t>LW_consensus.json | summary_row.ticker | LW</t>
      </text>
    </comment>
    <comment ref="C27" authorId="0">
      <text>
        <t>LW_consensus.json | summary_row.company_name | Lamb Weston Holdings, Inc.</t>
      </text>
    </comment>
    <comment ref="C28" authorId="0">
      <text>
        <t>LW_consensus.json | summary_row.exchange_ticker | NYSE:LW</t>
      </text>
    </comment>
    <comment ref="C29" authorId="0">
      <text>
        <t>LW_consensus.json | summary_row.capiq_company_id | 374372246</t>
      </text>
    </comment>
    <comment ref="C30" authorId="0">
      <text>
        <t>LW_consensus.json | summary_row.sp500_member | Y</t>
      </text>
    </comment>
    <comment ref="C32" authorId="0">
      <text>
        <t>LW_consensus.json | summary_row.fiscal_quarter | FQ1 2027 - Aug 2026</t>
      </text>
    </comment>
    <comment ref="C33" authorId="0">
      <text>
        <t>LW_consensus.json | summary_row.quarter_end_date | 2026-08-31</t>
      </text>
    </comment>
    <comment ref="C34" authorId="0">
      <text>
        <t>LW_consensus.json | summary_row.expected_report_date | 2026-10-08</t>
      </text>
    </comment>
    <comment ref="C35" authorId="0">
      <text>
        <t>LW_consensus.json | summary_row.fiscal_year_end | May-31</t>
      </text>
    </comment>
    <comment ref="C36" authorId="0">
      <text>
        <t>LW_consensus.json | summary_row.analysts_covering | 12</t>
      </text>
    </comment>
    <comment ref="C37" authorId="0">
      <text>
        <t>LW_consensus.json | summary_row.eps_normalized_mean | 0.59</t>
      </text>
    </comment>
    <comment ref="C38" authorId="0">
      <text>
        <t>LW_consensus.json | summary_row.eps_normalized_median | 0.59</t>
      </text>
    </comment>
    <comment ref="C39" authorId="0">
      <text>
        <t>LW_consensus.json | summary_row.eps_normalized_high | 0.62</t>
      </text>
    </comment>
    <comment ref="C40" authorId="0">
      <text>
        <t>LW_consensus.json | summary_row.eps_normalized_low | 0.54</t>
      </text>
    </comment>
    <comment ref="C41" authorId="0">
      <text>
        <t>LW_consensus.json | summary_row.eps_normalized_std_dev | 0.02</t>
      </text>
    </comment>
    <comment ref="C42" authorId="0">
      <text>
        <t>LW_consensus.json | summary_row.eps_normalized_n_est | 9</t>
      </text>
    </comment>
    <comment ref="C46" authorId="0">
      <text>
        <t>LW_consensus.json | summary_row.eps_gaap_mean | 0.52</t>
      </text>
    </comment>
    <comment ref="C47" authorId="0">
      <text>
        <t>LW_consensus.json | summary_row.eps_gaap_median | 0.54</t>
      </text>
    </comment>
    <comment ref="C48" authorId="0">
      <text>
        <t>LW_consensus.json | summary_row.eps_gaap_high | 0.58</t>
      </text>
    </comment>
    <comment ref="C49" authorId="0">
      <text>
        <t>LW_consensus.json | summary_row.eps_gaap_low | 0.45</t>
      </text>
    </comment>
    <comment ref="C50" authorId="0">
      <text>
        <t>LW_consensus.json | summary_row.eps_gaap_std_dev | 0.05</t>
      </text>
    </comment>
    <comment ref="C51" authorId="0">
      <text>
        <t>LW_consensus.json | summary_row.eps_gaap_n_est | 5</t>
      </text>
    </comment>
    <comment ref="C52" authorId="0">
      <text>
        <t>LW_consensus.json | summary_row.eps_gaap_guidance | 0.38</t>
      </text>
    </comment>
    <comment ref="C53" authorId="0">
      <text>
        <t>LW_consensus.json | summary_row.revenue_m_mean | 1655.96</t>
      </text>
    </comment>
    <comment ref="C54" authorId="0">
      <text>
        <t>LW_consensus.json | summary_row.revenue_m_median | 1658.33</t>
      </text>
    </comment>
    <comment ref="C55" authorId="0">
      <text>
        <t>LW_consensus.json | summary_row.revenue_m_high | 1663.1</t>
      </text>
    </comment>
    <comment ref="C56" authorId="0">
      <text>
        <t>LW_consensus.json | summary_row.revenue_m_low | 1642.0</t>
      </text>
    </comment>
    <comment ref="C57" authorId="0">
      <text>
        <t>LW_consensus.json | summary_row.revenue_m_std_dev | 6.47</t>
      </text>
    </comment>
    <comment ref="C58" authorId="0">
      <text>
        <t>LW_consensus.json | summary_row.revenue_m_n_est | 8</t>
      </text>
    </comment>
    <comment ref="C59" authorId="0">
      <text>
        <t>LW_consensus.json | summary_row.revenue_m_guidance | 1659.3</t>
      </text>
    </comment>
    <comment ref="C62" authorId="0">
      <text>
        <t>LW_consensus.json | summary_row.ebitda_m | 261.97</t>
      </text>
    </comment>
    <comment ref="C63" authorId="0">
      <text>
        <t>LW_consensus.json | summary_row.ebit_m | 157.38</t>
      </text>
    </comment>
    <comment ref="C64" authorId="0">
      <text>
        <t>LW_consensus.json | summary_row.ebt_excl_excep_m | 107.8</t>
      </text>
    </comment>
    <comment ref="C66" authorId="0">
      <text>
        <t>LW_consensus.json | summary_row.net_income_excl_excep_m | 80.97</t>
      </text>
    </comment>
    <comment ref="C67" authorId="0">
      <text>
        <t>LW_consensus.json | summary_row.net_income_gaap_m | 73.68</t>
      </text>
    </comment>
    <comment ref="C68" authorId="0">
      <text>
        <t>LW_consensus.json | summary_row.gross_margin_pct | 18.04</t>
      </text>
    </comment>
    <comment ref="C69" authorId="0">
      <text>
        <t>LW_consensus.json | summary_row.effective_tax_rate_pct | 28.4</t>
      </text>
    </comment>
    <comment ref="C70" authorId="0">
      <text>
        <t>LW_consensus.json | summary_row.d_and_a_m | 101.98</t>
      </text>
    </comment>
    <comment ref="C71" authorId="0">
      <text>
        <t>LW_consensus.json | summary_row.capex_m | -100.0</t>
      </text>
    </comment>
    <comment ref="C72" authorId="0">
      <text>
        <t>LW_consensus.json | summary_row.cfo_m | 227.0</t>
      </text>
    </comment>
    <comment ref="C73" authorId="0">
      <text>
        <t>LW_consensus.json | summary_row.fcf_m | 127.0</t>
      </text>
    </comment>
    <comment ref="C76" authorId="0">
      <text>
        <t>LW_consensus.json | summary_row.cfps | 2.39</t>
      </text>
    </comment>
    <comment ref="C77" authorId="0">
      <text>
        <t>LW_consensus.json | summary_row.bvps | 14.38</t>
      </text>
    </comment>
    <comment ref="C78" authorId="0">
      <text>
        <t>LW_consensus.json | summary_row.dps | 0.38</t>
      </text>
    </comment>
    <comment ref="C83" authorId="0">
      <text>
        <t>LW_consensus.json | summary_row.target_price_mean | 54.33</t>
      </text>
    </comment>
    <comment ref="C84" authorId="0">
      <text>
        <t>LW_consensus.json | summary_row.target_price_median | 53.5</t>
      </text>
    </comment>
    <comment ref="C85" authorId="0">
      <text>
        <t>LW_consensus.json | summary_row.target_price_high | 65.0</t>
      </text>
    </comment>
    <comment ref="C86" authorId="0">
      <text>
        <t>LW_consensus.json | summary_row.target_price_low | 46.0</t>
      </text>
    </comment>
    <comment ref="C87" authorId="0">
      <text>
        <t>LW_consensus.json | summary_row.target_price_std_dev | 4.61</t>
      </text>
    </comment>
    <comment ref="C88" authorId="0">
      <text>
        <t>LW_consensus.json | summary_row.target_price_n_est | 12</t>
      </text>
    </comment>
    <comment ref="C89" authorId="0">
      <text>
        <t>LW_consensus.json | summary_row.recommendation | Outperform</t>
      </text>
    </comment>
    <comment ref="C90" authorId="0">
      <text>
        <t>LW_consensus.json | summary_row.recommendation_score | 2.50</t>
      </text>
    </comment>
    <comment ref="C91" authorId="0">
      <text>
        <t>LW_consensus.json | summary_row.last_close_price | 43.6</t>
      </text>
    </comment>
    <comment ref="C92" authorId="0">
      <text>
        <t>LW_consensus.json | summary_row.wk52_high_low | 67.07/37.62</t>
      </text>
    </comment>
    <comment ref="C93" authorId="0">
      <text>
        <t>LW_consensus.json | summary_row.currency | USD</t>
      </text>
    </comment>
    <comment ref="C94" authorId="0">
      <text>
        <t>LW_consensus.json | summary_row.units | per-share in USD; revenue and income in USD millions</t>
      </text>
    </comment>
    <comment ref="C95" authorId="0">
      <text>
        <t>LW_consensus.json | summary_row.estimates_captured_at | 2026-10-04</t>
      </text>
    </comment>
    <comment ref="B100" authorId="0">
      <text>
        <t>LW_history.csv | data row 1, column period_end_date | 2025-02-28</t>
      </text>
    </comment>
    <comment ref="C100" authorId="0">
      <text>
        <t>LW_history.csv | data row 1, column report_date | 2025-04-03</t>
      </text>
    </comment>
    <comment ref="D100" authorId="0">
      <text>
        <t>LW_history.csv | data row 1, column eps_normalized_consensus | 0.87</t>
      </text>
    </comment>
    <comment ref="E100" authorId="0">
      <text>
        <t>LW_history.csv | data row 1, column eps_normalized_actual | 1.1</t>
      </text>
    </comment>
    <comment ref="F100" authorId="0">
      <text>
        <t>LW_history.csv | data row 1, column eps_gaap_consensus | 0.69</t>
      </text>
    </comment>
    <comment ref="G100" authorId="0">
      <text>
        <t>LW_history.csv | data row 1, column eps_gaap_actual | 1.03</t>
      </text>
    </comment>
    <comment ref="H100" authorId="0">
      <text>
        <t>LW_history.csv | data row 1, column revenue_m_consensus | 1492.67</t>
      </text>
    </comment>
    <comment ref="I100" authorId="0">
      <text>
        <t>LW_history.csv | data row 1, column revenue_m_actual | 1520.5</t>
      </text>
    </comment>
    <comment ref="B101" authorId="0">
      <text>
        <t>LW_history.csv | data row 2, column period_end_date | 2025-05-31</t>
      </text>
    </comment>
    <comment ref="C101" authorId="0">
      <text>
        <t>LW_history.csv | data row 2, column report_date | 2025-07-23</t>
      </text>
    </comment>
    <comment ref="D101" authorId="0">
      <text>
        <t>LW_history.csv | data row 2, column eps_normalized_consensus | 0.63</t>
      </text>
    </comment>
    <comment ref="E101" authorId="0">
      <text>
        <t>LW_history.csv | data row 2, column eps_normalized_actual | 0.87</t>
      </text>
    </comment>
    <comment ref="F101" authorId="0">
      <text>
        <t>LW_history.csv | data row 2, column eps_gaap_consensus | 0.51</t>
      </text>
    </comment>
    <comment ref="G101" authorId="0">
      <text>
        <t>LW_history.csv | data row 2, column eps_gaap_actual | 0.85</t>
      </text>
    </comment>
    <comment ref="H101" authorId="0">
      <text>
        <t>LW_history.csv | data row 2, column revenue_m_consensus | 1589.32</t>
      </text>
    </comment>
    <comment ref="I101" authorId="0">
      <text>
        <t>LW_history.csv | data row 2, column revenue_m_actual | 1675.8</t>
      </text>
    </comment>
    <comment ref="B102" authorId="0">
      <text>
        <t>LW_history.csv | data row 3, column period_end_date | 2025-08-31</t>
      </text>
    </comment>
    <comment ref="C102" authorId="0">
      <text>
        <t>LW_history.csv | data row 3, column report_date | 2025-09-30</t>
      </text>
    </comment>
    <comment ref="D102" authorId="0">
      <text>
        <t>LW_history.csv | data row 3, column eps_normalized_consensus | 0.53</t>
      </text>
    </comment>
    <comment ref="E102" authorId="0">
      <text>
        <t>LW_history.csv | data row 3, column eps_normalized_actual | 0.74</t>
      </text>
    </comment>
    <comment ref="F102" authorId="0">
      <text>
        <t>LW_history.csv | data row 3, column eps_gaap_consensus | 0.44</t>
      </text>
    </comment>
    <comment ref="G102" authorId="0">
      <text>
        <t>LW_history.csv | data row 3, column eps_gaap_actual | 0.46</t>
      </text>
    </comment>
    <comment ref="H102" authorId="0">
      <text>
        <t>LW_history.csv | data row 3, column revenue_m_consensus | 1615.75</t>
      </text>
    </comment>
    <comment ref="I102" authorId="0">
      <text>
        <t>LW_history.csv | data row 3, column revenue_m_actual | 1659.3</t>
      </text>
    </comment>
    <comment ref="B103" authorId="0">
      <text>
        <t>LW_history.csv | data row 4, column period_end_date | 2025-11-30</t>
      </text>
    </comment>
    <comment ref="C103" authorId="0">
      <text>
        <t>LW_history.csv | data row 4, column report_date | 2025-12-19</t>
      </text>
    </comment>
    <comment ref="D103" authorId="0">
      <text>
        <t>LW_history.csv | data row 4, column eps_normalized_consensus | 0.65</t>
      </text>
    </comment>
    <comment ref="E103" authorId="0">
      <text>
        <t>LW_history.csv | data row 4, column eps_normalized_actual | 0.69</t>
      </text>
    </comment>
    <comment ref="F103" authorId="0">
      <text>
        <t>LW_history.csv | data row 4, column eps_gaap_consensus | 0.58</t>
      </text>
    </comment>
    <comment ref="G103" authorId="0">
      <text>
        <t>LW_history.csv | data row 4, column eps_gaap_actual | 0.44</t>
      </text>
    </comment>
    <comment ref="H103" authorId="0">
      <text>
        <t>LW_history.csv | data row 4, column revenue_m_consensus | 1590.27</t>
      </text>
    </comment>
    <comment ref="I103" authorId="0">
      <text>
        <t>LW_history.csv | data row 4, column revenue_m_actual | 1618.1</t>
      </text>
    </comment>
    <comment ref="B104" authorId="0">
      <text>
        <t>LW_history.csv | data row 5, column period_end_date | 2026-02-28</t>
      </text>
    </comment>
    <comment ref="C104" authorId="0">
      <text>
        <t>LW_history.csv | data row 5, column report_date | 2026-04-01</t>
      </text>
    </comment>
    <comment ref="D104" authorId="0">
      <text>
        <t>LW_history.csv | data row 5, column eps_normalized_consensus | 0.61</t>
      </text>
    </comment>
    <comment ref="E104" authorId="0">
      <text>
        <t>LW_history.csv | data row 5, column eps_normalized_actual | 0.72</t>
      </text>
    </comment>
    <comment ref="F104" authorId="0">
      <text>
        <t>LW_history.csv | data row 5, column eps_gaap_consensus | 0.51</t>
      </text>
    </comment>
    <comment ref="G104" authorId="0">
      <text>
        <t>LW_history.csv | data row 5, column eps_gaap_actual | 0.39</t>
      </text>
    </comment>
    <comment ref="H104" authorId="0">
      <text>
        <t>LW_history.csv | data row 5, column revenue_m_consensus | 1486.19</t>
      </text>
    </comment>
    <comment ref="I104" authorId="0">
      <text>
        <t>LW_history.csv | data row 5, column revenue_m_actual | 1564.8</t>
      </text>
    </comment>
    <comment ref="B105" authorId="0">
      <text>
        <t>LW_history.csv | data row 6, column period_end_date | 2026-05-31</t>
      </text>
    </comment>
    <comment ref="C105" authorId="0">
      <text>
        <t>LW_history.csv | data row 6, column report_date | 2026-07-24</t>
      </text>
    </comment>
    <comment ref="D105" authorId="0">
      <text>
        <t>LW_history.csv | data row 6, column eps_normalized_consensus | 0.63</t>
      </text>
    </comment>
    <comment ref="E105" authorId="0">
      <text>
        <t>LW_history.csv | data row 6, column eps_normalized_actual | 0.87</t>
      </text>
    </comment>
    <comment ref="F105" authorId="0">
      <text>
        <t>LW_history.csv | data row 6, column eps_gaap_consensus | 0.53</t>
      </text>
    </comment>
    <comment ref="G105" authorId="0">
      <text>
        <t>LW_history.csv | data row 6, column eps_gaap_actual | 0.79</t>
      </text>
    </comment>
    <comment ref="H105" authorId="0">
      <text>
        <t>LW_history.csv | data row 6, column revenue_m_consensus | 1692.07</t>
      </text>
    </comment>
    <comment ref="I105" authorId="0">
      <text>
        <t>LW_history.csv | data row 6, column revenue_m_actual | 1770.1</t>
      </text>
    </comment>
  </commentList>
</comments>
</file>

<file path=xl/sharedStrings.xml><?xml version="1.0" encoding="utf-8"?>
<sst xmlns="http://schemas.openxmlformats.org/spreadsheetml/2006/main" count="1797" uniqueCount="778">
  <si>
    <t>Lamb Weston Holdings, Inc. (NYSE: LW)</t>
  </si>
  <si>
    <t>Company Model — built by Shortcut</t>
  </si>
  <si>
    <t>$ millions, except per share</t>
  </si>
  <si>
    <t>Company</t>
  </si>
  <si>
    <t>Lamb Weston Holdings, Inc.</t>
  </si>
  <si>
    <t>Ticker / exchange</t>
  </si>
  <si>
    <t>LW / New York Stock Exchange</t>
  </si>
  <si>
    <t>Fiscal year end</t>
  </si>
  <si>
    <t>Last Sunday of May (FY26 ended 2026-05-31; 53 weeks)</t>
  </si>
  <si>
    <t>Reporting currency</t>
  </si>
  <si>
    <t>USD</t>
  </si>
  <si>
    <t>Forecast period</t>
  </si>
  <si>
    <t>Q1 FY2027 (1Q27E): 13 weeks ended 2026-08-30</t>
  </si>
  <si>
    <t>EPS basis</t>
  </si>
  <si>
    <t>Normalized (LW Adjusted) diluted EPS per common share, USD — CapIQ consensus basis</t>
  </si>
  <si>
    <t>Information cutoff</t>
  </si>
  <si>
    <t>2026-10-04 22:22 UTC</t>
  </si>
  <si>
    <t>Expected report date</t>
  </si>
  <si>
    <t>2026-10-06, 8:00 AM ET (announced; S26)</t>
  </si>
  <si>
    <t>CapIQ expected_report_date 2026-10-08 (Inputs C34, kept raw) differs; company-announced 2026-10-06 (S26, publication date month-only) corroborated by MarketBeat 2026-09-29 (S15)</t>
  </si>
  <si>
    <t>Market cap at cutoff</t>
  </si>
  <si>
    <t>$5.99bn (2026-10-02 close $43.60; S20) — mid cap</t>
  </si>
  <si>
    <t>Index membership</t>
  </si>
  <si>
    <t>S&amp;P SmallCap 600 (left S&amp;P 500 on 2026-03-23; S19)</t>
  </si>
  <si>
    <t>Author</t>
  </si>
  <si>
    <t>Shortcut</t>
  </si>
  <si>
    <t>Consensus source</t>
  </si>
  <si>
    <t>S&amp;P Capital IQ snapshot 2026-10-04 (9 normalized EPS contributors)</t>
  </si>
  <si>
    <t>Headline estimates — 1Q27E vs consensus vs guidance</t>
  </si>
  <si>
    <t>Metric</t>
  </si>
  <si>
    <t>Shortcut est.</t>
  </si>
  <si>
    <t>Consensus</t>
  </si>
  <si>
    <t>Var. ($)</t>
  </si>
  <si>
    <t>Var. (%)</t>
  </si>
  <si>
    <t>Guidance mid</t>
  </si>
  <si>
    <t>Est. vs guide</t>
  </si>
  <si>
    <t>Basis / notes</t>
  </si>
  <si>
    <t>Net sales ($M)</t>
  </si>
  <si>
    <t>Guide: "flat" Y/Y (S08); consensus mean of 8</t>
  </si>
  <si>
    <t>Adj. net income ($M)</t>
  </si>
  <si>
    <t>Consensus = CapIQ net income excl. exceptional items; guide implied (derived)</t>
  </si>
  <si>
    <t>Adj. diluted EPS ($)</t>
  </si>
  <si>
    <t>Frozen consensus $0.59 (n=9, range $0.54–0.62); guide implied (derived). D&amp;A basis unresolved: plausible 1Q27E D&amp;A $100.4–104.7M gives EPS ≈$0.616–0.593 (IS I154)</t>
  </si>
  <si>
    <t>GAAP diluted EPS ($)</t>
  </si>
  <si>
    <t>n/a</t>
  </si>
  <si>
    <t>GAAP consensus n=5; LW issues no GAAP guidance</t>
  </si>
  <si>
    <t>GAAP net income ($M)</t>
  </si>
  <si>
    <t>Includes $35M plan charges assumption</t>
  </si>
  <si>
    <t>Adjusted EBITDA ($M)</t>
  </si>
  <si>
    <t>Guide: down low-teens % Y/Y (S08)</t>
  </si>
  <si>
    <t>Historical tie-out check</t>
  </si>
  <si>
    <t>AND of historical tie-out checks on each tab plus Balance Sheet C44:H44 (1Q27E balance is a genuine roll-forward test). Excludes construction identities: Share Count row 37 (row 29 is a plug), 1Q27E identity checks, segment residuals and C30. FY26A adj. EPS (IS G135 = FALSE) is a disclosed $0.008 reconciliation difference, excluded and not forced</t>
  </si>
  <si>
    <t>Cover ties to statements</t>
  </si>
  <si>
    <t>Link-integrity memo (identity by construction); excluded from C29</t>
  </si>
  <si>
    <t>P(beat consensus EPS)</t>
  </si>
  <si>
    <t>Probability reported adjusted EPS is strictly above $0.59; start (8·0.70+6)/14 = 82.9%, adjusted for thin model edge and cost/tax risk (Inputs D)</t>
  </si>
  <si>
    <t>Confidence</t>
  </si>
  <si>
    <t>medium</t>
  </si>
  <si>
    <t>Thesis</t>
  </si>
  <si>
    <t>• Estimate tracks management’s 1Q27 cadence: net sales ≈flat and Adj. EBITDA −12% Y/Y ($265M) as Q4 potato, edible-oil and freight costs roll through inventory.</t>
  </si>
  <si>
    <t>• North America: volume +3.5%, price/mix −2%; International: volume −1.5%, price/mix −2%, FX −1% (EMEA weak, Middle East disruption).</t>
  </si>
  <si>
    <t>• EPS $0.61 vs $0.59 consensus: consensus sits at the bottom of the guided EBITDA range with a ≈28% tax rate; LW beat normalized consensus in all six supplied quarters.</t>
  </si>
  <si>
    <t>• Risks: tax rate (1H26 ran 30–32%), EMEA price competition, a deteriorating 2026 European crop and July edible-oil spike; each $1M of EBITDA ≈ $0.005/share.</t>
  </si>
  <si>
    <t>Revenue summary</t>
  </si>
  <si>
    <t>Period</t>
  </si>
  <si>
    <t>1Q26A</t>
  </si>
  <si>
    <t>2Q26A</t>
  </si>
  <si>
    <t>3Q26A</t>
  </si>
  <si>
    <t>4Q26A</t>
  </si>
  <si>
    <t>FY26A</t>
  </si>
  <si>
    <t>1Q27E</t>
  </si>
  <si>
    <t>Notes</t>
  </si>
  <si>
    <t>Period end</t>
  </si>
  <si>
    <t>Days in period</t>
  </si>
  <si>
    <t>Net sales by reported segment</t>
  </si>
  <si>
    <t>North America</t>
  </si>
  <si>
    <t>International</t>
  </si>
  <si>
    <t>Total net sales</t>
  </si>
  <si>
    <t>Reported consolidated net sales</t>
  </si>
  <si>
    <t>1Q26A–4Q26A linked to CapIQ revenue_m_actual (Inputs); FY26A from Q4/FY26 release; 1Q27E = model</t>
  </si>
  <si>
    <t>Check: segments sum to total</t>
  </si>
  <si>
    <t>1Q27E (H13) = construction identity - memo only, excluded from PASS</t>
  </si>
  <si>
    <t>Check: FY = sum of quarters</t>
  </si>
  <si>
    <t>Geography: ~65% of FY26 sales were to US customers; US / non-US split is on the Geo tab (annual disclosure only).</t>
  </si>
  <si>
    <t>Total company</t>
  </si>
  <si>
    <t>Prior-year period net sales</t>
  </si>
  <si>
    <t>Check: prior year ties to CapIQ</t>
  </si>
  <si>
    <t>3Q25 and 4Q25 totals vs CapIQ revenue_m_actual (Inputs rows for 2025-02-28 and 2025-05-31)</t>
  </si>
  <si>
    <t xml:space="preserve">   % Y/Y</t>
  </si>
  <si>
    <t xml:space="preserve">   % Q/Q</t>
  </si>
  <si>
    <t>4Q26A is a 14-week quarter</t>
  </si>
  <si>
    <t xml:space="preserve">   % of total net sales</t>
  </si>
  <si>
    <t>Sales volume growth (Y/Y)</t>
  </si>
  <si>
    <t xml:space="preserve">   Change vs year-ago quarter (bps)</t>
  </si>
  <si>
    <t xml:space="preserve">   Change vs prior quarter (bps)</t>
  </si>
  <si>
    <t>Price/mix growth (Y/Y, const. ccy)</t>
  </si>
  <si>
    <t>FX translation impact ($)</t>
  </si>
  <si>
    <t>Memo: extra 53rd week in sales</t>
  </si>
  <si>
    <t>Growth decomposition — total company</t>
  </si>
  <si>
    <t>Total Y/Y growth</t>
  </si>
  <si>
    <t>M&amp;A (acquisitions / divestitures)</t>
  </si>
  <si>
    <t>Sales-weighted segment M&amp;A; none in the period (FY26 10-K)</t>
  </si>
  <si>
    <t>Scope: extra 53rd week</t>
  </si>
  <si>
    <t>FX impact</t>
  </si>
  <si>
    <t>Organic growth</t>
  </si>
  <si>
    <t>Net sales at constant currency</t>
  </si>
  <si>
    <t xml:space="preserve">   Constant-currency growth</t>
  </si>
  <si>
    <t>Net sales excl. FX &amp; extra week</t>
  </si>
  <si>
    <t xml:space="preserve">   Growth excl. FX &amp; extra week</t>
  </si>
  <si>
    <t>North America (detail on Segment - North America tab)</t>
  </si>
  <si>
    <t>Net sales — North America</t>
  </si>
  <si>
    <t xml:space="preserve">   M&amp;A</t>
  </si>
  <si>
    <t xml:space="preserve">   Scope: extra 53rd week</t>
  </si>
  <si>
    <t xml:space="preserve">   FX impact</t>
  </si>
  <si>
    <t xml:space="preserve">   Organic growth</t>
  </si>
  <si>
    <t>International (detail on Segment - International tab)</t>
  </si>
  <si>
    <t>Net sales — International</t>
  </si>
  <si>
    <t>Check: historical tie-outs pass</t>
  </si>
  <si>
    <t>Excludes 1Q27E H13 (H12 = H11 by construction) and segment build residuals (disclosed as assumptions on segment tabs)</t>
  </si>
  <si>
    <t>Segment - North America — net sales and Segment Adjusted EBITDA build</t>
  </si>
  <si>
    <t>Note: LW does not disclose pounds shipped, customer counts or unit prices; the ladder uses reported volume % and price/mix % (constant currency).</t>
  </si>
  <si>
    <t>Net sales build (driver ladder)</t>
  </si>
  <si>
    <t>Comparative column of each release; 1Q27E = 1Q26A (year-ago quarter)</t>
  </si>
  <si>
    <t xml:space="preserve">   Y/Y change ($)</t>
  </si>
  <si>
    <t xml:space="preserve">   Q/Q change ($)</t>
  </si>
  <si>
    <t>1Q27E +3.5%: FY27 guide low-single-digit NA volume growth (S08); 4Q26 underlying volume ≈+3% ex extra week; Zacks consensus NA volume +3.8% (S11)</t>
  </si>
  <si>
    <t>Volume contribution ($)</t>
  </si>
  <si>
    <t>1Q27E −2.0%: FY27 guide low-single-digit NA price/mix decline; 4Q26 −2% with price and mix equal (S08)</t>
  </si>
  <si>
    <t>Price/mix contribution ($)</t>
  </si>
  <si>
    <t>Reported net sales less net sales at constant currency (sign: + = favourable); FY26A is the reported annual figure (quarters sum to 8.0 vs 7.8; rounding)</t>
  </si>
  <si>
    <t>FX impact (% of prior-year sales)</t>
  </si>
  <si>
    <t>1Q27E 0.0%: NA is USD/CAD/MXN; FX immaterial in every FY26 quarter (≤0.4%)</t>
  </si>
  <si>
    <t>Rounding / interaction</t>
  </si>
  <si>
    <t>Volume and price/mix are disclosed as rounded whole percentages; 1Q27E residual = multiplicative cross-terms</t>
  </si>
  <si>
    <t>FY26A = 10-K/Q4 release reported annual figure (quarters sum within $0.1M rounding)</t>
  </si>
  <si>
    <t xml:space="preserve">   % of total company net sales</t>
  </si>
  <si>
    <t>Only 4Q26 (14 weeks) and FY26 (53 weeks) include an extra week; 13-week quarters carry none; 1Q27E is a 13-week quarter</t>
  </si>
  <si>
    <t>Growth decomposition</t>
  </si>
  <si>
    <t>No acquisitions/divestitures in FY26 or announced for 1Q27 (Broekhuizenvorst is a plant closure, not a divestiture)</t>
  </si>
  <si>
    <t>Segment profit</t>
  </si>
  <si>
    <t>Prior-year Segment Adj. EBITDA</t>
  </si>
  <si>
    <t>Segment Adj. EBITDA margin</t>
  </si>
  <si>
    <t>1Q27E 23.9%: guided carry-over potato/edible-oil inflation in Q1 (S08) vs 24.0% in 1Q26A; Zacks NA EBITDA consensus $261.0M (S11)</t>
  </si>
  <si>
    <t xml:space="preserve">   Change Y/Y (bps)</t>
  </si>
  <si>
    <t>Segment Adj. EBITDA — North America</t>
  </si>
  <si>
    <t>Memo: extra-week EBITDA</t>
  </si>
  <si>
    <t>Segment Adj. EBITDA excl. extra wk</t>
  </si>
  <si>
    <t xml:space="preserve">   Margin excl. extra week</t>
  </si>
  <si>
    <t>Memo: build residual within ±1% (assumption)</t>
  </si>
  <si>
    <t>Volume and price/mix are rounded whole percentages, so a small residual is expected; &gt;1% would signal a data error. Disclosed residual, excluded from PASS; 1Q27E residual = multiplicative cross-terms by construction</t>
  </si>
  <si>
    <t>Segment - International — net sales and Segment Adjusted EBITDA build</t>
  </si>
  <si>
    <t>1Q27E −1.5%: EMEA weakness and Middle East shipment disruption (4Q26 underlying volume ≈−9% ex extra week) partly offset by APAC/LatAm growth; FY27 guide LSD volume growth; Zacks consensus −0.5% (S11)</t>
  </si>
  <si>
    <t>1Q27E −2.0%: FY27 guide low-to-mid-single-digit price/mix investment, EMEA competitive pricing (S08); 4Q26 −4%</t>
  </si>
  <si>
    <t>Reported net sales less net sales at constant currency (sign: + = favourable); FY26A is the reported annual figure (quarters sum to 115.2 vs 115.3; rounding)</t>
  </si>
  <si>
    <t>1Q27E −1.0%: EUR/USD Jun–Aug 2026 avg ≈1.151 (Banque de France, S22) vs ≈1.16 a year earlier (S23)</t>
  </si>
  <si>
    <t>1Q27E 5.5%: Q4 cost carry-over (high-cost potatoes, freight, edible oil) into Q1 (S08); 1Q26A 10.0% incl. $3.5M Argentina start-up; Zacks Intl EBITDA consensus $29.7M (S11)</t>
  </si>
  <si>
    <t>Segment Adj. EBITDA — International</t>
  </si>
  <si>
    <t>Memo: raw-potato write-off in EBITDA</t>
  </si>
  <si>
    <t>3Q26 net $32.5M; 39-week YTD $45.6M (1Q/2Q split not disclosed); FY26 incremental vs FY25 $33.1M (S06) — different measure, not entered</t>
  </si>
  <si>
    <t>Income Statement</t>
  </si>
  <si>
    <t>GAAP income statement (as reported)</t>
  </si>
  <si>
    <t>Net sales</t>
  </si>
  <si>
    <t>Cost of sales</t>
  </si>
  <si>
    <t>Gross profit</t>
  </si>
  <si>
    <t xml:space="preserve">   Gross margin</t>
  </si>
  <si>
    <t>SG&amp;A expenses</t>
  </si>
  <si>
    <t xml:space="preserve">   SG&amp;A % of net sales</t>
  </si>
  <si>
    <t>Cost Savings Program &amp; restructuring</t>
  </si>
  <si>
    <t>1Q27E: Broekhuizenvorst closure ($80–110M FY27, S10) and other plan charges booked here, less the inventory portion in cost of sales</t>
  </si>
  <si>
    <t>Income from operations</t>
  </si>
  <si>
    <t xml:space="preserve">   Operating margin</t>
  </si>
  <si>
    <t>Interest expense, net</t>
  </si>
  <si>
    <t>1Q27E $47.0M: FY27 guide ≈$190M (S06) ≈$47.5M/qtr; 1Q26A $43.7M</t>
  </si>
  <si>
    <t>Pre-tax income before equity earnings</t>
  </si>
  <si>
    <t>Income tax expense</t>
  </si>
  <si>
    <t xml:space="preserve">   Effective tax rate</t>
  </si>
  <si>
    <t>Equity-method investment earnings</t>
  </si>
  <si>
    <t>Net income (GAAP)</t>
  </si>
  <si>
    <t xml:space="preserve">   Net margin</t>
  </si>
  <si>
    <t>Prior-year net income</t>
  </si>
  <si>
    <t>Check: FY NI = sum of quarters</t>
  </si>
  <si>
    <t>Shares and GAAP EPS</t>
  </si>
  <si>
    <t>Weighted avg. basic shares (M)</t>
  </si>
  <si>
    <t>Weighted avg. diluted shares (M)</t>
  </si>
  <si>
    <t>Basic EPS (GAAP)</t>
  </si>
  <si>
    <t>Diluted EPS (GAAP)</t>
  </si>
  <si>
    <t>Memo: reported diluted EPS</t>
  </si>
  <si>
    <t>1Q26A–4Q26A linked to CapIQ eps_gaap_actual (Inputs); FY26A from Q4/FY26 release</t>
  </si>
  <si>
    <t>Prior-year diluted EPS (GAAP)</t>
  </si>
  <si>
    <t>Check: EPS = NI / diluted shares</t>
  </si>
  <si>
    <t>Actual columns: computed EPS within ±$0.006 of reported (rounded) EPS; 1Q27E (H50) = construction identity, excluded from PASS</t>
  </si>
  <si>
    <t>GAAP to non-GAAP bridge — pre-tax adjustments ($M)</t>
  </si>
  <si>
    <t>Unrealized derivative (gains) losses</t>
  </si>
  <si>
    <t>1Q27E nil: mark-to-market not forecastable</t>
  </si>
  <si>
    <t>FX exchange (gains) losses</t>
  </si>
  <si>
    <t>1Q27E nil: not forecastable</t>
  </si>
  <si>
    <t>Blue chip swap transaction gains</t>
  </si>
  <si>
    <t>Reported "—" in every FY26 period</t>
  </si>
  <si>
    <t>Stock-based compensation</t>
  </si>
  <si>
    <t>1Q27E $11.0M pre-tax / $1.8M tax: run-rate of 1Q–3Q26 ($10.5–10.6M); excluded from adjusted EPS since FY26</t>
  </si>
  <si>
    <t>Cost Savings / Restructuring Plan</t>
  </si>
  <si>
    <t>1Q27E $35M pre-tax: Broekhuizenvorst closure ($80–110M, mostly FY27, S10) + other plan charges ($20–30M FY27); low tax shield (Dutch charges largely unbenefited, as in 3Q26)</t>
  </si>
  <si>
    <t>Shareholder activism expense</t>
  </si>
  <si>
    <t>1Q27E nil</t>
  </si>
  <si>
    <t>Pension settlement</t>
  </si>
  <si>
    <t>Plan terminated in FY26; 1Q27E nil</t>
  </si>
  <si>
    <t>Total pre-tax adjustments</t>
  </si>
  <si>
    <t>Tax effect of adjustments ($M)</t>
  </si>
  <si>
    <t>Total tax effect</t>
  </si>
  <si>
    <t>After-tax adjustments ($M)</t>
  </si>
  <si>
    <t>Total after-tax adjustments</t>
  </si>
  <si>
    <t>Adj. net income (GAAP NI + adj.)</t>
  </si>
  <si>
    <t>Per-share adjustments ($ per diluted share)</t>
  </si>
  <si>
    <t>Total per-share adjustments</t>
  </si>
  <si>
    <t>Adj. diluted EPS (GAAP EPS + adj.)</t>
  </si>
  <si>
    <t>Adjusted P&amp;L — consensus (normalized) basis</t>
  </si>
  <si>
    <t>Adjusted gross profit</t>
  </si>
  <si>
    <t xml:space="preserve">   Adjusted gross margin</t>
  </si>
  <si>
    <t>Gross-profit-level adjustments</t>
  </si>
  <si>
    <t>1Q27E $5.0M: inventory write-down at the closing Dutch plant booked in cost of sales (portion of the $35M plan charges)</t>
  </si>
  <si>
    <t>Adjusted SG&amp;A</t>
  </si>
  <si>
    <t>1Q27E $142.0M: FY27 guide SG&amp;A to decline (S08); 1Q26A $132.4M benefited from $7.3M misc. income; 2Q–4Q26 $145–164M</t>
  </si>
  <si>
    <t xml:space="preserve">   Adjusted SG&amp;A % of net sales</t>
  </si>
  <si>
    <t>SG&amp;A-level adjustments</t>
  </si>
  <si>
    <t>Adj. income from operations</t>
  </si>
  <si>
    <t xml:space="preserve">   Adjusted operating margin</t>
  </si>
  <si>
    <t>Check: GAAP op. inc. + adj. = adj.</t>
  </si>
  <si>
    <t>1Q27E (H120) = construction identity - memo only, excluded from PASS</t>
  </si>
  <si>
    <t>Adj. equity-method earnings</t>
  </si>
  <si>
    <t>No equity-method adjustments in FY26. 1Q27E $2.5M: JV curtailed lines restarted; FY27 guide modest growth (S08)</t>
  </si>
  <si>
    <t>Adjusted pre-tax income</t>
  </si>
  <si>
    <t>Adjusted income tax expense</t>
  </si>
  <si>
    <t>Adjusted effective tax rate</t>
  </si>
  <si>
    <t>1Q27E 28.0%: FY27 guide 25.5–27.5% (S06) but 1H26 ran 30–32% ex-discrete (losses in jurisdictions without tax benefit); CapIQ consensus ETR 28.4%. Applied to pre-tax incl. equity-method earnings, matching LW's adjusted ETR definition (S06)</t>
  </si>
  <si>
    <t>Adj. net income (consensus basis)</t>
  </si>
  <si>
    <t>Memo: reported adj. net income</t>
  </si>
  <si>
    <t>Check: adj. NI ties (bridge, reported)</t>
  </si>
  <si>
    <t>1Q27E (H132) = construction identity - memo only, excluded from PASS</t>
  </si>
  <si>
    <t>Adj. diluted EPS (consensus basis)</t>
  </si>
  <si>
    <t>Consensus basis = CapIQ normalized diluted EPS = LW Adjusted Diluted EPS (CapIQ normalized actuals equal LW adjusted EPS in every FY26 quarter)</t>
  </si>
  <si>
    <t>Memo: reported adj. diluted EPS</t>
  </si>
  <si>
    <t>1Q26A–4Q26A linked to CapIQ eps_normalized_actual (Inputs); FY26A $3.01 reported (quarters sum to $3.02)</t>
  </si>
  <si>
    <t>Check: adj. EPS = adj. NI / dil. shares</t>
  </si>
  <si>
    <t>Actual quarters: computed within ±$0.006 of reported (rounded) EPS (gaps ≤$0.0033). FY26A G135 FALSE: 419.8/139.1 = $3.018 vs reported $3.01 ($0.008 gap; quarters sum to $3.02) - reconciliation difference, reported value kept, excluded from PASS. 1Q27E (H135) = construction identity, memo only</t>
  </si>
  <si>
    <t>Prior-year adj. diluted EPS (recast)</t>
  </si>
  <si>
    <t>Consensus normalized EPS (CapIQ)</t>
  </si>
  <si>
    <t>Surprise vs consensus ($/share)</t>
  </si>
  <si>
    <t>1Q27E (H139) = model estimate less frozen consensus (model edge), not a reported surprise</t>
  </si>
  <si>
    <t>Adjusted EBITDA</t>
  </si>
  <si>
    <t>North America Segment Adj. EBITDA</t>
  </si>
  <si>
    <t>International Segment Adj. EBITDA</t>
  </si>
  <si>
    <t>Unallocated corporate costs</t>
  </si>
  <si>
    <t>1Q27E −$28.0M: 2Q–4Q26 run-rate −$29 to −$37M; 1Q26A −$15.0M flattered by $7.3M misc. income; SG&amp;A savings</t>
  </si>
  <si>
    <t xml:space="preserve">   Adjusted EBITDA margin</t>
  </si>
  <si>
    <t>Prior-year Adjusted EBITDA</t>
  </si>
  <si>
    <t>Company guided 1Q27 Adjusted EBITDA down low-teens % (S08)</t>
  </si>
  <si>
    <t>Memo: reported Adj. EBITDA</t>
  </si>
  <si>
    <t>D&amp;A (incl. equity-method items)</t>
  </si>
  <si>
    <t>1Q27E $101.5M judgmental (retained); no issuer quarterly D&amp;A guide; 4Q26 $106.0M was 14 weeks. FY27 guide 'D&amp;A ≈$410M' (S06) basis unresolved. 101.5 is ~1.0 below straight-line 410/4 = 102.5; 1Q26 carried ~24.5% of 52-week FY26 D&amp;A, so the seasonal share of 410 is ~100.4 (EBITDA basis) or ~102.5 (LW-only + 2.2 JV). Straight-line LW-only ≈104.7 gives EPS ≈$0.593. Each $1M ≈ $0.0052/share. Equity earnings (H122) are in segment EBITDA, deducted once and added back once (zero EPS effect)</t>
  </si>
  <si>
    <t>Check: EBITDA reconciliation ties</t>
  </si>
  <si>
    <t>1Q27E (H157) = construction identity (H116 backed out of H147) - memo only, excluded from PASS</t>
  </si>
  <si>
    <t>Check: FY flows = sum of quarters</t>
  </si>
  <si>
    <t>1Q27E checks H50/H120/H132/H135/H157 are construction identities - memo only, excluded. FY26A G135 (disclosed $0.008 adj. EPS reconciliation difference) excluded</t>
  </si>
  <si>
    <t>Balance Sheet</t>
  </si>
  <si>
    <t>Assets</t>
  </si>
  <si>
    <t>Cash and cash equivalents</t>
  </si>
  <si>
    <t>Receivables, net</t>
  </si>
  <si>
    <t>Inventories</t>
  </si>
  <si>
    <t>1Q27E: less CF inventory change and the $5M inventory write-down within plan charges (IS H104)</t>
  </si>
  <si>
    <t>Prepaid and other current assets</t>
  </si>
  <si>
    <t>Total current assets</t>
  </si>
  <si>
    <t>PP&amp;E, net</t>
  </si>
  <si>
    <t>1Q27E: + capex - D&amp;A (incl. intangible/debt-cost amortisation, simplification) - non-cash restructuring write-downs excluding the inventory portion (row 11)</t>
  </si>
  <si>
    <t>Operating lease assets</t>
  </si>
  <si>
    <t>Goodwill</t>
  </si>
  <si>
    <t>Intangible assets, net</t>
  </si>
  <si>
    <t>Other assets</t>
  </si>
  <si>
    <t>Total assets</t>
  </si>
  <si>
    <t>Memo: reported total assets</t>
  </si>
  <si>
    <t>Liabilities</t>
  </si>
  <si>
    <t>Short-term borrowings</t>
  </si>
  <si>
    <t>Current portion of long-term debt</t>
  </si>
  <si>
    <t>Accounts payable</t>
  </si>
  <si>
    <t>Accrued liabilities</t>
  </si>
  <si>
    <t>Total current liabilities</t>
  </si>
  <si>
    <t>Long-term debt, excl. current portion</t>
  </si>
  <si>
    <t>Deferred income taxes</t>
  </si>
  <si>
    <t>Other noncurrent liabilities</t>
  </si>
  <si>
    <t>Total long-term liabilities</t>
  </si>
  <si>
    <t>Total liabilities</t>
  </si>
  <si>
    <t>Stockholders' equity</t>
  </si>
  <si>
    <t>Common stock ($1.00 par)</t>
  </si>
  <si>
    <t>Treasury stock, at cost</t>
  </si>
  <si>
    <t>Additional distributed capital</t>
  </si>
  <si>
    <t>Retained earnings</t>
  </si>
  <si>
    <t>1Q27E: + GAAP net income − dividends (declared = paid in model)</t>
  </si>
  <si>
    <t>Accumulated OCI</t>
  </si>
  <si>
    <t>Total stockholders' equity</t>
  </si>
  <si>
    <t>Total liabilities and equity</t>
  </si>
  <si>
    <t>Check: assets − liabilities − equity</t>
  </si>
  <si>
    <t>Check: balances &amp; ties to reported</t>
  </si>
  <si>
    <t>Leverage</t>
  </si>
  <si>
    <t>Total debt</t>
  </si>
  <si>
    <t>Net debt</t>
  </si>
  <si>
    <t>4Q26A $3.85bn; company cited $3.8bn and 3.4x (S08)</t>
  </si>
  <si>
    <t>LTM Adjusted EBITDA</t>
  </si>
  <si>
    <t>Net debt / LTM Adj. EBITDA</t>
  </si>
  <si>
    <t xml:space="preserve">   Change vs prior quarter (x)</t>
  </si>
  <si>
    <t>Cash Flow Statement</t>
  </si>
  <si>
    <t>Quarterly columns are derived from the year-to-date statements reported each quarter (block at the bottom of this tab).</t>
  </si>
  <si>
    <t>Operating activities</t>
  </si>
  <si>
    <t>Net income</t>
  </si>
  <si>
    <t>Depreciation and amortization</t>
  </si>
  <si>
    <t>1Q27E = Income Statement EBITDA-basis D&amp;A less equity-method items (row 108). Cash-only approximation: CF D&amp;A also includes debt-cost amortisation; no EPS effect</t>
  </si>
  <si>
    <t>Equity-method (earnings), net of dist.</t>
  </si>
  <si>
    <t>Pension expense, net of contributions</t>
  </si>
  <si>
    <t>Line presented only in the 1Q and 1H statements (folded into Other in 9M/FY): 3Q26A, 4Q26A, FY26A shown n/a (not presented), not zero; the 3Q26 amount sits in the combined Other line (E32)</t>
  </si>
  <si>
    <t>Restructuring (non-cash)</t>
  </si>
  <si>
    <t>Line presented only in the 9M and FY statements: 1Q26A/2Q26A n/a (within Other); 3Q26 amount in combined Other (E32); 4Q26A = FY less 9M. 1Q27E = 80% non-cash share of $35M plan charges (&gt;=20% cash per 8-K, S10)</t>
  </si>
  <si>
    <t>Other</t>
  </si>
  <si>
    <t>3Q26A (E32) = combined Pension + Restructuring + Other (1H vs 9M presentation change; split not derivable). Adjacent Q/Q and the 1Q27E Y/Y (H33, vs 1Q26 Other under the old presentation) shown n/a</t>
  </si>
  <si>
    <t>Receivables</t>
  </si>
  <si>
    <t>1Q27E +$80M seasonal pre-harvest inventory draw (1Q26A +$136M; FY27 guide working capital flat)</t>
  </si>
  <si>
    <t>Income taxes payable/receivable</t>
  </si>
  <si>
    <t>Change in working capital</t>
  </si>
  <si>
    <t>Cash from operating activities</t>
  </si>
  <si>
    <t xml:space="preserve">   CFO / net income (x)</t>
  </si>
  <si>
    <t>Investing activities</t>
  </si>
  <si>
    <t>Additions to PP&amp;E (capex)</t>
  </si>
  <si>
    <t>1Q27E −$95M: FY27 cash capex guide $380–410M (S06)</t>
  </si>
  <si>
    <t>Additions to other LT assets</t>
  </si>
  <si>
    <t>Proceeds from sale of PP&amp;E</t>
  </si>
  <si>
    <t>Line not presented in the 1Q statement (S03): 1Q26A/2Q26A n/a; the 2Q26 amount sits in the combined Other investing line (D69)</t>
  </si>
  <si>
    <t>Blue chip swap proceeds, net</t>
  </si>
  <si>
    <t>Other investing</t>
  </si>
  <si>
    <t>2Q26A (D69) = combined PP&amp;E sale proceeds + Other investing (1Q vs 1H presentation change; split not derivable); 1Q27E Y/Y (H70) n/a</t>
  </si>
  <si>
    <t>Cash from investing activities</t>
  </si>
  <si>
    <t>Financing activities</t>
  </si>
  <si>
    <t>Short-term borrowings — proceeds</t>
  </si>
  <si>
    <t>Short-term borrowings — repayments</t>
  </si>
  <si>
    <t>1Q27E: net revolver/short-term paydown assumption</t>
  </si>
  <si>
    <t>Proceeds from issuance of debt</t>
  </si>
  <si>
    <t>Repayments of long-term debt</t>
  </si>
  <si>
    <t>Dividends paid</t>
  </si>
  <si>
    <t>1Q27E: $0.38 dividend paid 2026-06-05 (declared 2026-03-31) × opening shares</t>
  </si>
  <si>
    <t>Share repurchases and tax withholding</t>
  </si>
  <si>
    <t>1Q27E: $20M repurchase assumption under 10b5-1 plan ($245M authorised remaining, S06). Excludes vesting-related tax withholding (1Q26 ~$8.3M = 18.7 less 10.4 program spend): not modelled, 1Q27E cash ~$8M overstated; no EPS effect</t>
  </si>
  <si>
    <t>Other financing</t>
  </si>
  <si>
    <t>Cash from financing activities</t>
  </si>
  <si>
    <t>FX effect on cash</t>
  </si>
  <si>
    <t>Net change in cash</t>
  </si>
  <si>
    <t>Cash, beginning of period</t>
  </si>
  <si>
    <t>Cash, end of period</t>
  </si>
  <si>
    <t>Check: end cash − BS cash = 0</t>
  </si>
  <si>
    <t>Check: cash and subtotals tie</t>
  </si>
  <si>
    <t>1Q27E (H103) = construction identity (BS cash links to CF end cash) - memo only, excluded from PASS</t>
  </si>
  <si>
    <t>Free cash flow (CFO less capex)</t>
  </si>
  <si>
    <t>Shortcut definition; LW-reported FY26 free cash flow $537M uses its own definition (S08)</t>
  </si>
  <si>
    <t>Non-cash share of restructuring</t>
  </si>
  <si>
    <t xml:space="preserve">   Y/Y change (pts)</t>
  </si>
  <si>
    <t>Forecast-only assumption; no historical series</t>
  </si>
  <si>
    <t xml:space="preserve">   Q/Q change (pts)</t>
  </si>
  <si>
    <t>Equity-method items in EBITDA D&amp;A</t>
  </si>
  <si>
    <t>JV interest, tax and D&amp;A in EBITDA-basis D&amp;A: $2.1–2.3M per quarter in FY26 (S03–S06). Historical IS − CF D&amp;A gap was 1.0/3.5/(1.4)/1.1 (FY 4.2), not JV items alone; 99.3 is an approximation affecting CFO/cash vs PP&amp;E only</t>
  </si>
  <si>
    <t>Quarterly JV items disclosed only in EBITDA footnotes ($2.2M 1Q26); not modelled as a series</t>
  </si>
  <si>
    <t>Memo: year-to-date cash flows as reported (C = 13 wks, D = 26 wks, E = 39 wks, F = 53 wks FY26)</t>
  </si>
  <si>
    <t>Linked to the Income Statement (cumulative); equals the reported YTD net income (64.3 / 126.4 / 180.4 / 290.0)</t>
  </si>
  <si>
    <t>Linked to the Income Statement bridge (cumulative); equals the reported YTD cash-flow line (10.6 / 20.1 / 30.6 / 46.2)</t>
  </si>
  <si>
    <t>Linked to the Income Statement bridge (cumulative); equals reported 13.1 / 14.2; line not presented in 9M/FY statements</t>
  </si>
  <si>
    <t>Check: YTD lines sum to subtotals</t>
  </si>
  <si>
    <t>Geo — net sales by geography</t>
  </si>
  <si>
    <t>LW discloses geography (US vs non-US customers) annually only; quarterly splits are not disclosed (n/a). 1Q27E applies the FY26 US share of the North America segment.</t>
  </si>
  <si>
    <t>Net sales by customer location</t>
  </si>
  <si>
    <t>United States</t>
  </si>
  <si>
    <t>1Q27E Y/Y not computable: 1Q26 US sales not disclosed</t>
  </si>
  <si>
    <t>Non-US</t>
  </si>
  <si>
    <t>Check: Geo sums to total revenue</t>
  </si>
  <si>
    <t>1Q27E (H17) = construction identity - memo only, excluded from PASS</t>
  </si>
  <si>
    <t>Organic / M&amp;A / FX by geography</t>
  </si>
  <si>
    <t>Not disclosed by geography — unavailable</t>
  </si>
  <si>
    <t>Derived splits</t>
  </si>
  <si>
    <t>Canada &amp; Mexico (NA less US)</t>
  </si>
  <si>
    <t>US share of North America segment</t>
  </si>
  <si>
    <t>1Q27E assumption = FY26 ratio</t>
  </si>
  <si>
    <t>Quarterly and FY25 US share of NA not derivable from disclosures used; unavailable</t>
  </si>
  <si>
    <t>Check: non-US = Intl + Canada/Mexico</t>
  </si>
  <si>
    <t>1Q27E (H25) = construction identity (H13 = total less US) - memo only, excluded from PASS</t>
  </si>
  <si>
    <t>Prior year (FY25)</t>
  </si>
  <si>
    <t>United States — FY25</t>
  </si>
  <si>
    <t>Non-US — FY25</t>
  </si>
  <si>
    <t>Long-lived assets by country (FY only)</t>
  </si>
  <si>
    <t>Netherlands</t>
  </si>
  <si>
    <t>Total long-lived assets</t>
  </si>
  <si>
    <t>Memo: reported total long-lived assets</t>
  </si>
  <si>
    <t>Check: countries sum to total</t>
  </si>
  <si>
    <t>Share Count</t>
  </si>
  <si>
    <t>$ millions, except per share; shares in millions</t>
  </si>
  <si>
    <t>Weighted average shares</t>
  </si>
  <si>
    <t>Weighted average basic shares</t>
  </si>
  <si>
    <t>1Q27E = average of opening and closing shares outstanding (endpoint simplification; 2026-07-17 memo H36 not used, ~-$0.0002 EPS if time-weighted)</t>
  </si>
  <si>
    <t>Dilutive securities</t>
  </si>
  <si>
    <t>1Q27E 0.3M: 4Q26A/1Q26A dilution 0.3M</t>
  </si>
  <si>
    <t xml:space="preserve">   Y/Y change (M)</t>
  </si>
  <si>
    <t xml:space="preserve">   Q/Q change (M)</t>
  </si>
  <si>
    <t>Weighted average diluted shares</t>
  </si>
  <si>
    <t>FY27 guide diluted shares 137.5–139.0M (S06)</t>
  </si>
  <si>
    <t>Prior-year weighted avg. diluted</t>
  </si>
  <si>
    <t>Shares outstanding roll-forward (M)</t>
  </si>
  <si>
    <t>Memo: shares issued, FY25 year-end</t>
  </si>
  <si>
    <t>Memo: treasury shares, FY25 year-end</t>
  </si>
  <si>
    <t>Opening shares outstanding</t>
  </si>
  <si>
    <t>Shares repurchased (program)</t>
  </si>
  <si>
    <t>4Q26A = FY26 total (2,344,468 sh, 10-K) less 1Q–3Q; 3Q26 none (trading restriction)</t>
  </si>
  <si>
    <t>Repurchase spend ($M)</t>
  </si>
  <si>
    <t>1Q27E $20M assumption (10b5-1 plan in place; $245M authorisation remaining at FY26 end)</t>
  </si>
  <si>
    <t>Average repurchase price ($/sh)</t>
  </si>
  <si>
    <t>1Q27E $50: LW traded ≈$45–56 Jun–Aug 2026 (post-results high $55.70, S12; $6.86bn cap on 2026-09-07)</t>
  </si>
  <si>
    <t xml:space="preserve">   Y/Y change ($/sh)</t>
  </si>
  <si>
    <t xml:space="preserve">   Q/Q change ($/sh)</t>
  </si>
  <si>
    <t>Other movements (vesting, withholding)</t>
  </si>
  <si>
    <t>1Q27E 0.3M: 1Q26A +0.28M (annual vesting cycle)</t>
  </si>
  <si>
    <t>Shares issued (period end)</t>
  </si>
  <si>
    <t>Treasury shares (period end)</t>
  </si>
  <si>
    <t>Shares outstanding (period end)</t>
  </si>
  <si>
    <t>Memo: outstanding at 2026-07-17</t>
  </si>
  <si>
    <t>Memo: share roll-forward identity (row 29 = plug)</t>
  </si>
  <si>
    <t>Construction identity in every column: row 29 is the residual (closing − opening + repurchased), so this cannot fail; memo only, excluded from Cover PASS. 1Q26A plug 0.285 = issued +0.443 less withholding to treasury 0.158</t>
  </si>
  <si>
    <t>Dividends</t>
  </si>
  <si>
    <t>Dividends declared per share ($)</t>
  </si>
  <si>
    <t>1Q27E $0.38 declared 2026-07-23 (payable 2026-09-04)</t>
  </si>
  <si>
    <t>Dividend cash paid ($M)</t>
  </si>
  <si>
    <t>1Q27E cash paid = 2026-06-05 dividend ($0.38, declared 2026-03-31) x opening shares; H40 used because paid and declared DPS are both $0.38. The 2026-07-23 declaration is payable 2026-09-04 (2Q27)</t>
  </si>
  <si>
    <t>Share count behind the forecast EPS</t>
  </si>
  <si>
    <t>Diluted shares behind 1Q27E EPS</t>
  </si>
  <si>
    <t>Guidance — company guidance log and record vs midpoint</t>
  </si>
  <si>
    <t>Date given</t>
  </si>
  <si>
    <t>Low</t>
  </si>
  <si>
    <t>High</t>
  </si>
  <si>
    <t>Midpoint</t>
  </si>
  <si>
    <t>Actual</t>
  </si>
  <si>
    <t>Beat / miss</t>
  </si>
  <si>
    <t>Basis / source</t>
  </si>
  <si>
    <t>Net sales at constant currency ($M)</t>
  </si>
  <si>
    <t>FY26</t>
  </si>
  <si>
    <t>Reaffirmed in Q1 FY26 release (S03); actual = FY26 net sales ex FX $6,489.2M</t>
  </si>
  <si>
    <t>Reaffirmed in Q2 FY26 release (S04)</t>
  </si>
  <si>
    <t>Net sales ($M, incl. ≈1.8% FX and 53rd week)</t>
  </si>
  <si>
    <t>Raised low end in Q3 FY26 release (S05)</t>
  </si>
  <si>
    <t>Q1 FY26 release (S03)</t>
  </si>
  <si>
    <t>Q2 FY26 release (S04)</t>
  </si>
  <si>
    <t>Q3 FY26 release (S05)</t>
  </si>
  <si>
    <t>Cash capital expenditures ($M)</t>
  </si>
  <si>
    <t>"Approximately $500 million" (S03, S04)</t>
  </si>
  <si>
    <t>"Approximately $400 million" (S05); actual $410.1M (S06)</t>
  </si>
  <si>
    <t>Net sales implied for 4Q26 by FY26 range less 9M actual ($M)</t>
  </si>
  <si>
    <t>4Q26</t>
  </si>
  <si>
    <t>Derived (not issued as quarterly guidance)</t>
  </si>
  <si>
    <t>Adjusted EBITDA implied for 4Q26 by FY26 range less 9M actual ($M)</t>
  </si>
  <si>
    <t>Net sales growth vs 52-week FY26 base ($6.5bn)</t>
  </si>
  <si>
    <t>FY27</t>
  </si>
  <si>
    <t>Q4 FY26 release (S06)</t>
  </si>
  <si>
    <t>FY26 52-week adjusted net sales base ($M)</t>
  </si>
  <si>
    <t>FY26 (52-wk)</t>
  </si>
  <si>
    <t>"$6.5 billion" (S06)</t>
  </si>
  <si>
    <t>Net sales implied ($M) = base × (1 + growth)</t>
  </si>
  <si>
    <t>Derived</t>
  </si>
  <si>
    <t>S06; FY26 52-week comparable $1.12bn (S08)</t>
  </si>
  <si>
    <t>Adjusted diluted EPS ($)</t>
  </si>
  <si>
    <t>S06; FY26 52-week comparable $2.90</t>
  </si>
  <si>
    <t>Adjusted income from operations ($M)</t>
  </si>
  <si>
    <t>S06</t>
  </si>
  <si>
    <t>Depreciation and amortization ($M, approx.)</t>
  </si>
  <si>
    <t>S06 ('approximately $410 million'); basis (EBITDA-recon D&amp;A incl. JV items vs LW-only) not stated - unresolved. Guided EBITDA mid less adj. op. income mid = 390, below 410</t>
  </si>
  <si>
    <t>Interest expense, net ($M, approx.)</t>
  </si>
  <si>
    <t>Diluted shares outstanding (M)</t>
  </si>
  <si>
    <t>Net cash from operating activities ($M)</t>
  </si>
  <si>
    <t>S06; accrual basis $330–350M</t>
  </si>
  <si>
    <t>Capital expenditures, accrual basis ($M)</t>
  </si>
  <si>
    <t>S06 footnote (c)</t>
  </si>
  <si>
    <t>North America net sales growth (comparable weeks)</t>
  </si>
  <si>
    <t>"flat to up low single digits" (S08); 0–3% is Shortcut interpretation</t>
  </si>
  <si>
    <t>North America Segment Adj. EBITDA growth</t>
  </si>
  <si>
    <t>"flat to up low single-digits" (S08); interpretation</t>
  </si>
  <si>
    <t>International net sales growth</t>
  </si>
  <si>
    <t>"down low single digits" (S08); interpretation</t>
  </si>
  <si>
    <t>International Segment Adj. EBITDA growth</t>
  </si>
  <si>
    <t>"improve between 40 and 50 percent" (S08)</t>
  </si>
  <si>
    <t>Broekhuizenvorst closure pre-tax charges ($M)</t>
  </si>
  <si>
    <t>8-K Item 2.05 (S10); excluded from adjusted EPS</t>
  </si>
  <si>
    <t>1Q27 net sales growth Y/Y ("flat")</t>
  </si>
  <si>
    <t>1Q27</t>
  </si>
  <si>
    <t>S08 management remarks</t>
  </si>
  <si>
    <t>1Q27 net sales ($M) implied by "flat"</t>
  </si>
  <si>
    <t>Derived from 1Q26A $1,659.3M; CapIQ revenue_m_guidance 1659.3</t>
  </si>
  <si>
    <t>1Q27 Adj. EBITDA growth Y/Y ("decline in the low-teens")</t>
  </si>
  <si>
    <t>S08; low-teens interpreted as −11% to −14%</t>
  </si>
  <si>
    <t>1Q27 Adj. EBITDA ($M) implied</t>
  </si>
  <si>
    <t>Derived from 1Q26A $302.2M</t>
  </si>
  <si>
    <t>1Q27 adjusted net income implied ($M)</t>
  </si>
  <si>
    <t>Derived: implied EBITDA - 1/4 FY27 D&amp;A - 1/4 FY27 interest, taxed at FY27 mid ETR; not issued by LW. Equity earnings net out, but JV interest/tax/D&amp;A in EBITDA (~$2.2M/qtr) is omitted if the D&amp;A guide is LW-only (then ~$82.3M / $0.595)</t>
  </si>
  <si>
    <t>1Q27 adjusted diluted EPS implied ($)</t>
  </si>
  <si>
    <t>Derived ÷ FY27 mid diluted shares; not issued by LW. See K41 basis caveat</t>
  </si>
  <si>
    <t>Record: FY26 net sales and Adj. EBITDA guidance was met or beaten at every update; the implied 4Q26 figures were beaten (actual above implied high). LW gives no quarterly EPS guidance.</t>
  </si>
  <si>
    <t>Sources</t>
  </si>
  <si>
    <t>ID — document</t>
  </si>
  <si>
    <t>Published</t>
  </si>
  <si>
    <t>Retrieved (UTC)</t>
  </si>
  <si>
    <t>Publisher</t>
  </si>
  <si>
    <t>Feeds</t>
  </si>
  <si>
    <t>URL or file</t>
  </si>
  <si>
    <t>S01 — LW_history.csv (CapIQ history, 6 rows)</t>
  </si>
  <si>
    <t>attached</t>
  </si>
  <si>
    <t>S&amp;P Capital IQ</t>
  </si>
  <si>
    <t>Inputs C; Revenue summary reported sales; IS reported/consensus EPS; calibration</t>
  </si>
  <si>
    <t>LW_history.csv (SHA256 ac8fc38d…6829)</t>
  </si>
  <si>
    <t>S02 — LW_consensus.json (CapIQ consensus snapshot)</t>
  </si>
  <si>
    <t>Inputs A/B; Cover consensus</t>
  </si>
  <si>
    <t>LW_consensus.json (SHA256 652f195f…86ad)</t>
  </si>
  <si>
    <t>S03 — Q1 FY26 earnings release (Ex. 99.1)</t>
  </si>
  <si>
    <t>2026-10-04 22:2x–22:4x</t>
  </si>
  <si>
    <t>Lamb Weston / SEC 8-K</t>
  </si>
  <si>
    <t>1Q26A IS, BS, CF, segments, bridge; FY26 guidance</t>
  </si>
  <si>
    <t>https://www.sec.gov/Archives/edgar/data/1679273/000167927325000068/lw-20250824x8kxexx9911q26.htm</t>
  </si>
  <si>
    <t>S04 — Q2 FY26 earnings release (Ex. 99.1)</t>
  </si>
  <si>
    <t>Lamb Weston</t>
  </si>
  <si>
    <t>2Q26A IS, BS, CF (1H), segments, bridge</t>
  </si>
  <si>
    <t>https://investors.lambweston.com/static-files/f4d3c7be-8520-4e3b-ad1c-947ff8e11079</t>
  </si>
  <si>
    <t>S05 — Q3 FY26 earnings release (Ex. 99.1)</t>
  </si>
  <si>
    <t>3Q26A IS, BS, CF (9M), segments, bridge; FY26 updated guidance</t>
  </si>
  <si>
    <t>https://investors.lambweston.com/static-files/9f03ff19-1e8d-4002-ad45-ea16a804db88</t>
  </si>
  <si>
    <t>S06 — Q4/FY26 earnings release (Ex. 99.1)</t>
  </si>
  <si>
    <t>4Q26A/FY26A IS, BS, CF, segments, extra week, bridge; FY27 guidance</t>
  </si>
  <si>
    <t>https://www.sec.gov/Archives/edgar/data/1679273/000167927326000024/a-lwx20260531xexx991fy26v2.htm</t>
  </si>
  <si>
    <t>S07 — FY26 Form 10-K (incl. XBRL R91/R92)</t>
  </si>
  <si>
    <t>Lamb Weston / SEC</t>
  </si>
  <si>
    <t>Geo (US/non-US, long-lived assets); shares at 2026-07-17; buyback shares; no M&amp;A</t>
  </si>
  <si>
    <t>https://www.sec.gov/Archives/edgar/data/1679273/000167927326000026/lw-20260531.htm</t>
  </si>
  <si>
    <t>S08 — Q4 FY26 management remarks</t>
  </si>
  <si>
    <t>1Q27 cadence (sales flat, EBITDA down low-teens); FY27 segment guidance; inflation</t>
  </si>
  <si>
    <t>https://investors.lambweston.com/static-files/337f991d-cfe1-4bd7-b2cd-731112b237bb</t>
  </si>
  <si>
    <t>S09 — Q4 FY26 earnings call transcript (Q&amp;A)</t>
  </si>
  <si>
    <t>Earnings Whispers</t>
  </si>
  <si>
    <t>US inflation ≈3%; pricing pass-through commentary</t>
  </si>
  <si>
    <t>https://beta.earningswhispers.com/transcript/LW/Q42026</t>
  </si>
  <si>
    <t>S10 — 8-K: Broekhuizenvorst closure (Item 2.05)</t>
  </si>
  <si>
    <t>1Q27E restructuring charge assumption ($80–110M FY27; ≥20% cash)</t>
  </si>
  <si>
    <t>https://www.sec.gov/Archives/edgar/data/1679273/000167927326000020/lw-20260601.htm</t>
  </si>
  <si>
    <t>S11 — Zacks: Wall Street estimates for key metrics (Q1)</t>
  </si>
  <si>
    <t>Zacks via Yahoo Finance</t>
  </si>
  <si>
    <t>Segment sales/EBITDA and volume consensus (cross-check)</t>
  </si>
  <si>
    <t>https://finance.yahoo.com/markets/stocks/articles/curious-lamb-weston-lw-q1-121501863.html</t>
  </si>
  <si>
    <t>S12 — Earnings Whispers Q1 FY27 preview</t>
  </si>
  <si>
    <t>Consensus $0.58; cost carry-over; sentiment; post-results high $55.70</t>
  </si>
  <si>
    <t>https://beta.earningswhispers.com/article/LW/20291</t>
  </si>
  <si>
    <t>S13 — drillr Q1 FY27 preview</t>
  </si>
  <si>
    <t>drillr</t>
  </si>
  <si>
    <t>Q1 cadence confirmation; FY27 other plan charges $20–30M (citing 10-K)</t>
  </si>
  <si>
    <t>https://drillr.ai/article/lamb-weston-lw-fiscal-2027-q1-volume-price-mix-preview</t>
  </si>
  <si>
    <t>S14 — Benzinga: forecasters ahead of Q1</t>
  </si>
  <si>
    <t>Benzinga</t>
  </si>
  <si>
    <t>Consensus $0.59 EPS / $1.66bn revenue</t>
  </si>
  <si>
    <t>https://www.benzinga.com/analyst-stock-ratings/price-target/26/09/61966408/top-wall-street-forecasters-revamp-lamb-weston-expectations-ahead-of-q1-earnings</t>
  </si>
  <si>
    <t>S15 — MarketBeat: LW expected to report Oct 6</t>
  </si>
  <si>
    <t>MarketBeat</t>
  </si>
  <si>
    <t>Newer consensus $0.584 / $1.654bn (recorded, not used for scoring)</t>
  </si>
  <si>
    <t>https://www.marketbeat.com/instant-alerts/upcoming-lamb-weston-lw-expected-to-announce-earnings-on-tuesday-2026-09-29/</t>
  </si>
  <si>
    <t>S16 — Stephens PT cut on European crop</t>
  </si>
  <si>
    <t>Investing.com</t>
  </si>
  <si>
    <t>Downside risk: 2026 European crop deteriorated since July</t>
  </si>
  <si>
    <t>https://uk.investing.com/news/stock-market-news/stephens-cuts-lamb-weston-stock-price-target-on-europe-concerns-93CH-4885231</t>
  </si>
  <si>
    <t>S17 — NEPG first 2026 crop estimate (EU-04 −25.4%)</t>
  </si>
  <si>
    <t>FreshPlaza</t>
  </si>
  <si>
    <t>EMEA raw-potato cost risk (mainly FY27 2H)</t>
  </si>
  <si>
    <t>https://www.freshplaza.com/europe/article/9873035/north-western-european-potato-crop-forecast-down-25-4-in-2026/</t>
  </si>
  <si>
    <t>S18 — JP Morgan PT cut to $46</t>
  </si>
  <si>
    <t>GuruFocus</t>
  </si>
  <si>
    <t>Sentiment (no EPS change disclosed)</t>
  </si>
  <si>
    <t>https://www.gurufocus.com/news/9104017/lw-maintained-by-jp-morgan-price-target-lowered-to-46</t>
  </si>
  <si>
    <t>S19 — S&amp;P DJI index changes (LW leaves S&amp;P 500)</t>
  </si>
  <si>
    <t>S&amp;P Dow Jones Indices</t>
  </si>
  <si>
    <t>Calibration: S&amp;P 500 membership = No (effective 2026-03-23)</t>
  </si>
  <si>
    <t>https://press.spglobal.com/2026-03-06-Vertiv-Holdings,-Lumentum-Holdings,-Coherent,-and-EchoStar-Set-to-Join-S-P-500-Others-to-Join-S-P-100,-S-P-MidCap-400,-and-S-P-SmallCap-600</t>
  </si>
  <si>
    <t>S20 — stockanalysis.com LW statistics</t>
  </si>
  <si>
    <t>stockanalysis.com (S&amp;P Global data)</t>
  </si>
  <si>
    <t>Market cap $5.99bn at 2026-10-02 close $43.60</t>
  </si>
  <si>
    <t>https://stockanalysis.com/stocks/lw/statistics/</t>
  </si>
  <si>
    <t>S21 — RMS restaurant trends (July 2026)</t>
  </si>
  <si>
    <t>Revenue Management Solutions</t>
  </si>
  <si>
    <t>US QSR traffic −1.4% Y/Y in July 2026</t>
  </si>
  <si>
    <t>https://www.revenuemanage.com/trends/restaurant-trends-august-2026/</t>
  </si>
  <si>
    <t>S22 — Banque de France monthly FX averages</t>
  </si>
  <si>
    <t>Banque de France</t>
  </si>
  <si>
    <t>EUR/USD Jun–Aug 2026 1.1518/1.1417/1.1593 → International FX assumption</t>
  </si>
  <si>
    <t>https://www.banque-france.fr/en/statistics/rates-and-prices/exchange-rates-average-month-2026-08</t>
  </si>
  <si>
    <t>S23 — EUR/USD 12-month history</t>
  </si>
  <si>
    <t>CurrencyNews</t>
  </si>
  <si>
    <t>EUR −1.2% vs USD over prior 12 months (FX assumption cross-check)</t>
  </si>
  <si>
    <t>https://www.currencynews.co.uk/rates-history/euro-dollar_eurusd</t>
  </si>
  <si>
    <t>S24 — Vegetable oil prices and Middle East conflict</t>
  </si>
  <si>
    <t>AgriInsite</t>
  </si>
  <si>
    <t>Edible-oil inflation risk after 2026-07-13 escalation</t>
  </si>
  <si>
    <t>https://agriinsite.com/middle-east-conflict-strengthens-vegetable-oil-markets-dependence-on-crude-oil-prices/</t>
  </si>
  <si>
    <t>S25 — McDonald’s US sales growth slows (Q2 2026)</t>
  </si>
  <si>
    <t>Reuters</t>
  </si>
  <si>
    <t>Largest customer (~15% of sales) US softness</t>
  </si>
  <si>
    <t>https://www.reuters.com/business/mcdonalds-us-sales-disappoint-value-deals-fail-draw-enough-diners-2026-08-04/</t>
  </si>
  <si>
    <t>S26 — LW announces Q1 FY27 report date</t>
  </si>
  <si>
    <t>2026-09</t>
  </si>
  <si>
    <t>Expected report date 2026-10-06, 8:00 AM ET; publication date month-only (2026-09), exact day not captured</t>
  </si>
  <si>
    <t>https://news.lambweston.com/news-releases/news-release-details/lamb-weston-announce-fiscal-year-2027-first-quarter-financial</t>
  </si>
  <si>
    <t>Tab coverage: every tab in the required list carries content; none omitted. Geo uses the annual US / non-US split in the FY26 10-K (S07); quarterly geography is not disclosed.</t>
  </si>
  <si>
    <t>Retrieval: web sources fetched 2026-10-04 (UTC) via web_fetch / Exa search; all cited content was published before the 2026-10-04 22:22 UTC cutoff. No 1Q27 actual results were encountered. Retrieval times (D) are approximate and may fall after 22:22 UTC; no exact capture timestamps or frozen snapshots are claimed. CapIQ capture is date-precision only (2026-10-04)</t>
  </si>
  <si>
    <t>Inputs — S&amp;P Capital IQ raw data (LW_consensus.json, LW_history.csv) and beat-probability calibration</t>
  </si>
  <si>
    <t>A. LW_consensus.json — top-level fields (raw, as supplied)</t>
  </si>
  <si>
    <t>source</t>
  </si>
  <si>
    <t>ticker</t>
  </si>
  <si>
    <t>LW</t>
  </si>
  <si>
    <t>company</t>
  </si>
  <si>
    <t>fiscal_period</t>
  </si>
  <si>
    <t>Q1 FY2027</t>
  </si>
  <si>
    <t>period_end_date</t>
  </si>
  <si>
    <t>as_of_date</t>
  </si>
  <si>
    <t>analyst_count</t>
  </si>
  <si>
    <t>consensus_eps</t>
  </si>
  <si>
    <t>eps_basis</t>
  </si>
  <si>
    <t>Normalized diluted EPS per common share, USD; verify issuer adjustments</t>
  </si>
  <si>
    <t>consensus_revenue_m</t>
  </si>
  <si>
    <t>currency</t>
  </si>
  <si>
    <t>summary_sha256</t>
  </si>
  <si>
    <t>dcd0ceefcbfabc05b4b93dc4d870480edb653ec275c18d538b8e064442f96004</t>
  </si>
  <si>
    <t>captured_precision</t>
  </si>
  <si>
    <t>date only, user confirmed</t>
  </si>
  <si>
    <t>currency_units_status</t>
  </si>
  <si>
    <t>USD per common share inferred; verify filings</t>
  </si>
  <si>
    <t>B. summary_row — full raw CapIQ summary row (strings converted to numbers where numeric; blanks preserved)</t>
  </si>
  <si>
    <t>field</t>
  </si>
  <si>
    <t>value</t>
  </si>
  <si>
    <t>Use in model</t>
  </si>
  <si>
    <t>company_name</t>
  </si>
  <si>
    <t>exchange_ticker</t>
  </si>
  <si>
    <t>NYSE:LW</t>
  </si>
  <si>
    <t>capiq_company_id</t>
  </si>
  <si>
    <t>sp500_member</t>
  </si>
  <si>
    <t>Y</t>
  </si>
  <si>
    <t>Checked: stale — LW removed from S&amp;P 500 on 2026-03-23 (Sources S19)</t>
  </si>
  <si>
    <t>market_cap_usd_m</t>
  </si>
  <si>
    <t>Blank in export — researched separately (calibration block)</t>
  </si>
  <si>
    <t>fiscal_quarter</t>
  </si>
  <si>
    <t>FQ1 2027 - Aug 2026</t>
  </si>
  <si>
    <t>quarter_end_date</t>
  </si>
  <si>
    <t>expected_report_date</t>
  </si>
  <si>
    <t>fiscal_year_end</t>
  </si>
  <si>
    <t>May-31</t>
  </si>
  <si>
    <t>analysts_covering</t>
  </si>
  <si>
    <t>eps_normalized_mean</t>
  </si>
  <si>
    <t>Cover consensus EPS; Income Statement 1Q27E consensus row</t>
  </si>
  <si>
    <t>eps_normalized_median</t>
  </si>
  <si>
    <t>eps_normalized_high</t>
  </si>
  <si>
    <t>Cover consensus range</t>
  </si>
  <si>
    <t>eps_normalized_low</t>
  </si>
  <si>
    <t>eps_normalized_std_dev</t>
  </si>
  <si>
    <t>Cover consensus dispersion</t>
  </si>
  <si>
    <t>eps_normalized_n_est</t>
  </si>
  <si>
    <t>Cover # of normalized EPS contributors (primary count)</t>
  </si>
  <si>
    <t>eps_normalized_guidance</t>
  </si>
  <si>
    <t>eps_normalized_guidance_low</t>
  </si>
  <si>
    <t>eps_normalized_guidance_high</t>
  </si>
  <si>
    <t>eps_gaap_mean</t>
  </si>
  <si>
    <t>Cover GAAP EPS consensus</t>
  </si>
  <si>
    <t>eps_gaap_median</t>
  </si>
  <si>
    <t>eps_gaap_high</t>
  </si>
  <si>
    <t>eps_gaap_low</t>
  </si>
  <si>
    <t>eps_gaap_std_dev</t>
  </si>
  <si>
    <t>eps_gaap_n_est</t>
  </si>
  <si>
    <t>eps_gaap_guidance</t>
  </si>
  <si>
    <t>Not used: LW issues no GAAP EPS guidance; 0.38 equals the quarterly dividend per share</t>
  </si>
  <si>
    <t>revenue_m_mean</t>
  </si>
  <si>
    <t>Cover consensus revenue</t>
  </si>
  <si>
    <t>revenue_m_median</t>
  </si>
  <si>
    <t>revenue_m_high</t>
  </si>
  <si>
    <t>revenue_m_low</t>
  </si>
  <si>
    <t>revenue_m_std_dev</t>
  </si>
  <si>
    <t>revenue_m_n_est</t>
  </si>
  <si>
    <t>Cover revenue contributors</t>
  </si>
  <si>
    <t>revenue_m_guidance</t>
  </si>
  <si>
    <t>Matches 1Q26A net sales (company guided 1Q27 net sales flat)</t>
  </si>
  <si>
    <t>revenue_m_guidance_low</t>
  </si>
  <si>
    <t>revenue_m_guidance_high</t>
  </si>
  <si>
    <t>ebitda_m</t>
  </si>
  <si>
    <t>Cover consensus EBITDA</t>
  </si>
  <si>
    <t>ebit_m</t>
  </si>
  <si>
    <t>ebt_excl_excep_m</t>
  </si>
  <si>
    <t>ebt_gaap_m</t>
  </si>
  <si>
    <t>net_income_excl_excep_m</t>
  </si>
  <si>
    <t>Cover consensus normalized net income</t>
  </si>
  <si>
    <t>net_income_gaap_m</t>
  </si>
  <si>
    <t>Cover consensus GAAP net income</t>
  </si>
  <si>
    <t>gross_margin_pct</t>
  </si>
  <si>
    <t>effective_tax_rate_pct</t>
  </si>
  <si>
    <t>d_and_a_m</t>
  </si>
  <si>
    <t>capex_m</t>
  </si>
  <si>
    <t>cfo_m</t>
  </si>
  <si>
    <t>fcf_m</t>
  </si>
  <si>
    <t>interest_expense_m</t>
  </si>
  <si>
    <t>net_debt_m</t>
  </si>
  <si>
    <t>cfps</t>
  </si>
  <si>
    <t>bvps</t>
  </si>
  <si>
    <t>dps</t>
  </si>
  <si>
    <t>nav_m</t>
  </si>
  <si>
    <t>navps</t>
  </si>
  <si>
    <t>roe_pct</t>
  </si>
  <si>
    <t>adj_nii_per_share_consensus</t>
  </si>
  <si>
    <t>target_price_mean</t>
  </si>
  <si>
    <t>Not used (target-price columns contain malformed ranges per task instructions)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</si>
  <si>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</si>
  <si>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</si>
  <si>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</si>
  <si>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</si>
  <si>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</si>
  <si>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</si>
  <si>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Outperform</t>
  </si>
  <si>
    <t>recommendation_score</t>
  </si>
  <si>
    <t>last_close_price</t>
  </si>
  <si>
    <t>wk52_high_low</t>
  </si>
  <si>
    <t>67.07/37.62</t>
  </si>
  <si>
    <t>units</t>
  </si>
  <si>
    <t>per-share in USD; revenue and income in USD millions</t>
  </si>
  <si>
    <t>estimates_captured_at</t>
  </si>
  <si>
    <t>notes</t>
  </si>
  <si>
    <t>C. LW_history.csv — six historical rows, all columns (raw)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</si>
  <si>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</si>
  <si>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</si>
  <si>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</si>
  <si>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</si>
  <si>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</si>
  <si>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</si>
  <si>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</si>
  <si>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Strict beat (norm.)</t>
  </si>
  <si>
    <t>Surprise ($/sh)</t>
  </si>
  <si>
    <t>Revenue beat</t>
  </si>
  <si>
    <t>Model period / use</t>
  </si>
  <si>
    <t>3Q25 (not in model columns; calibration only). CapIQ month-end label; fiscal quarter ended Feb-2025</t>
  </si>
  <si>
    <t>4Q25 (Revenue summary prior-year 4Q column). CapIQ label 2025-05-31 = fiscal end 2025-05-25</t>
  </si>
  <si>
    <t>1Q26A. CapIQ label 2025-08-31 = fiscal end 2025-08-24</t>
  </si>
  <si>
    <t>2Q26A. CapIQ label 2025-11-30 = fiscal end 2025-11-23</t>
  </si>
  <si>
    <t>3Q26A. CapIQ label 2026-02-28 = fiscal end 2026-02-22</t>
  </si>
  <si>
    <t>4Q26A. CapIQ label 2026-05-31 = fiscal end 2026-05-31 (14 weeks)</t>
  </si>
  <si>
    <t>D. Beat-probability calibration (forecasting playbook v2, size-aware prior)</t>
  </si>
  <si>
    <t>Market cap at cutoff ($M)</t>
  </si>
  <si>
    <t>stockanalysis.com (S&amp;P Global data) $5.99B at 2026-10-02 close $43.60 (S20); CapIQ export blank</t>
  </si>
  <si>
    <t>Market-cap date</t>
  </si>
  <si>
    <t>2026-10-02 close</t>
  </si>
  <si>
    <t>Size bucket</t>
  </si>
  <si>
    <t>S&amp;P 500 member at cutoff</t>
  </si>
  <si>
    <t>No</t>
  </si>
  <si>
    <t>Removed from S&amp;P 500 and moved to S&amp;P SmallCap 600 effective 2026-03-23 (S&amp;P DJI, 2026-03-06; S19). CapIQ sp500_member=Y is stale</t>
  </si>
  <si>
    <t>Prior: small cap</t>
  </si>
  <si>
    <t>Playbook v2 cohort prior (hypothesis, not a proven probability)</t>
  </si>
  <si>
    <t>Prior: mid cap</t>
  </si>
  <si>
    <t>Playbook v2 cohort prior (pragmatic interpolation)</t>
  </si>
  <si>
    <t>Prior: large cap or S&amp;P 500</t>
  </si>
  <si>
    <t>Playbook v2 cohort prior; applied once, not additively</t>
  </si>
  <si>
    <t>Cohort prior (applied)</t>
  </si>
  <si>
    <t>b = strict beats (normalized EPS)</t>
  </si>
  <si>
    <t>All six pairs kept: 3Q25/4Q25 pairs are on the pre-FY26 adjusted basis (SBC not excluded) for both actual and consensus, so each pair is internally consistent. C116/C117 use per-row scalar tests (no array evaluation)</t>
  </si>
  <si>
    <t>n = valid pairs</t>
  </si>
  <si>
    <t>Pseudo-count (fixed experimental weight)</t>
  </si>
  <si>
    <t>Starting p = (k·prior + b)/(k + n)</t>
  </si>
  <si>
    <t>Final P(beat consensus EPS)</t>
  </si>
  <si>
    <t>Judgment: model EPS $0.61 vs $0.59 consensus is a thin edge; tax-rate and EMEA cost risk (European crop, Middle East freight/edible oil) offset the issuer beat record</t>
  </si>
  <si>
    <t>Evidence adjustment (final − start)</t>
  </si>
  <si>
    <t>Mean surprise ($/share)</t>
  </si>
  <si>
    <t>Median surprise ($/share)</t>
  </si>
  <si>
    <t>Smallest surprise ($/share)</t>
  </si>
  <si>
    <t>Scoring baseline consensus EPS</t>
  </si>
  <si>
    <t>Other consensus seen (not scored)</t>
  </si>
  <si>
    <t>see note</t>
  </si>
  <si>
    <t>MarketBeat 2026-09-29: $0.584; Earnings Whispers 2026-09-28: $0.58; Zacks 2026-10-01: $0.59. Frozen 2026-10-04 CapIQ $0.59 is the scoring baseline</t>
  </si>
</sst>
</file>

<file path=xl/styles.xml><?xml version="1.0" encoding="utf-8"?>
<styleSheet xmlns="http://schemas.openxmlformats.org/spreadsheetml/2006/main">
  <numFmts count="12">
    <numFmt numFmtId="164" formatCode="$0.00_);($0.00);&quot;–&quot;_)"/>
    <numFmt numFmtId="165" formatCode="General"/>
    <numFmt numFmtId="166" formatCode="#,##0"/>
    <numFmt numFmtId="167" formatCode="#,##0.0_);(#,##0.0);&quot;–&quot;_)"/>
    <numFmt numFmtId="168" formatCode="0.0%_);(0.0%);&quot;–&quot;_)"/>
    <numFmt numFmtId="169" formatCode="yyyy-mm-dd"/>
    <numFmt numFmtId="170" formatCode="#,##0_);(#,##0);&quot;–&quot;_)"/>
    <numFmt numFmtId="171" formatCode="0.0%"/>
    <numFmt numFmtId="172" formatCode="#,##0.00_);(#,##0.00);&quot;–&quot;_)"/>
    <numFmt numFmtId="173" formatCode="0"/>
    <numFmt numFmtId="174" formatCode="0.0&quot;x&quot;_);(0.0&quot;x&quot;);&quot;–&quot;_)"/>
    <numFmt numFmtId="175" formatCode="0.0%_);(0.0%);0.0%_)"/>
  </numFmts>
  <fonts count="29">
    <font>
      <sz val="11"/>
      <color theme="1"/>
      <name val="Calibri"/>
      <family val="2"/>
      <scheme val="minor"/>
    </font>
    <font>
      <b val="0"/>
      <i val="0"/>
      <strike val="0"/>
      <sz val="10"/>
      <color rgb="FF000000"/>
      <name val="Arial"/>
    </font>
    <font>
      <b/>
      <i val="0"/>
      <strike val="0"/>
      <sz val="10"/>
      <color rgb="FF000000"/>
      <name val="Arial"/>
    </font>
    <font>
      <b val="0"/>
      <i val="0"/>
      <strike val="0"/>
      <sz val="10"/>
      <color rgb="FF006100"/>
      <name val="Arial"/>
    </font>
    <font>
      <b val="0"/>
      <i/>
      <strike val="0"/>
      <sz val="10"/>
      <color rgb="FF404040"/>
      <name val="Arial"/>
    </font>
    <font>
      <b val="0"/>
      <i/>
      <strike val="0"/>
      <sz val="10"/>
      <color rgb="FF000000"/>
      <name val="Arial"/>
    </font>
    <font>
      <b/>
      <i val="0"/>
      <strike val="0"/>
      <sz val="10"/>
      <color rgb="FF006100"/>
      <name val="Arial"/>
    </font>
    <font>
      <b/>
      <i val="0"/>
      <strike val="0"/>
      <sz val="11"/>
      <color rgb="FF000000"/>
      <name val="Arial"/>
    </font>
    <font>
      <b/>
      <i val="0"/>
      <strike val="0"/>
      <sz val="12"/>
      <color rgb="FF000000"/>
      <name val="Arial"/>
    </font>
    <font>
      <b val="0"/>
      <i val="0"/>
      <strike val="0"/>
      <sz val="10"/>
      <color rgb="FF0000FF"/>
      <name val="Arial"/>
    </font>
    <font>
      <b/>
      <i val="0"/>
      <strike val="0"/>
      <sz val="10"/>
      <color rgb="FF0000FF"/>
      <name val="Arial"/>
    </font>
    <font>
      <b val="0"/>
      <i/>
      <strike val="0"/>
      <sz val="10"/>
      <color rgb="FF006100"/>
      <name val="Arial"/>
    </font>
    <font>
      <b/>
      <i/>
      <strike val="0"/>
      <sz val="10"/>
      <color rgb="FF006100"/>
      <name val="Arial"/>
    </font>
    <font>
      <b val="0"/>
      <i/>
      <strike val="0"/>
      <sz val="10"/>
      <color rgb="FF595959"/>
      <name val="Arial"/>
    </font>
    <font>
      <b val="0"/>
      <i/>
      <strike val="0"/>
      <sz val="10"/>
      <color rgb="FF0000FF"/>
      <name val="Arial"/>
    </font>
    <font>
      <b/>
      <i/>
      <strike val="0"/>
      <sz val="10"/>
      <color rgb="FF000000"/>
      <name val="Arial"/>
    </font>
    <font>
      <b/>
      <i val="0"/>
      <strike val="0"/>
      <sz val="10"/>
      <color rgb="FF006100"/>
      <name val="Arial"/>
      <family val="2"/>
      <scheme val="none"/>
    </font>
    <font>
      <b val="0"/>
      <i/>
      <strike val="0"/>
      <sz val="10"/>
      <color rgb="FF404040"/>
      <name val="Arial"/>
      <family val="2"/>
      <scheme val="none"/>
    </font>
    <font>
      <b val="0"/>
      <i/>
      <strike val="0"/>
      <sz val="10"/>
      <color rgb="FF000000"/>
      <name val="Arial"/>
      <family val="2"/>
      <scheme val="none"/>
    </font>
    <font>
      <b val="0"/>
      <i/>
      <strike val="0"/>
      <sz val="10"/>
      <color rgb="FF006100"/>
      <name val="Arial"/>
      <family val="2"/>
      <scheme val="none"/>
    </font>
    <font>
      <b/>
      <i val="0"/>
      <strike val="0"/>
      <sz val="10"/>
      <color rgb="FF000000"/>
      <name val="Arial"/>
      <family val="2"/>
      <scheme val="none"/>
    </font>
    <font>
      <b val="0"/>
      <i/>
      <strike val="0"/>
      <sz val="10"/>
      <color rgb="FF0000FF"/>
      <name val="Arial"/>
      <family val="2"/>
      <scheme val="none"/>
    </font>
    <font>
      <b val="0"/>
      <i val="0"/>
      <strike val="0"/>
      <sz val="10"/>
      <color rgb="FF000000"/>
      <name val="Arial"/>
      <family val="2"/>
      <scheme val="none"/>
    </font>
    <font>
      <b val="0"/>
      <i val="0"/>
      <strike val="0"/>
      <sz val="10"/>
      <color rgb="FF0000FF"/>
      <name val="Arial"/>
      <family val="2"/>
      <scheme val="none"/>
    </font>
    <font>
      <b val="0"/>
      <i val="0"/>
      <strike val="0"/>
      <sz val="10"/>
      <color rgb="FF000000"/>
      <name val="Arial"/>
      <family val="2"/>
      <scheme val="none"/>
    </font>
    <font>
      <b/>
      <i val="0"/>
      <strike val="0"/>
      <sz val="10"/>
      <color rgb="FF000000"/>
      <name val="Arial"/>
      <family val="2"/>
      <scheme val="none"/>
    </font>
    <font>
      <b/>
      <i val="0"/>
      <strike val="0"/>
      <sz val="10"/>
      <color rgb="FF006100"/>
      <name val="Arial"/>
      <family val="2"/>
      <scheme val="none"/>
    </font>
    <font>
      <b val="0"/>
      <i val="0"/>
      <strike val="0"/>
      <sz val="10"/>
      <color rgb="FF0000FF"/>
      <name val="Arial"/>
      <family val="2"/>
      <scheme val="none"/>
    </font>
    <font>
      <b val="0"/>
      <i/>
      <strike val="0"/>
      <sz val="10"/>
      <color rgb="FF000000"/>
      <name val="Arial"/>
      <family val="2"/>
      <scheme val="none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solid">
        <fgColor rgb="FFF2F2F2"/>
      </patternFill>
    </fill>
    <fill>
      <patternFill patternType="solid">
        <fgColor rgb="FFDDE6F2"/>
      </patternFill>
    </fill>
    <fill>
      <patternFill patternType="solid">
        <fgColor rgb="FFEEF3FA"/>
      </patternFill>
    </fill>
  </fills>
  <borders count="5">
    <border/>
    <border>
      <top style="thin">
        <color rgb="FF808080"/>
      </top>
    </border>
    <border>
      <bottom style="thin">
        <color rgb="FF808080"/>
      </bottom>
    </border>
    <border>
      <top style="thin">
        <color rgb="FF808080"/>
      </top>
      <bottom style="thin">
        <color rgb="FF808080"/>
      </bottom>
    </border>
    <border>
      <top style="thin">
        <color rgb="FF000000"/>
      </top>
    </border>
  </borders>
  <cellStyleXfs count="1">
    <xf numFmtId="0" fontId="0" fillId="0" borderId="0"/>
  </cellStyleXfs>
  <cellXfs count="112">
    <xf numFmtId="0" fontId="0" fillId="0" borderId="0" xfId="0"/>
    <xf numFmtId="0" fontId="1" fillId="2" borderId="0" xfId="0" applyFont="1" applyFill="1" applyAlignment="1" applyProtection="1">
      <alignment horizontal="general" vertical="bottom"/>
      <protection locked="1" hidden="0"/>
    </xf>
    <xf numFmtId="164" fontId="1" fillId="2" borderId="0" xfId="0" applyNumberFormat="1" applyFont="1" applyFill="1" applyAlignment="1" applyProtection="1">
      <alignment horizontal="right" vertical="bottom"/>
      <protection locked="1" hidden="0"/>
    </xf>
    <xf numFmtId="165" fontId="2" fillId="3" borderId="1" xfId="0" applyNumberFormat="1" applyFont="1" applyFill="1" applyBorder="1" applyAlignment="1" applyProtection="1">
      <alignment horizontal="right" vertical="bottom"/>
      <protection locked="1" hidden="0"/>
    </xf>
    <xf numFmtId="0" fontId="2" fillId="2" borderId="0" xfId="0" applyFont="1" applyFill="1" applyAlignment="1" applyProtection="1">
      <alignment horizontal="general" vertical="bottom"/>
      <protection locked="1" hidden="0"/>
    </xf>
    <xf numFmtId="166" fontId="1" fillId="3" borderId="2" xfId="0" applyNumberFormat="1" applyFont="1" applyFill="1" applyBorder="1" applyAlignment="1" applyProtection="1">
      <alignment horizontal="right" vertical="bottom"/>
      <protection locked="1" hidden="0"/>
    </xf>
    <xf numFmtId="167" fontId="3" fillId="2" borderId="0" xfId="0" applyNumberFormat="1" applyFont="1" applyFill="1" applyAlignment="1" applyProtection="1">
      <alignment horizontal="right" vertical="bottom"/>
      <protection locked="1" hidden="0"/>
    </xf>
    <xf numFmtId="164" fontId="3" fillId="2" borderId="0" xfId="0" applyNumberFormat="1" applyFont="1" applyFill="1" applyAlignment="1" applyProtection="1">
      <alignment horizontal="right" vertical="bottom"/>
      <protection locked="1" hidden="0"/>
    </xf>
    <xf numFmtId="0" fontId="4" fillId="2" borderId="0" xfId="0" applyFont="1" applyFill="1" applyAlignment="1" applyProtection="1">
      <alignment horizontal="general" vertical="bottom"/>
      <protection locked="1" hidden="0"/>
    </xf>
    <xf numFmtId="0" fontId="2" fillId="3" borderId="3" xfId="0" applyFont="1" applyFill="1" applyBorder="1" applyAlignment="1" applyProtection="1">
      <alignment horizontal="left" vertical="bottom"/>
      <protection locked="1" hidden="0"/>
    </xf>
    <xf numFmtId="0" fontId="1" fillId="3" borderId="2" xfId="0" applyFont="1" applyFill="1" applyBorder="1" applyAlignment="1" applyProtection="1">
      <alignment horizontal="general" vertical="bottom"/>
      <protection locked="1" hidden="0"/>
    </xf>
    <xf numFmtId="168" fontId="5" fillId="2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right" vertical="bottom"/>
      <protection locked="1" hidden="0"/>
    </xf>
    <xf numFmtId="0" fontId="2" fillId="3" borderId="3" xfId="0" applyFont="1" applyFill="1" applyBorder="1" applyAlignment="1" applyProtection="1">
      <alignment horizontal="right" vertical="bottom"/>
      <protection locked="1" hidden="0"/>
    </xf>
    <xf numFmtId="0" fontId="1" fillId="3" borderId="0" xfId="0" applyFont="1" applyFill="1" applyAlignment="1" applyProtection="1">
      <alignment horizontal="general" vertical="bottom"/>
      <protection locked="1" hidden="0"/>
    </xf>
    <xf numFmtId="167" fontId="1" fillId="2" borderId="0" xfId="0" applyNumberFormat="1" applyFont="1" applyFill="1" applyAlignment="1" applyProtection="1">
      <alignment horizontal="right" vertical="bottom"/>
      <protection locked="1" hidden="0"/>
    </xf>
    <xf numFmtId="169" fontId="1" fillId="4" borderId="0" xfId="0" applyNumberFormat="1" applyFont="1" applyFill="1" applyAlignment="1" applyProtection="1">
      <alignment horizontal="right" vertical="bottom"/>
      <protection locked="1" hidden="0"/>
    </xf>
    <xf numFmtId="0" fontId="2" fillId="3" borderId="1" xfId="0" applyFont="1" applyFill="1" applyBorder="1" applyAlignment="1" applyProtection="1">
      <alignment horizontal="general" vertical="bottom"/>
      <protection locked="1" hidden="0"/>
    </xf>
    <xf numFmtId="0" fontId="6" fillId="2" borderId="0" xfId="0" applyFont="1" applyFill="1" applyAlignment="1" applyProtection="1">
      <alignment horizontal="right" vertical="bottom"/>
      <protection locked="1" hidden="0"/>
    </xf>
    <xf numFmtId="169" fontId="1" fillId="3" borderId="0" xfId="0" applyNumberFormat="1" applyFont="1" applyFill="1" applyAlignment="1" applyProtection="1">
      <alignment horizontal="right" vertical="bottom"/>
      <protection locked="1" hidden="0"/>
    </xf>
    <xf numFmtId="0" fontId="5" fillId="2" borderId="0" xfId="0" applyFont="1" applyFill="1" applyAlignment="1" applyProtection="1">
      <alignment horizontal="general" vertical="bottom"/>
      <protection locked="1" hidden="0"/>
    </xf>
    <xf numFmtId="0" fontId="7" fillId="2" borderId="0" xfId="0" applyFont="1" applyFill="1" applyAlignment="1" applyProtection="1">
      <alignment horizontal="general" vertical="bottom"/>
      <protection locked="1" hidden="0"/>
    </xf>
    <xf numFmtId="165" fontId="3" fillId="2" borderId="0" xfId="0" applyNumberFormat="1" applyFont="1" applyFill="1" applyAlignment="1" applyProtection="1">
      <alignment horizontal="right" vertical="bottom"/>
      <protection locked="1" hidden="0"/>
    </xf>
    <xf numFmtId="0" fontId="8" fillId="2" borderId="0" xfId="0" applyFont="1" applyFill="1" applyAlignment="1" applyProtection="1">
      <alignment horizontal="general" vertical="bottom"/>
      <protection locked="1" hidden="0"/>
    </xf>
    <xf numFmtId="169" fontId="9" fillId="2" borderId="0" xfId="0" applyNumberFormat="1" applyFont="1" applyFill="1" applyAlignment="1" applyProtection="1">
      <alignment horizontal="right" vertical="bottom"/>
      <protection locked="1" hidden="0"/>
    </xf>
    <xf numFmtId="0" fontId="1" fillId="2" borderId="0" xfId="0" applyFont="1" applyFill="1" applyAlignment="1" applyProtection="1">
      <alignment horizontal="general" vertical="top" wrapText="1"/>
      <protection locked="1" hidden="0"/>
    </xf>
    <xf numFmtId="166" fontId="1" fillId="4" borderId="2" xfId="0" applyNumberFormat="1" applyFont="1" applyFill="1" applyBorder="1" applyAlignment="1" applyProtection="1">
      <alignment horizontal="right" vertical="bottom"/>
      <protection locked="1" hidden="0"/>
    </xf>
    <xf numFmtId="0" fontId="2" fillId="3" borderId="3" xfId="0" applyFont="1" applyFill="1" applyBorder="1" applyAlignment="1" applyProtection="1">
      <alignment horizontal="left" vertical="top" wrapText="1"/>
      <protection locked="1" hidden="0"/>
    </xf>
    <xf numFmtId="0" fontId="10" fillId="2" borderId="0" xfId="0" applyFont="1" applyFill="1" applyAlignment="1" applyProtection="1">
      <alignment horizontal="right" vertical="bottom"/>
      <protection locked="1" hidden="0"/>
    </xf>
    <xf numFmtId="165" fontId="5" fillId="2" borderId="0" xfId="0" applyNumberFormat="1" applyFont="1" applyFill="1" applyAlignment="1" applyProtection="1">
      <alignment horizontal="right" vertical="bottom"/>
      <protection locked="1" hidden="0"/>
    </xf>
    <xf numFmtId="165" fontId="2" fillId="4" borderId="1" xfId="0" applyNumberFormat="1" applyFont="1" applyFill="1" applyBorder="1" applyAlignment="1" applyProtection="1">
      <alignment horizontal="right" vertical="bottom"/>
      <protection locked="1" hidden="0"/>
    </xf>
    <xf numFmtId="168" fontId="5" fillId="5" borderId="0" xfId="0" applyNumberFormat="1" applyFont="1" applyFill="1" applyAlignment="1" applyProtection="1">
      <alignment horizontal="right" vertical="bottom"/>
      <protection locked="1" hidden="0"/>
    </xf>
    <xf numFmtId="170" fontId="5" fillId="2" borderId="0" xfId="0" applyNumberFormat="1" applyFont="1" applyFill="1" applyAlignment="1" applyProtection="1">
      <alignment horizontal="right" vertical="bottom"/>
      <protection locked="1" hidden="0"/>
    </xf>
    <xf numFmtId="167" fontId="11" fillId="5" borderId="0" xfId="0" applyNumberFormat="1" applyFont="1" applyFill="1" applyAlignment="1" applyProtection="1">
      <alignment horizontal="right" vertical="bottom"/>
      <protection locked="1" hidden="0"/>
    </xf>
    <xf numFmtId="167" fontId="9" fillId="2" borderId="0" xfId="0" applyNumberFormat="1" applyFont="1" applyFill="1" applyAlignment="1" applyProtection="1">
      <alignment horizontal="right" vertical="bottom"/>
      <protection locked="1" hidden="0"/>
    </xf>
    <xf numFmtId="0" fontId="1" fillId="5" borderId="0" xfId="0" applyFont="1" applyFill="1" applyAlignment="1" applyProtection="1">
      <alignment horizontal="general" vertical="bottom"/>
      <protection locked="1" hidden="0"/>
    </xf>
    <xf numFmtId="171" fontId="12" fillId="2" borderId="0" xfId="0" applyNumberFormat="1" applyFont="1" applyFill="1" applyAlignment="1" applyProtection="1">
      <alignment horizontal="right" vertical="bottom"/>
      <protection locked="1" hidden="0"/>
    </xf>
    <xf numFmtId="0" fontId="9" fillId="2" borderId="0" xfId="0" applyFont="1" applyFill="1" applyAlignment="1" applyProtection="1">
      <alignment horizontal="right" vertical="bottom"/>
      <protection locked="1" hidden="0"/>
    </xf>
    <xf numFmtId="170" fontId="5" fillId="5" borderId="0" xfId="0" applyNumberFormat="1" applyFont="1" applyFill="1" applyAlignment="1" applyProtection="1">
      <alignment horizontal="right" vertical="bottom"/>
      <protection locked="1" hidden="0"/>
    </xf>
    <xf numFmtId="167" fontId="11" fillId="2" borderId="0" xfId="0" applyNumberFormat="1" applyFont="1" applyFill="1" applyAlignment="1" applyProtection="1">
      <alignment horizontal="right" vertical="bottom"/>
      <protection locked="1" hidden="0"/>
    </xf>
    <xf numFmtId="167" fontId="3" fillId="5" borderId="0" xfId="0" applyNumberFormat="1" applyFont="1" applyFill="1" applyAlignment="1" applyProtection="1">
      <alignment horizontal="right" vertical="bottom"/>
      <protection locked="1" hidden="0"/>
    </xf>
    <xf numFmtId="165" fontId="5" fillId="5" borderId="0" xfId="0" applyNumberFormat="1" applyFont="1" applyFill="1" applyAlignment="1" applyProtection="1">
      <alignment horizontal="right" vertical="bottom"/>
      <protection locked="1" hidden="0"/>
    </xf>
    <xf numFmtId="167" fontId="2" fillId="5" borderId="4" xfId="0" applyNumberFormat="1" applyFont="1" applyFill="1" applyBorder="1" applyAlignment="1" applyProtection="1">
      <alignment horizontal="right" vertical="bottom"/>
      <protection locked="1" hidden="0"/>
    </xf>
    <xf numFmtId="167" fontId="5" fillId="2" borderId="0" xfId="0" applyNumberFormat="1" applyFont="1" applyFill="1" applyAlignment="1" applyProtection="1">
      <alignment horizontal="right" vertical="bottom"/>
      <protection locked="1" hidden="0"/>
    </xf>
    <xf numFmtId="167" fontId="10" fillId="2" borderId="4" xfId="0" applyNumberFormat="1" applyFont="1" applyFill="1" applyBorder="1" applyAlignment="1" applyProtection="1">
      <alignment horizontal="right" vertical="bottom"/>
      <protection locked="1" hidden="0"/>
    </xf>
    <xf numFmtId="172" fontId="1" fillId="5" borderId="0" xfId="0" applyNumberFormat="1" applyFont="1" applyFill="1" applyAlignment="1" applyProtection="1">
      <alignment horizontal="right" vertical="bottom"/>
      <protection locked="1" hidden="0"/>
    </xf>
    <xf numFmtId="172" fontId="1" fillId="2" borderId="0" xfId="0" applyNumberFormat="1" applyFont="1" applyFill="1" applyAlignment="1" applyProtection="1">
      <alignment horizontal="right" vertical="bottom"/>
      <protection locked="1" hidden="0"/>
    </xf>
    <xf numFmtId="172" fontId="9" fillId="2" borderId="0" xfId="0" applyNumberFormat="1" applyFont="1" applyFill="1" applyAlignment="1" applyProtection="1">
      <alignment horizontal="right" vertical="bottom"/>
      <protection locked="1" hidden="0"/>
    </xf>
    <xf numFmtId="172" fontId="5" fillId="2" borderId="0" xfId="0" applyNumberFormat="1" applyFont="1" applyFill="1" applyAlignment="1" applyProtection="1">
      <alignment horizontal="right" vertical="bottom"/>
      <protection locked="1" hidden="0"/>
    </xf>
    <xf numFmtId="167" fontId="1" fillId="5" borderId="0" xfId="0" applyNumberFormat="1" applyFont="1" applyFill="1" applyAlignment="1" applyProtection="1">
      <alignment horizontal="right" vertical="bottom"/>
      <protection locked="1" hidden="0"/>
    </xf>
    <xf numFmtId="167" fontId="2" fillId="2" borderId="4" xfId="0" applyNumberFormat="1" applyFont="1" applyFill="1" applyBorder="1" applyAlignment="1" applyProtection="1">
      <alignment horizontal="right" vertical="bottom"/>
      <protection locked="1" hidden="0"/>
    </xf>
    <xf numFmtId="168" fontId="11" fillId="2" borderId="0" xfId="0" applyNumberFormat="1" applyFont="1" applyFill="1" applyAlignment="1" applyProtection="1">
      <alignment horizontal="right" vertical="bottom"/>
      <protection locked="1" hidden="0"/>
    </xf>
    <xf numFmtId="0" fontId="13" fillId="2" borderId="0" xfId="0" applyFont="1" applyFill="1" applyAlignment="1" applyProtection="1">
      <alignment horizontal="general" vertical="bottom"/>
      <protection locked="1" hidden="0"/>
    </xf>
    <xf numFmtId="165" fontId="1" fillId="5" borderId="0" xfId="0" applyNumberFormat="1" applyFont="1" applyFill="1" applyAlignment="1" applyProtection="1">
      <alignment horizontal="right" vertical="bottom"/>
      <protection locked="1" hidden="0"/>
    </xf>
    <xf numFmtId="165" fontId="1" fillId="2" borderId="0" xfId="0" applyNumberFormat="1" applyFont="1" applyFill="1" applyAlignment="1" applyProtection="1">
      <alignment horizontal="right" vertical="bottom"/>
      <protection locked="1" hidden="0"/>
    </xf>
    <xf numFmtId="164" fontId="9" fillId="2" borderId="0" xfId="0" applyNumberFormat="1" applyFont="1" applyFill="1" applyAlignment="1" applyProtection="1">
      <alignment horizontal="right" vertical="bottom"/>
      <protection locked="1" hidden="0"/>
    </xf>
    <xf numFmtId="167" fontId="5" fillId="5" borderId="0" xfId="0" applyNumberFormat="1" applyFont="1" applyFill="1" applyAlignment="1" applyProtection="1">
      <alignment horizontal="right" vertical="bottom"/>
      <protection locked="1" hidden="0"/>
    </xf>
    <xf numFmtId="0" fontId="13" fillId="2" borderId="0" xfId="0" applyFont="1" applyFill="1" applyAlignment="1" applyProtection="1">
      <alignment horizontal="general" vertical="top" wrapText="1"/>
      <protection locked="1" hidden="0"/>
    </xf>
    <xf numFmtId="168" fontId="14" fillId="2" borderId="0" xfId="0" applyNumberFormat="1" applyFont="1" applyFill="1" applyAlignment="1" applyProtection="1">
      <alignment horizontal="right" vertical="bottom"/>
      <protection locked="1" hidden="0"/>
    </xf>
    <xf numFmtId="165" fontId="4" fillId="2" borderId="0" xfId="0" applyNumberFormat="1" applyFont="1" applyFill="1" applyAlignment="1" applyProtection="1">
      <alignment horizontal="left" vertical="top" wrapText="1"/>
      <protection locked="1" hidden="0"/>
    </xf>
    <xf numFmtId="165" fontId="1" fillId="2" borderId="0" xfId="0" applyNumberFormat="1" applyFont="1" applyFill="1" applyAlignment="1" applyProtection="1">
      <alignment horizontal="left" vertical="top" wrapText="1"/>
      <protection locked="1" hidden="0"/>
    </xf>
    <xf numFmtId="169" fontId="9" fillId="2" borderId="0" xfId="0" applyNumberFormat="1" applyFont="1" applyFill="1" applyAlignment="1" applyProtection="1">
      <alignment horizontal="general" vertical="bottom"/>
      <protection locked="1" hidden="0"/>
    </xf>
    <xf numFmtId="170" fontId="9" fillId="2" borderId="0" xfId="0" applyNumberFormat="1" applyFont="1" applyFill="1" applyAlignment="1" applyProtection="1">
      <alignment horizontal="right" vertical="bottom"/>
      <protection locked="1" hidden="0"/>
    </xf>
    <xf numFmtId="173" fontId="9" fillId="2" borderId="0" xfId="0" applyNumberFormat="1" applyFont="1" applyFill="1" applyAlignment="1" applyProtection="1">
      <alignment horizontal="right" vertical="bottom"/>
      <protection locked="1" hidden="0"/>
    </xf>
    <xf numFmtId="170" fontId="1" fillId="2" borderId="0" xfId="0" applyNumberFormat="1" applyFont="1" applyFill="1" applyAlignment="1" applyProtection="1">
      <alignment horizontal="right" vertical="bottom"/>
      <protection locked="1" hidden="0"/>
    </xf>
    <xf numFmtId="168" fontId="15" fillId="2" borderId="4" xfId="0" applyNumberFormat="1" applyFont="1" applyFill="1" applyBorder="1" applyAlignment="1" applyProtection="1">
      <alignment horizontal="right" vertical="bottom"/>
      <protection locked="1" hidden="0"/>
    </xf>
    <xf numFmtId="168" fontId="1" fillId="2" borderId="0" xfId="0" applyNumberFormat="1" applyFont="1" applyFill="1" applyAlignment="1" applyProtection="1">
      <alignment horizontal="right" vertical="bottom"/>
      <protection locked="1" hidden="0"/>
    </xf>
    <xf numFmtId="0" fontId="15" fillId="2" borderId="0" xfId="0" applyFont="1" applyFill="1" applyAlignment="1" applyProtection="1">
      <alignment horizontal="general" vertical="bottom"/>
      <protection locked="1" hidden="0"/>
    </xf>
    <xf numFmtId="167" fontId="9" fillId="5" borderId="0" xfId="0" applyNumberFormat="1" applyFont="1" applyFill="1" applyAlignment="1" applyProtection="1">
      <alignment horizontal="right" vertical="bottom"/>
      <protection locked="1" hidden="0"/>
    </xf>
    <xf numFmtId="168" fontId="14" fillId="5" borderId="0" xfId="0" applyNumberFormat="1" applyFont="1" applyFill="1" applyAlignment="1" applyProtection="1">
      <alignment horizontal="right" vertical="bottom"/>
      <protection locked="1" hidden="0"/>
    </xf>
    <xf numFmtId="168" fontId="11" fillId="5" borderId="0" xfId="0" applyNumberFormat="1" applyFont="1" applyFill="1" applyAlignment="1" applyProtection="1">
      <alignment horizontal="right" vertical="bottom"/>
      <protection locked="1" hidden="0"/>
    </xf>
    <xf numFmtId="164" fontId="3" fillId="5" borderId="0" xfId="0" applyNumberFormat="1" applyFont="1" applyFill="1" applyAlignment="1" applyProtection="1">
      <alignment horizontal="right" vertical="bottom"/>
      <protection locked="1" hidden="0"/>
    </xf>
    <xf numFmtId="168" fontId="15" fillId="5" borderId="4" xfId="0" applyNumberFormat="1" applyFont="1" applyFill="1" applyBorder="1" applyAlignment="1" applyProtection="1">
      <alignment horizontal="right" vertical="bottom"/>
      <protection locked="1" hidden="0"/>
    </xf>
    <xf numFmtId="174" fontId="1" fillId="5" borderId="0" xfId="0" applyNumberFormat="1" applyFont="1" applyFill="1" applyAlignment="1" applyProtection="1">
      <alignment horizontal="right" vertical="bottom"/>
      <protection locked="1" hidden="0"/>
    </xf>
    <xf numFmtId="174" fontId="1" fillId="2" borderId="0" xfId="0" applyNumberFormat="1" applyFont="1" applyFill="1" applyAlignment="1" applyProtection="1">
      <alignment horizontal="right" vertical="bottom"/>
      <protection locked="1" hidden="0"/>
    </xf>
    <xf numFmtId="172" fontId="9" fillId="5" borderId="0" xfId="0" applyNumberFormat="1" applyFont="1" applyFill="1" applyAlignment="1" applyProtection="1">
      <alignment horizontal="right" vertical="bottom"/>
      <protection locked="1" hidden="0"/>
    </xf>
    <xf numFmtId="164" fontId="1" fillId="5" borderId="0" xfId="0" applyNumberFormat="1" applyFont="1" applyFill="1" applyAlignment="1" applyProtection="1">
      <alignment horizontal="right" vertical="bottom"/>
      <protection locked="1" hidden="0"/>
    </xf>
    <xf numFmtId="164" fontId="9" fillId="5" borderId="0" xfId="0" applyNumberFormat="1" applyFont="1" applyFill="1" applyAlignment="1" applyProtection="1">
      <alignment horizontal="right" vertical="bottom"/>
      <protection locked="1" hidden="0"/>
    </xf>
    <xf numFmtId="172" fontId="2" fillId="2" borderId="4" xfId="0" applyNumberFormat="1" applyFont="1" applyFill="1" applyBorder="1" applyAlignment="1" applyProtection="1">
      <alignment horizontal="right" vertical="bottom"/>
      <protection locked="1" hidden="0"/>
    </xf>
    <xf numFmtId="172" fontId="2" fillId="5" borderId="4" xfId="0" applyNumberFormat="1" applyFont="1" applyFill="1" applyBorder="1" applyAlignment="1" applyProtection="1">
      <alignment horizontal="right" vertical="bottom"/>
      <protection locked="1" hidden="0"/>
    </xf>
    <xf numFmtId="172" fontId="5" fillId="5" borderId="0" xfId="0" applyNumberFormat="1" applyFont="1" applyFill="1" applyAlignment="1" applyProtection="1">
      <alignment horizontal="right" vertical="bottom"/>
      <protection locked="1" hidden="0"/>
    </xf>
    <xf numFmtId="167" fontId="6" fillId="2" borderId="4" xfId="0" applyNumberFormat="1" applyFont="1" applyFill="1" applyBorder="1" applyAlignment="1" applyProtection="1">
      <alignment horizontal="right" vertical="bottom"/>
      <protection locked="1" hidden="0"/>
    </xf>
    <xf numFmtId="164" fontId="5" fillId="2" borderId="0" xfId="0" applyNumberFormat="1" applyFont="1" applyFill="1" applyAlignment="1" applyProtection="1">
      <alignment horizontal="right" vertical="bottom"/>
      <protection locked="1" hidden="0"/>
    </xf>
    <xf numFmtId="164" fontId="2" fillId="2" borderId="4" xfId="0" applyNumberFormat="1" applyFont="1" applyFill="1" applyBorder="1" applyAlignment="1" applyProtection="1">
      <alignment horizontal="right" vertical="bottom"/>
      <protection locked="1" hidden="0"/>
    </xf>
    <xf numFmtId="170" fontId="11" fillId="5" borderId="0" xfId="0" applyNumberFormat="1" applyFont="1" applyFill="1" applyAlignment="1" applyProtection="1">
      <alignment horizontal="right" vertical="bottom"/>
      <protection locked="1" hidden="0"/>
    </xf>
    <xf numFmtId="170" fontId="11" fillId="2" borderId="0" xfId="0" applyNumberFormat="1" applyFont="1" applyFill="1" applyAlignment="1" applyProtection="1">
      <alignment horizontal="right" vertical="bottom"/>
      <protection locked="1" hidden="0"/>
    </xf>
    <xf numFmtId="164" fontId="5" fillId="5" borderId="0" xfId="0" applyNumberFormat="1" applyFont="1" applyFill="1" applyAlignment="1" applyProtection="1">
      <alignment horizontal="right" vertical="bottom"/>
      <protection locked="1" hidden="0"/>
    </xf>
    <xf numFmtId="167" fontId="6" fillId="5" borderId="4" xfId="0" applyNumberFormat="1" applyFont="1" applyFill="1" applyBorder="1" applyAlignment="1" applyProtection="1">
      <alignment horizontal="right" vertical="bottom"/>
      <protection locked="1" hidden="0"/>
    </xf>
    <xf numFmtId="164" fontId="2" fillId="5" borderId="4" xfId="0" applyNumberFormat="1" applyFont="1" applyFill="1" applyBorder="1" applyAlignment="1" applyProtection="1">
      <alignment horizontal="right" vertical="bottom"/>
      <protection locked="1" hidden="0"/>
    </xf>
    <xf numFmtId="165" fontId="1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0" fontId="17" fillId="0" borderId="0" xfId="0" applyFont="1" applyFill="1" applyAlignment="1" applyProtection="1">
      <alignment horizontal="general" vertical="bottom"/>
      <protection locked="1" hidden="0"/>
    </xf>
    <xf numFmtId="165" fontId="18" fillId="5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9" fillId="5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9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20" fillId="3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75" fontId="21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75" fontId="1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4" fontId="22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7" fontId="23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9" fontId="24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25" fillId="0" borderId="1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5" fontId="24" fillId="0" borderId="2" xfId="0" applyNumberFormat="1" applyFont="1" applyFill="1" applyBorder="1" applyAlignment="1" applyProtection="1">
      <alignment horizontal="general" vertical="bottom" textRotation="0" indent="0" readingOrder="0"/>
      <protection locked="1" hidden="0"/>
    </xf>
    <xf numFmtId="166" fontId="24" fillId="0" borderId="2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5" fontId="24" fillId="0" borderId="0" xfId="0" applyNumberFormat="1" applyFont="1" applyFill="1" applyAlignment="1" applyProtection="1">
      <alignment horizontal="general" vertical="bottom" textRotation="0" indent="0" readingOrder="0"/>
      <protection locked="1" hidden="0"/>
    </xf>
    <xf numFmtId="165" fontId="25" fillId="0" borderId="1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5" fontId="26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27" fillId="0" borderId="0" xfId="0" applyNumberFormat="1" applyFont="1" applyFill="1" applyAlignment="1" applyProtection="1">
      <alignment horizontal="left" vertical="bottom" textRotation="0" indent="0" readingOrder="0"/>
      <protection locked="1" hidden="0"/>
    </xf>
    <xf numFmtId="165" fontId="25" fillId="3" borderId="3" xfId="0" applyNumberFormat="1" applyFont="1" applyFill="1" applyBorder="1" applyAlignment="1" applyProtection="1">
      <alignment horizontal="right" vertical="bottom" textRotation="0" indent="0" readingOrder="0"/>
      <protection locked="1" hidden="0"/>
    </xf>
    <xf numFmtId="165" fontId="28" fillId="0" borderId="0" xfId="0" applyNumberFormat="1" applyFont="1" applyFill="1" applyAlignment="1" applyProtection="1">
      <alignment horizontal="right" vertical="bottom" textRotation="0" indent="0" readingOrder="0"/>
      <protection locked="1" hidden="0"/>
    </xf>
    <xf numFmtId="165" fontId="28" fillId="5" borderId="0" xfId="0" applyNumberFormat="1" applyFont="1" applyFill="1" applyAlignment="1" applyProtection="1">
      <alignment horizontal="right" vertical="bottom" textRotation="0" indent="0" readingOrder="0"/>
      <protection locked="1" hidden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38100</xdr:colOff>
      <xdr:row>0</xdr:row>
      <xdr:rowOff>28575</xdr:rowOff>
    </xdr:from>
    <xdr:ext cx="552450" cy="552450"/>
    <xdr:pic>
      <xdr:nvPicPr>
        <xdr:cNvPr id="2" name="ShortcutLogo"/>
        <xdr:cNvPicPr>
          <a:picLocks noChangeAspect="1"/>
        </xdr:cNvPicPr>
      </xdr:nvPicPr>
      <xdr:blipFill>
        <a:blip r:embed="rId1"/>
      </xdr:blipFill>
      <xdr:spPr>
        <a:xfrm>
          <a:off x="0" y="0"/>
          <a:ext cx="552450" cy="5524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 panose="020F0502020204030204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comments" Target="../comments5.xml"/><Relationship Id="rId2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8"/>
  <sheetViews>
    <sheetView showGridLines="0" tabSelected="1" workbookViewId="0"/>
  </sheetViews>
  <sheetFormatPr defaultColWidth="8.42578125" defaultRowHeight="15"/>
  <cols>
    <col min="1" max="1" width="9" customWidth="1"/>
    <col min="2" max="2" width="34" customWidth="1"/>
    <col min="3" max="8" width="12" customWidth="1"/>
    <col min="9" max="9" width="60" customWidth="1"/>
  </cols>
  <sheetData>
    <row r="1" ht="15.75">
      <c r="B1" s="23" t="s">
        <v>0</v>
      </c>
    </row>
    <row r="2" ht="15.75">
      <c r="B2" s="21" t="s">
        <v>1</v>
      </c>
    </row>
    <row r="3" ht="15.75">
      <c r="B3" s="20" t="s">
        <v>2</v>
      </c>
    </row>
    <row r="4">
      <c r="B4" s="102"/>
      <c r="C4" s="106"/>
      <c r="D4" s="106"/>
      <c r="E4" s="106"/>
      <c r="F4" s="106"/>
      <c r="G4" s="106"/>
      <c r="H4" s="106"/>
      <c r="I4" s="102"/>
    </row>
    <row r="5">
      <c r="B5" s="105"/>
      <c r="C5" s="101"/>
      <c r="D5" s="101"/>
      <c r="E5" s="101"/>
      <c r="F5" s="101"/>
      <c r="G5" s="101"/>
      <c r="H5" s="101"/>
      <c r="I5" s="105"/>
    </row>
    <row r="6">
      <c r="B6" s="103"/>
      <c r="C6" s="104"/>
      <c r="D6" s="104"/>
      <c r="E6" s="104"/>
      <c r="F6" s="104"/>
      <c r="G6" s="104"/>
      <c r="H6" s="104"/>
      <c r="I6" s="103"/>
    </row>
    <row r="8">
      <c r="B8" s="1" t="s">
        <v>3</v>
      </c>
      <c r="C8" s="1" t="s">
        <v>4</v>
      </c>
    </row>
    <row r="9">
      <c r="B9" s="1" t="s">
        <v>5</v>
      </c>
      <c r="C9" s="1" t="s">
        <v>6</v>
      </c>
    </row>
    <row r="10">
      <c r="B10" s="1" t="s">
        <v>7</v>
      </c>
      <c r="C10" s="1" t="s">
        <v>8</v>
      </c>
    </row>
    <row r="11">
      <c r="B11" s="1" t="s">
        <v>9</v>
      </c>
      <c r="C11" s="1" t="s">
        <v>10</v>
      </c>
    </row>
    <row r="12">
      <c r="B12" s="1" t="s">
        <v>11</v>
      </c>
      <c r="C12" s="1" t="s">
        <v>12</v>
      </c>
    </row>
    <row r="13">
      <c r="B13" s="1" t="s">
        <v>13</v>
      </c>
      <c r="C13" s="1" t="s">
        <v>14</v>
      </c>
    </row>
    <row r="14">
      <c r="B14" s="1" t="s">
        <v>15</v>
      </c>
      <c r="C14" s="1" t="s">
        <v>16</v>
      </c>
    </row>
    <row r="15">
      <c r="B15" s="1" t="s">
        <v>17</v>
      </c>
      <c r="C15" s="1" t="s">
        <v>18</v>
      </c>
      <c r="I15" s="90" t="s">
        <v>19</v>
      </c>
    </row>
    <row r="16">
      <c r="B16" s="1" t="s">
        <v>20</v>
      </c>
      <c r="C16" s="1" t="s">
        <v>21</v>
      </c>
    </row>
    <row r="17">
      <c r="B17" s="1" t="s">
        <v>22</v>
      </c>
      <c r="C17" s="1" t="s">
        <v>23</v>
      </c>
    </row>
    <row r="18">
      <c r="B18" s="1" t="s">
        <v>24</v>
      </c>
      <c r="C18" s="1" t="s">
        <v>25</v>
      </c>
    </row>
    <row r="19">
      <c r="B19" s="1" t="s">
        <v>26</v>
      </c>
      <c r="C19" s="1" t="s">
        <v>27</v>
      </c>
    </row>
    <row r="21">
      <c r="B21" s="4" t="s">
        <v>28</v>
      </c>
    </row>
    <row r="22">
      <c r="B22" s="9" t="s">
        <v>29</v>
      </c>
      <c r="C22" s="13" t="s">
        <v>30</v>
      </c>
      <c r="D22" s="13" t="s">
        <v>31</v>
      </c>
      <c r="E22" s="13" t="s">
        <v>32</v>
      </c>
      <c r="F22" s="13" t="s">
        <v>33</v>
      </c>
      <c r="G22" s="13" t="s">
        <v>34</v>
      </c>
      <c r="H22" s="13" t="s">
        <v>35</v>
      </c>
      <c r="I22" s="9" t="s">
        <v>36</v>
      </c>
    </row>
    <row r="23">
      <c r="B23" s="1" t="s">
        <v>37</v>
      </c>
      <c r="C23" s="6">
        <f>'Revenue summary'!H11</f>
        <v>1649.3201109000001</v>
      </c>
      <c r="D23" s="6">
        <f>Inputs!C53</f>
        <v>1655.96</v>
      </c>
      <c r="E23" s="15">
        <f>C23-D23</f>
        <v>-6.639889099999891</v>
      </c>
      <c r="F23" s="11">
        <f>C23/D23-1</f>
        <v>-0.004009691719606634</v>
      </c>
      <c r="G23" s="6">
        <f>Guidance!G38</f>
        <v>1659.3</v>
      </c>
      <c r="H23" s="11">
        <f>C23/G23-1</f>
        <v>-0.006014517627915272</v>
      </c>
      <c r="I23" s="8" t="s">
        <v>38</v>
      </c>
    </row>
    <row r="24">
      <c r="B24" s="1" t="s">
        <v>39</v>
      </c>
      <c r="C24" s="6">
        <f>'Income Statement'!H130</f>
        <v>83.97562004604</v>
      </c>
      <c r="D24" s="6">
        <f>Inputs!C66</f>
        <v>80.97</v>
      </c>
      <c r="E24" s="15">
        <f>C24-D24</f>
        <v>3.0056200460400078</v>
      </c>
      <c r="F24" s="11">
        <f>C24/D24-1</f>
        <v>0.037120168532049025</v>
      </c>
      <c r="G24" s="6">
        <f>Guidance!G41</f>
        <v>84.102375</v>
      </c>
      <c r="H24" s="11">
        <f>C24/G24-1</f>
        <v>-0.0015071507072182966</v>
      </c>
      <c r="I24" s="8" t="s">
        <v>40</v>
      </c>
    </row>
    <row r="25">
      <c r="B25" s="1" t="s">
        <v>41</v>
      </c>
      <c r="C25" s="7">
        <f>'Income Statement'!H133</f>
        <v>0.6098206391571703</v>
      </c>
      <c r="D25" s="7">
        <f>Inputs!C37</f>
        <v>0.59</v>
      </c>
      <c r="E25" s="2">
        <f>C25-D25</f>
        <v>0.01982063915717036</v>
      </c>
      <c r="F25" s="11">
        <f>C25/D25-1</f>
        <v>0.03359430365622096</v>
      </c>
      <c r="G25" s="7">
        <f>Guidance!G42</f>
        <v>0.6083354430379746</v>
      </c>
      <c r="H25" s="11">
        <f>C25/G25-1</f>
        <v>0.002441409811302142</v>
      </c>
      <c r="I25" s="8" t="s">
        <v>42</v>
      </c>
    </row>
    <row r="26">
      <c r="B26" s="1" t="s">
        <v>43</v>
      </c>
      <c r="C26" s="7">
        <f>'Income Statement'!H46</f>
        <v>0.3142622378010467</v>
      </c>
      <c r="D26" s="7">
        <f>Inputs!C46</f>
        <v>0.52</v>
      </c>
      <c r="E26" s="2">
        <f>C26-D26</f>
        <v>-0.20573776219895334</v>
      </c>
      <c r="F26" s="11">
        <f>C26/D26-1</f>
        <v>-0.39564954269029484</v>
      </c>
      <c r="G26" s="12" t="s">
        <v>44</v>
      </c>
      <c r="H26" s="12" t="s">
        <v>44</v>
      </c>
      <c r="I26" s="8" t="s">
        <v>45</v>
      </c>
    </row>
    <row r="27">
      <c r="B27" s="1" t="s">
        <v>46</v>
      </c>
      <c r="C27" s="6">
        <f>'Income Statement'!H34</f>
        <v>43.275620046040004</v>
      </c>
      <c r="D27" s="6">
        <f>Inputs!C67</f>
        <v>73.68</v>
      </c>
      <c r="E27" s="15">
        <f>C27-D27</f>
        <v>-30.404379953960003</v>
      </c>
      <c r="F27" s="11">
        <f>C27/D27-1</f>
        <v>-0.41265445105808907</v>
      </c>
      <c r="G27" s="12" t="s">
        <v>44</v>
      </c>
      <c r="H27" s="12" t="s">
        <v>44</v>
      </c>
      <c r="I27" s="8" t="s">
        <v>47</v>
      </c>
    </row>
    <row r="28">
      <c r="B28" s="1" t="s">
        <v>48</v>
      </c>
      <c r="C28" s="6">
        <f>'Income Statement'!H147</f>
        <v>265.1328056195</v>
      </c>
      <c r="D28" s="6">
        <f>Inputs!C62</f>
        <v>261.97</v>
      </c>
      <c r="E28" s="15">
        <f>C28-D28</f>
        <v>3.162805619499977</v>
      </c>
      <c r="F28" s="11">
        <f>C28/D28-1</f>
        <v>0.012073159596518668</v>
      </c>
      <c r="G28" s="6">
        <f>Guidance!G40</f>
        <v>264.42499999999995</v>
      </c>
      <c r="H28" s="11">
        <f>C28/G28-1</f>
        <v>0.002676772693580576</v>
      </c>
      <c r="I28" s="8" t="s">
        <v>49</v>
      </c>
    </row>
    <row r="29">
      <c r="B29" s="4" t="s">
        <v>50</v>
      </c>
      <c r="C29" s="107" t="str">
        <f>IF(AND('Revenue summary'!H63,'Income Statement'!H160,'Balance Sheet'!C44:H44,'Cash Flow Statement'!H146,Geo!H39),"PASS","FAIL")</f>
        <v>PASS</v>
      </c>
      <c r="I29" s="8" t="s">
        <v>51</v>
      </c>
    </row>
    <row r="30">
      <c r="B30" s="1" t="s">
        <v>52</v>
      </c>
      <c r="C30" s="22" t="b">
        <f>AND(ABS(C23-'Income Statement'!H9)&lt;0.001,ABS(C25-'Income Statement'!H130/'Share Count'!H13)&lt;0.000001,ABS(C24-('Income Statement'!H34+'Income Statement'!H86))&lt;0.001)</f>
        <v>1</v>
      </c>
      <c r="I30" s="90" t="s">
        <v>53</v>
      </c>
    </row>
    <row r="31">
      <c r="B31" s="4" t="s">
        <v>54</v>
      </c>
      <c r="C31" s="36">
        <f>Inputs!C120</f>
        <v>0.7</v>
      </c>
      <c r="I31" s="8" t="s">
        <v>55</v>
      </c>
    </row>
    <row r="32">
      <c r="B32" s="4" t="s">
        <v>56</v>
      </c>
      <c r="C32" s="28" t="s">
        <v>57</v>
      </c>
    </row>
    <row r="34">
      <c r="B34" s="4" t="s">
        <v>58</v>
      </c>
    </row>
    <row r="35">
      <c r="B35" s="1" t="s">
        <v>59</v>
      </c>
    </row>
    <row r="36">
      <c r="B36" s="1" t="s">
        <v>60</v>
      </c>
    </row>
    <row r="37">
      <c r="B37" s="1" t="s">
        <v>61</v>
      </c>
    </row>
    <row r="38">
      <c r="B38" s="1" t="s">
        <v>62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I63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</cols>
  <sheetData>
    <row r="1">
      <c r="B1" s="23" t="s">
        <v>0</v>
      </c>
    </row>
    <row r="2">
      <c r="B2" s="21" t="s">
        <v>63</v>
      </c>
    </row>
    <row r="3">
      <c r="B3" s="20" t="s">
        <v>2</v>
      </c>
    </row>
    <row r="4">
      <c r="B4" s="17" t="s">
        <v>64</v>
      </c>
      <c r="C4" s="3" t="s">
        <v>65</v>
      </c>
      <c r="D4" s="3" t="s">
        <v>66</v>
      </c>
      <c r="E4" s="3" t="s">
        <v>67</v>
      </c>
      <c r="F4" s="3" t="s">
        <v>68</v>
      </c>
      <c r="G4" s="3" t="s">
        <v>69</v>
      </c>
      <c r="H4" s="30" t="s">
        <v>70</v>
      </c>
      <c r="I4" s="17" t="s">
        <v>71</v>
      </c>
    </row>
    <row r="5">
      <c r="B5" s="14" t="s">
        <v>72</v>
      </c>
      <c r="C5" s="19">
        <v>45893</v>
      </c>
      <c r="D5" s="19">
        <v>45984</v>
      </c>
      <c r="E5" s="19">
        <v>46075</v>
      </c>
      <c r="F5" s="19">
        <v>46173</v>
      </c>
      <c r="G5" s="19">
        <v>46173</v>
      </c>
      <c r="H5" s="16">
        <v>46264</v>
      </c>
      <c r="I5" s="14"/>
    </row>
    <row r="6">
      <c r="B6" s="10" t="s">
        <v>73</v>
      </c>
      <c r="C6" s="5">
        <v>91</v>
      </c>
      <c r="D6" s="5">
        <v>91</v>
      </c>
      <c r="E6" s="5">
        <v>91</v>
      </c>
      <c r="F6" s="5">
        <v>98</v>
      </c>
      <c r="G6" s="5">
        <v>371</v>
      </c>
      <c r="H6" s="26">
        <v>91</v>
      </c>
      <c r="I6" s="10"/>
    </row>
    <row r="8">
      <c r="B8" s="4" t="s">
        <v>74</v>
      </c>
      <c r="H8" s="35"/>
    </row>
    <row r="9">
      <c r="B9" s="1" t="s">
        <v>75</v>
      </c>
      <c r="C9" s="6">
        <f>'Segment - North America'!C33</f>
        <v>1084.6</v>
      </c>
      <c r="D9" s="6">
        <f>'Segment - North America'!D33</f>
        <v>1069.5</v>
      </c>
      <c r="E9" s="6">
        <f>'Segment - North America'!E33</f>
        <v>1035</v>
      </c>
      <c r="F9" s="6">
        <f>'Segment - North America'!F33</f>
        <v>1206.2</v>
      </c>
      <c r="G9" s="6">
        <f>'Segment - North America'!G33</f>
        <v>4395.2</v>
      </c>
      <c r="H9" s="40">
        <f>'Segment - North America'!H33</f>
        <v>1100.10978</v>
      </c>
    </row>
    <row r="10">
      <c r="B10" s="1" t="s">
        <v>76</v>
      </c>
      <c r="C10" s="6">
        <f>'Segment - International'!C33</f>
        <v>574.7</v>
      </c>
      <c r="D10" s="6">
        <f>'Segment - International'!D33</f>
        <v>548.6</v>
      </c>
      <c r="E10" s="6">
        <f>'Segment - International'!E33</f>
        <v>529.8</v>
      </c>
      <c r="F10" s="6">
        <f>'Segment - International'!F33</f>
        <v>563.9</v>
      </c>
      <c r="G10" s="6">
        <f>'Segment - International'!G33</f>
        <v>2217.1</v>
      </c>
      <c r="H10" s="40">
        <f>'Segment - International'!H33</f>
        <v>549.2103309</v>
      </c>
    </row>
    <row r="11">
      <c r="B11" s="4" t="s">
        <v>77</v>
      </c>
      <c r="C11" s="50">
        <f>C9+C10</f>
        <v>1659.3</v>
      </c>
      <c r="D11" s="50">
        <f>D9+D10</f>
        <v>1618.1</v>
      </c>
      <c r="E11" s="50">
        <f>E9+E10</f>
        <v>1564.8</v>
      </c>
      <c r="F11" s="50">
        <f>F9+F10</f>
        <v>1770.1</v>
      </c>
      <c r="G11" s="50">
        <f>G9+G10</f>
        <v>6612.299999999999</v>
      </c>
      <c r="H11" s="42">
        <f>H9+H10</f>
        <v>1649.3201109000001</v>
      </c>
    </row>
    <row r="12">
      <c r="B12" s="1" t="s">
        <v>78</v>
      </c>
      <c r="C12" s="6">
        <f>Inputs!I102</f>
        <v>1659.3</v>
      </c>
      <c r="D12" s="6">
        <f>Inputs!I103</f>
        <v>1618.1</v>
      </c>
      <c r="E12" s="6">
        <f>Inputs!I104</f>
        <v>1564.8</v>
      </c>
      <c r="F12" s="6">
        <f>Inputs!I105</f>
        <v>1770.1</v>
      </c>
      <c r="G12" s="34">
        <v>6612.3</v>
      </c>
      <c r="H12" s="49">
        <f>H11</f>
        <v>1649.3201109000001</v>
      </c>
      <c r="I12" s="8" t="s">
        <v>79</v>
      </c>
    </row>
    <row r="13">
      <c r="B13" s="20" t="s">
        <v>80</v>
      </c>
      <c r="C13" s="94" t="b">
        <f>ABS(C11-C12)&lt;0.05</f>
        <v>1</v>
      </c>
      <c r="D13" s="94" t="b">
        <f>ABS(D11-D12)&lt;0.05</f>
        <v>1</v>
      </c>
      <c r="E13" s="94" t="b">
        <f>ABS(E11-E12)&lt;0.05</f>
        <v>1</v>
      </c>
      <c r="F13" s="94" t="b">
        <f>ABS(F11-F12)&lt;0.05</f>
        <v>1</v>
      </c>
      <c r="G13" s="94" t="b">
        <f>ABS(G11-G12)&lt;0.05</f>
        <v>1</v>
      </c>
      <c r="H13" s="91" t="b">
        <f>ABS(H11-H12)&lt;0.05</f>
        <v>1</v>
      </c>
      <c r="I13" s="90" t="s">
        <v>81</v>
      </c>
    </row>
    <row r="14">
      <c r="B14" s="20" t="s">
        <v>82</v>
      </c>
      <c r="C14" s="29"/>
      <c r="D14" s="29"/>
      <c r="E14" s="29"/>
      <c r="F14" s="29"/>
      <c r="G14" s="94" t="b">
        <f>ABS(G11-SUM(C11:F11))&lt;0.25</f>
        <v>1</v>
      </c>
      <c r="H14" s="41"/>
    </row>
    <row r="15">
      <c r="B15" s="52" t="s">
        <v>83</v>
      </c>
      <c r="H15" s="35"/>
    </row>
    <row r="16">
      <c r="H16" s="35"/>
    </row>
    <row r="17">
      <c r="B17" s="4" t="s">
        <v>84</v>
      </c>
      <c r="H17" s="35"/>
    </row>
    <row r="18">
      <c r="B18" s="1" t="s">
        <v>85</v>
      </c>
      <c r="C18" s="6">
        <f>'Segment - North America'!C11+'Segment - International'!C11</f>
        <v>1654.1</v>
      </c>
      <c r="D18" s="6">
        <f>'Segment - North America'!D11+'Segment - International'!D11</f>
        <v>1600.8999999999999</v>
      </c>
      <c r="E18" s="6">
        <f>'Segment - North America'!E11+'Segment - International'!E11</f>
        <v>1520.5</v>
      </c>
      <c r="F18" s="6">
        <f>'Segment - North America'!F11+'Segment - International'!F11</f>
        <v>1675.8</v>
      </c>
      <c r="G18" s="6">
        <f>'Segment - North America'!G11+'Segment - International'!G11</f>
        <v>6451.299999999999</v>
      </c>
      <c r="H18" s="49">
        <f>C11</f>
        <v>1659.3</v>
      </c>
    </row>
    <row r="19">
      <c r="B19" s="20" t="s">
        <v>86</v>
      </c>
      <c r="C19" s="29"/>
      <c r="D19" s="29"/>
      <c r="E19" s="93" t="b">
        <f>ABS(E18-Inputs!I100)&lt;0.05</f>
        <v>1</v>
      </c>
      <c r="F19" s="93" t="b">
        <f>ABS(F18-Inputs!I101)&lt;0.05</f>
        <v>1</v>
      </c>
      <c r="G19" s="29"/>
      <c r="H19" s="41"/>
      <c r="I19" s="8" t="s">
        <v>87</v>
      </c>
    </row>
    <row r="20">
      <c r="B20" s="20" t="s">
        <v>88</v>
      </c>
      <c r="C20" s="11">
        <f>C11/C18-1</f>
        <v>0.003143703524575381</v>
      </c>
      <c r="D20" s="11">
        <f>D11/D18-1</f>
        <v>0.010743956524454923</v>
      </c>
      <c r="E20" s="11">
        <f>E11/E18-1</f>
        <v>0.029135152910226836</v>
      </c>
      <c r="F20" s="11">
        <f>F11/F18-1</f>
        <v>0.05627163145960146</v>
      </c>
      <c r="G20" s="11">
        <f>G11/G18-1</f>
        <v>0.024956210376203325</v>
      </c>
      <c r="H20" s="31">
        <f>H11/H18-1</f>
        <v>-0.006014517627915272</v>
      </c>
    </row>
    <row r="21">
      <c r="B21" s="20" t="s">
        <v>89</v>
      </c>
      <c r="C21" s="11">
        <f>C11/F18-1</f>
        <v>-0.009846043680630134</v>
      </c>
      <c r="D21" s="11">
        <f>D11/C11-1</f>
        <v>-0.024829747483878783</v>
      </c>
      <c r="E21" s="11">
        <f>E11/D11-1</f>
        <v>-0.03293986774612201</v>
      </c>
      <c r="F21" s="11">
        <f>F11/E11-1</f>
        <v>0.13119887525562368</v>
      </c>
      <c r="G21" s="11"/>
      <c r="H21" s="31">
        <f>H11/F11-1</f>
        <v>-0.06823337048754297</v>
      </c>
      <c r="I21" s="8" t="s">
        <v>90</v>
      </c>
    </row>
    <row r="22">
      <c r="B22" s="20" t="s">
        <v>91</v>
      </c>
      <c r="C22" s="11">
        <f>C11/C11</f>
        <v>1</v>
      </c>
      <c r="D22" s="11">
        <f>D11/D11</f>
        <v>1</v>
      </c>
      <c r="E22" s="11">
        <f>E11/E11</f>
        <v>1</v>
      </c>
      <c r="F22" s="11">
        <f>F11/F11</f>
        <v>1</v>
      </c>
      <c r="G22" s="11">
        <f>G11/G11</f>
        <v>1</v>
      </c>
      <c r="H22" s="31">
        <f>H11/H11</f>
        <v>1</v>
      </c>
    </row>
    <row r="23">
      <c r="B23" s="20" t="s">
        <v>92</v>
      </c>
      <c r="C23" s="58">
        <v>0.06</v>
      </c>
      <c r="D23" s="58">
        <v>0.08</v>
      </c>
      <c r="E23" s="58">
        <v>0.07</v>
      </c>
      <c r="F23" s="58">
        <v>0.07</v>
      </c>
      <c r="G23" s="58">
        <v>0.07</v>
      </c>
      <c r="H23" s="70">
        <f>('Segment - North America'!H17+'Segment - International'!H17)/H18</f>
        <v>0.017682456457542337</v>
      </c>
    </row>
    <row r="24">
      <c r="B24" s="20" t="s">
        <v>93</v>
      </c>
      <c r="C24" s="32" t="s">
        <v>44</v>
      </c>
      <c r="D24" s="32" t="s">
        <v>44</v>
      </c>
      <c r="E24" s="32" t="s">
        <v>44</v>
      </c>
      <c r="F24" s="32" t="s">
        <v>44</v>
      </c>
      <c r="G24" s="32" t="s">
        <v>44</v>
      </c>
      <c r="H24" s="38">
        <f>(H23-C23)*10000</f>
        <v>-423.1754354245766</v>
      </c>
    </row>
    <row r="25">
      <c r="B25" s="20" t="s">
        <v>94</v>
      </c>
      <c r="C25" s="32" t="s">
        <v>44</v>
      </c>
      <c r="D25" s="32">
        <f>(D23-C23)*10000</f>
        <v>200.00000000000003</v>
      </c>
      <c r="E25" s="32">
        <f>(E23-D23)*10000</f>
        <v>-99.99999999999994</v>
      </c>
      <c r="F25" s="32">
        <f>(F23-E23)*10000</f>
        <v>0</v>
      </c>
      <c r="G25" s="32"/>
      <c r="H25" s="38">
        <f>(H23-F23)*10000</f>
        <v>-523.1754354245767</v>
      </c>
    </row>
    <row r="26">
      <c r="B26" s="20" t="s">
        <v>95</v>
      </c>
      <c r="C26" s="58">
        <v>-0.07</v>
      </c>
      <c r="D26" s="58">
        <v>-0.08</v>
      </c>
      <c r="E26" s="58">
        <v>-0.07</v>
      </c>
      <c r="F26" s="58">
        <v>-0.03</v>
      </c>
      <c r="G26" s="58">
        <v>-0.06</v>
      </c>
      <c r="H26" s="70">
        <f>('Segment - North America'!H23+'Segment - International'!H23)/H18</f>
        <v>-0.02</v>
      </c>
    </row>
    <row r="27">
      <c r="B27" s="20" t="s">
        <v>93</v>
      </c>
      <c r="C27" s="32" t="s">
        <v>44</v>
      </c>
      <c r="D27" s="32" t="s">
        <v>44</v>
      </c>
      <c r="E27" s="32" t="s">
        <v>44</v>
      </c>
      <c r="F27" s="32" t="s">
        <v>44</v>
      </c>
      <c r="G27" s="32" t="s">
        <v>44</v>
      </c>
      <c r="H27" s="38">
        <f>(H26-C26)*10000</f>
        <v>500</v>
      </c>
    </row>
    <row r="28">
      <c r="B28" s="20" t="s">
        <v>94</v>
      </c>
      <c r="C28" s="32" t="s">
        <v>44</v>
      </c>
      <c r="D28" s="32">
        <f>(D26-C26)*10000</f>
        <v>-99.99999999999994</v>
      </c>
      <c r="E28" s="32">
        <f>(E26-D26)*10000</f>
        <v>99.99999999999994</v>
      </c>
      <c r="F28" s="32">
        <f>(F26-E26)*10000</f>
        <v>400.00000000000006</v>
      </c>
      <c r="G28" s="32"/>
      <c r="H28" s="38">
        <f>(H26-F26)*10000</f>
        <v>99.99999999999999</v>
      </c>
    </row>
    <row r="29">
      <c r="B29" s="1" t="s">
        <v>96</v>
      </c>
      <c r="C29" s="6">
        <f>'Segment - North America'!C26+'Segment - International'!C26</f>
        <v>23.7</v>
      </c>
      <c r="D29" s="6">
        <f>'Segment - North America'!D26+'Segment - International'!D26</f>
        <v>24.400000000000002</v>
      </c>
      <c r="E29" s="6">
        <f>'Segment - North America'!E26+'Segment - International'!E26</f>
        <v>47.400000000000006</v>
      </c>
      <c r="F29" s="6">
        <f>'Segment - North America'!F26+'Segment - International'!F26</f>
        <v>27.7</v>
      </c>
      <c r="G29" s="6">
        <f>'Segment - North America'!G26+'Segment - International'!G26</f>
        <v>123.1</v>
      </c>
      <c r="H29" s="40">
        <f>'Segment - North America'!H26+'Segment - International'!H26</f>
        <v>-5.747000000000001</v>
      </c>
    </row>
    <row r="30">
      <c r="B30" s="1" t="s">
        <v>97</v>
      </c>
      <c r="C30" s="6">
        <f>'Segment - North America'!C39+'Segment - International'!C39</f>
        <v>0</v>
      </c>
      <c r="D30" s="6">
        <f>'Segment - North America'!D39+'Segment - International'!D39</f>
        <v>0</v>
      </c>
      <c r="E30" s="6">
        <f>'Segment - North America'!E39+'Segment - International'!E39</f>
        <v>0</v>
      </c>
      <c r="F30" s="6">
        <f>'Segment - North America'!F39+'Segment - International'!F39</f>
        <v>127.10000000000001</v>
      </c>
      <c r="G30" s="6">
        <f>'Segment - North America'!G39+'Segment - International'!G39</f>
        <v>127.10000000000001</v>
      </c>
      <c r="H30" s="40">
        <f>'Segment - North America'!H39+'Segment - International'!H39</f>
        <v>0</v>
      </c>
    </row>
    <row r="31">
      <c r="B31" s="4" t="s">
        <v>98</v>
      </c>
      <c r="H31" s="35"/>
    </row>
    <row r="32">
      <c r="B32" s="20" t="s">
        <v>99</v>
      </c>
      <c r="C32" s="11">
        <f>C20</f>
        <v>0.003143703524575381</v>
      </c>
      <c r="D32" s="11">
        <f>D20</f>
        <v>0.010743956524454923</v>
      </c>
      <c r="E32" s="11">
        <f>E20</f>
        <v>0.029135152910226836</v>
      </c>
      <c r="F32" s="11">
        <f>F20</f>
        <v>0.05627163145960146</v>
      </c>
      <c r="G32" s="11">
        <f>G20</f>
        <v>0.024956210376203325</v>
      </c>
      <c r="H32" s="31">
        <f>H20</f>
        <v>-0.006014517627915272</v>
      </c>
    </row>
    <row r="33">
      <c r="B33" s="20" t="s">
        <v>100</v>
      </c>
      <c r="C33" s="51">
        <f>('Segment - North America'!C43*'Segment - North America'!C11+'Segment - International'!C43*'Segment - International'!C11)/C18</f>
        <v>0</v>
      </c>
      <c r="D33" s="51">
        <f>('Segment - North America'!D43*'Segment - North America'!D11+'Segment - International'!D43*'Segment - International'!D11)/D18</f>
        <v>0</v>
      </c>
      <c r="E33" s="51">
        <f>('Segment - North America'!E43*'Segment - North America'!E11+'Segment - International'!E43*'Segment - International'!E11)/E18</f>
        <v>0</v>
      </c>
      <c r="F33" s="51">
        <f>('Segment - North America'!F43*'Segment - North America'!F11+'Segment - International'!F43*'Segment - International'!F11)/F18</f>
        <v>0</v>
      </c>
      <c r="G33" s="51">
        <f>('Segment - North America'!G43*'Segment - North America'!G11+'Segment - International'!G43*'Segment - International'!G11)/G18</f>
        <v>0</v>
      </c>
      <c r="H33" s="70">
        <f>('Segment - North America'!H43*'Segment - North America'!H11+'Segment - International'!H43*'Segment - International'!H11)/H18</f>
        <v>0</v>
      </c>
      <c r="I33" s="8" t="s">
        <v>101</v>
      </c>
    </row>
    <row r="34">
      <c r="B34" s="20" t="s">
        <v>102</v>
      </c>
      <c r="C34" s="11">
        <f>C30/C18</f>
        <v>0</v>
      </c>
      <c r="D34" s="11">
        <f>D30/D18</f>
        <v>0</v>
      </c>
      <c r="E34" s="11">
        <f>E30/E18</f>
        <v>0</v>
      </c>
      <c r="F34" s="11">
        <f>F30/F18</f>
        <v>0.07584437283685405</v>
      </c>
      <c r="G34" s="11">
        <f>G30/G18</f>
        <v>0.019701455520592753</v>
      </c>
      <c r="H34" s="31">
        <f>H30/H18</f>
        <v>0</v>
      </c>
    </row>
    <row r="35">
      <c r="B35" s="20" t="s">
        <v>103</v>
      </c>
      <c r="C35" s="11">
        <f>C29/C18</f>
        <v>0.01432803337162203</v>
      </c>
      <c r="D35" s="11">
        <f>D29/D18</f>
        <v>0.01524142669748267</v>
      </c>
      <c r="E35" s="11">
        <f>E29/E18</f>
        <v>0.03117395593554752</v>
      </c>
      <c r="F35" s="11">
        <f>F29/F18</f>
        <v>0.016529418785057884</v>
      </c>
      <c r="G35" s="11">
        <f>G29/G18</f>
        <v>0.019081425449134284</v>
      </c>
      <c r="H35" s="31">
        <f>H29/H18</f>
        <v>-0.003463508708491533</v>
      </c>
    </row>
    <row r="36">
      <c r="B36" s="67" t="s">
        <v>104</v>
      </c>
      <c r="C36" s="65">
        <f>(1+C32)/((1+C33)*(1+C34)*(1+C35))-1</f>
        <v>-0.011026344021933365</v>
      </c>
      <c r="D36" s="65">
        <f>(1+D32)/((1+D33)*(1+D34)*(1+D35))-1</f>
        <v>-0.004429951393589038</v>
      </c>
      <c r="E36" s="65">
        <f>(1+E32)/((1+E33)*(1+E34)*(1+E35))-1</f>
        <v>-0.001977166911155126</v>
      </c>
      <c r="F36" s="65">
        <f>(1+F32)/((1+F33)*(1+F34)*(1+F35))-1</f>
        <v>-0.03415772289900554</v>
      </c>
      <c r="G36" s="65">
        <f>(1+G32)/((1+G33)*(1+G34)*(1+G35))-1</f>
        <v>-0.013667403165908754</v>
      </c>
      <c r="H36" s="72">
        <f>(1+H32)/((1+H33)*(1+H34)*(1+H35))-1</f>
        <v>-0.0025598750690178917</v>
      </c>
    </row>
    <row r="37">
      <c r="B37" s="20" t="s">
        <v>94</v>
      </c>
      <c r="C37" s="32" t="s">
        <v>44</v>
      </c>
      <c r="D37" s="32">
        <f>(D36-C36)*10000</f>
        <v>65.96392628344327</v>
      </c>
      <c r="E37" s="32">
        <f>(E36-D36)*10000</f>
        <v>24.52784482433912</v>
      </c>
      <c r="F37" s="32">
        <f>(F36-E36)*10000</f>
        <v>-321.80555987850414</v>
      </c>
      <c r="G37" s="32"/>
      <c r="H37" s="38">
        <f>(H36-F36)*10000</f>
        <v>315.9784782998765</v>
      </c>
    </row>
    <row r="38">
      <c r="B38" s="1" t="s">
        <v>105</v>
      </c>
      <c r="C38" s="15">
        <f>C11-C29</f>
        <v>1635.6</v>
      </c>
      <c r="D38" s="15">
        <f>D11-D29</f>
        <v>1593.6999999999998</v>
      </c>
      <c r="E38" s="15">
        <f>E11-E29</f>
        <v>1517.3999999999999</v>
      </c>
      <c r="F38" s="15">
        <f>F11-F29</f>
        <v>1742.3999999999999</v>
      </c>
      <c r="G38" s="15">
        <f>G11-G29</f>
        <v>6489.199999999999</v>
      </c>
      <c r="H38" s="49">
        <f>H11-H29</f>
        <v>1655.0671109000002</v>
      </c>
    </row>
    <row r="39">
      <c r="B39" s="20" t="s">
        <v>106</v>
      </c>
      <c r="C39" s="11">
        <f>C38/C18-1</f>
        <v>-0.011184329847046759</v>
      </c>
      <c r="D39" s="11">
        <f>D38/D18-1</f>
        <v>-0.004497470173027707</v>
      </c>
      <c r="E39" s="11">
        <f>E38/E18-1</f>
        <v>-0.002038803025320668</v>
      </c>
      <c r="F39" s="11">
        <f>F38/F18-1</f>
        <v>0.039742212674543476</v>
      </c>
      <c r="G39" s="11">
        <f>G38/G18-1</f>
        <v>0.005874784927068832</v>
      </c>
      <c r="H39" s="31">
        <f>H38/H18-1</f>
        <v>-0.002551008919423725</v>
      </c>
    </row>
    <row r="40">
      <c r="B40" s="1" t="s">
        <v>107</v>
      </c>
      <c r="C40" s="15">
        <f>C38-C30</f>
        <v>1635.6</v>
      </c>
      <c r="D40" s="15">
        <f>D38-D30</f>
        <v>1593.6999999999998</v>
      </c>
      <c r="E40" s="15">
        <f>E38-E30</f>
        <v>1517.3999999999999</v>
      </c>
      <c r="F40" s="15">
        <f>F38-F30</f>
        <v>1615.3</v>
      </c>
      <c r="G40" s="15">
        <f>G38-G30</f>
        <v>6362.0999999999985</v>
      </c>
      <c r="H40" s="49">
        <f>H38-H30</f>
        <v>1655.0671109000002</v>
      </c>
    </row>
    <row r="41">
      <c r="B41" s="20" t="s">
        <v>108</v>
      </c>
      <c r="C41" s="11">
        <f>C40/C18-1</f>
        <v>-0.011184329847046759</v>
      </c>
      <c r="D41" s="11">
        <f>D40/D18-1</f>
        <v>-0.004497470173027707</v>
      </c>
      <c r="E41" s="11">
        <f>E40/E18-1</f>
        <v>-0.002038803025320668</v>
      </c>
      <c r="F41" s="11">
        <f>F40/F18-1</f>
        <v>-0.03610216016231049</v>
      </c>
      <c r="G41" s="11">
        <f>G40/G18-1</f>
        <v>-0.013826670593523938</v>
      </c>
      <c r="H41" s="31">
        <f>H40/H18-1</f>
        <v>-0.002551008919423725</v>
      </c>
    </row>
    <row r="42">
      <c r="H42" s="35"/>
    </row>
    <row r="43">
      <c r="B43" s="4" t="s">
        <v>109</v>
      </c>
      <c r="H43" s="35"/>
    </row>
    <row r="44">
      <c r="B44" s="4" t="s">
        <v>110</v>
      </c>
      <c r="C44" s="50">
        <f>C9</f>
        <v>1084.6</v>
      </c>
      <c r="D44" s="50">
        <f>D9</f>
        <v>1069.5</v>
      </c>
      <c r="E44" s="50">
        <f>E9</f>
        <v>1035</v>
      </c>
      <c r="F44" s="50">
        <f>F9</f>
        <v>1206.2</v>
      </c>
      <c r="G44" s="50">
        <f>G9</f>
        <v>4395.2</v>
      </c>
      <c r="H44" s="42">
        <f>H9</f>
        <v>1100.10978</v>
      </c>
    </row>
    <row r="45">
      <c r="B45" s="20" t="s">
        <v>88</v>
      </c>
      <c r="C45" s="51">
        <f>C9/'Segment - North America'!C11-1</f>
        <v>-0.017305427199420298</v>
      </c>
      <c r="D45" s="51">
        <f>D9/'Segment - North America'!D11-1</f>
        <v>-0.002425146907937603</v>
      </c>
      <c r="E45" s="51">
        <f>E9/'Segment - North America'!E11-1</f>
        <v>0.049376457467302126</v>
      </c>
      <c r="F45" s="51">
        <f>F9/'Segment - North America'!F11-1</f>
        <v>0.09346387453540039</v>
      </c>
      <c r="G45" s="51">
        <f>G9/'Segment - North America'!G11-1</f>
        <v>0.030479227234361916</v>
      </c>
      <c r="H45" s="70">
        <f>H9/'Segment - North America'!H11-1</f>
        <v>0.01429999999999998</v>
      </c>
    </row>
    <row r="46">
      <c r="B46" s="20" t="s">
        <v>89</v>
      </c>
      <c r="C46" s="51">
        <f>C9/'Segment - North America'!F11-1</f>
        <v>-0.01677091832109512</v>
      </c>
      <c r="D46" s="11">
        <f>D9/C9-1</f>
        <v>-0.01392218329338002</v>
      </c>
      <c r="E46" s="11">
        <f>E9/D9-1</f>
        <v>-0.032258064516129004</v>
      </c>
      <c r="F46" s="11">
        <f>F9/E9-1</f>
        <v>0.1654106280193237</v>
      </c>
      <c r="G46" s="11"/>
      <c r="H46" s="31">
        <f>H9/F9-1</f>
        <v>-0.08795408721605047</v>
      </c>
    </row>
    <row r="47">
      <c r="B47" s="20" t="s">
        <v>91</v>
      </c>
      <c r="C47" s="11">
        <f>C9/C11</f>
        <v>0.6536491291508467</v>
      </c>
      <c r="D47" s="11">
        <f>D9/D11</f>
        <v>0.6609603856374761</v>
      </c>
      <c r="E47" s="11">
        <f>E9/E11</f>
        <v>0.6614263803680982</v>
      </c>
      <c r="F47" s="11">
        <f>F9/F11</f>
        <v>0.6814304276594543</v>
      </c>
      <c r="G47" s="11">
        <f>G9/G11</f>
        <v>0.6647006336675589</v>
      </c>
      <c r="H47" s="31">
        <f>H9/H11</f>
        <v>0.6670080433322871</v>
      </c>
    </row>
    <row r="48">
      <c r="B48" s="20" t="s">
        <v>111</v>
      </c>
      <c r="C48" s="51">
        <f>'Segment - North America'!C43</f>
        <v>0</v>
      </c>
      <c r="D48" s="51">
        <f>'Segment - North America'!D43</f>
        <v>0</v>
      </c>
      <c r="E48" s="51">
        <f>'Segment - North America'!E43</f>
        <v>0</v>
      </c>
      <c r="F48" s="51">
        <f>'Segment - North America'!F43</f>
        <v>0</v>
      </c>
      <c r="G48" s="51">
        <f>'Segment - North America'!G43</f>
        <v>0</v>
      </c>
      <c r="H48" s="70">
        <f>'Segment - North America'!H43</f>
        <v>0</v>
      </c>
    </row>
    <row r="49">
      <c r="B49" s="20" t="s">
        <v>112</v>
      </c>
      <c r="C49" s="51">
        <f>'Segment - North America'!C44</f>
        <v>0</v>
      </c>
      <c r="D49" s="51">
        <f>'Segment - North America'!D44</f>
        <v>0</v>
      </c>
      <c r="E49" s="51">
        <f>'Segment - North America'!E44</f>
        <v>0</v>
      </c>
      <c r="F49" s="51">
        <f>'Segment - North America'!F44</f>
        <v>0.07832472124014143</v>
      </c>
      <c r="G49" s="51">
        <f>'Segment - North America'!G44</f>
        <v>0.020256963331145083</v>
      </c>
      <c r="H49" s="70">
        <f>'Segment - North America'!H44</f>
        <v>0</v>
      </c>
    </row>
    <row r="50">
      <c r="B50" s="20" t="s">
        <v>113</v>
      </c>
      <c r="C50" s="51">
        <f>'Segment - North America'!C45</f>
        <v>-0.0007248346470961312</v>
      </c>
      <c r="D50" s="51">
        <f>'Segment - North America'!D45</f>
        <v>0.0016789478593414796</v>
      </c>
      <c r="E50" s="51">
        <f>'Segment - North America'!E45</f>
        <v>0.0037513940991584713</v>
      </c>
      <c r="F50" s="51">
        <f>'Segment - North America'!F45</f>
        <v>0.002991569214033179</v>
      </c>
      <c r="G50" s="51">
        <f>'Segment - North America'!G45</f>
        <v>0.0018287536340617088</v>
      </c>
      <c r="H50" s="70">
        <f>'Segment - North America'!H45</f>
        <v>0</v>
      </c>
    </row>
    <row r="51">
      <c r="B51" s="20" t="s">
        <v>114</v>
      </c>
      <c r="C51" s="11">
        <f>(1+C45)/((1+C48)*(1+C49)*(1+C50))-1</f>
        <v>-0.016592619457793223</v>
      </c>
      <c r="D51" s="11">
        <f>(1+D45)/((1+D48)*(1+D49)*(1+D50))-1</f>
        <v>-0.004097215755656913</v>
      </c>
      <c r="E51" s="11">
        <f>(1+E45)/((1+E48)*(1+E49)*(1+E50))-1</f>
        <v>0.045454545454545636</v>
      </c>
      <c r="F51" s="11">
        <f>(1+F45)/((1+F48)*(1+F49)*(1+F50))-1</f>
        <v>0.011014991077933356</v>
      </c>
      <c r="G51" s="11">
        <f>(1+G45)/((1+G48)*(1+G49)*(1+G50))-1</f>
        <v>0.008175598455335997</v>
      </c>
      <c r="H51" s="31">
        <f>(1+H45)/((1+H48)*(1+H49)*(1+H50))-1</f>
        <v>0.01429999999999998</v>
      </c>
    </row>
    <row r="52">
      <c r="H52" s="35"/>
    </row>
    <row r="53">
      <c r="B53" s="4" t="s">
        <v>115</v>
      </c>
      <c r="H53" s="35"/>
    </row>
    <row r="54">
      <c r="B54" s="4" t="s">
        <v>116</v>
      </c>
      <c r="C54" s="50">
        <f>C10</f>
        <v>574.7</v>
      </c>
      <c r="D54" s="50">
        <f>D10</f>
        <v>548.6</v>
      </c>
      <c r="E54" s="50">
        <f>E10</f>
        <v>529.8</v>
      </c>
      <c r="F54" s="50">
        <f>F10</f>
        <v>563.9</v>
      </c>
      <c r="G54" s="50">
        <f>G10</f>
        <v>2217.1</v>
      </c>
      <c r="H54" s="42">
        <f>H10</f>
        <v>549.2103309</v>
      </c>
    </row>
    <row r="55">
      <c r="B55" s="20" t="s">
        <v>88</v>
      </c>
      <c r="C55" s="51">
        <f>C10/'Segment - International'!C11-1</f>
        <v>0.04414970930232576</v>
      </c>
      <c r="D55" s="51">
        <f>D10/'Segment - International'!D11-1</f>
        <v>0.03744326777609697</v>
      </c>
      <c r="E55" s="51">
        <f>E10/'Segment - International'!E11-1</f>
        <v>-0.008236615499813027</v>
      </c>
      <c r="F55" s="51">
        <f>F10/'Segment - International'!F11-1</f>
        <v>-0.015365811070368496</v>
      </c>
      <c r="G55" s="51">
        <f>G10/'Segment - International'!G11-1</f>
        <v>0.014180504094048807</v>
      </c>
      <c r="H55" s="70">
        <f>H10/'Segment - International'!H11-1</f>
        <v>-0.044352999999999976</v>
      </c>
    </row>
    <row r="56">
      <c r="B56" s="20" t="s">
        <v>89</v>
      </c>
      <c r="C56" s="51">
        <f>C10/'Segment - International'!F11-1</f>
        <v>0.0034922297887201026</v>
      </c>
      <c r="D56" s="11">
        <f>D10/C10-1</f>
        <v>-0.045414999129980926</v>
      </c>
      <c r="E56" s="11">
        <f>E10/D10-1</f>
        <v>-0.03426904848705814</v>
      </c>
      <c r="F56" s="11">
        <f>F10/E10-1</f>
        <v>0.06436391090977733</v>
      </c>
      <c r="G56" s="11"/>
      <c r="H56" s="31">
        <f>H10/F10-1</f>
        <v>-0.026050131406277655</v>
      </c>
    </row>
    <row r="57">
      <c r="B57" s="20" t="s">
        <v>91</v>
      </c>
      <c r="C57" s="11">
        <f>C10/C11</f>
        <v>0.3463508708491533</v>
      </c>
      <c r="D57" s="11">
        <f>D10/D11</f>
        <v>0.339039614362524</v>
      </c>
      <c r="E57" s="11">
        <f>E10/E11</f>
        <v>0.3385736196319018</v>
      </c>
      <c r="F57" s="11">
        <f>F10/F11</f>
        <v>0.3185695723405457</v>
      </c>
      <c r="G57" s="11">
        <f>G10/G11</f>
        <v>0.33529936633244106</v>
      </c>
      <c r="H57" s="31">
        <f>H10/H11</f>
        <v>0.33299195666771275</v>
      </c>
    </row>
    <row r="58">
      <c r="B58" s="20" t="s">
        <v>111</v>
      </c>
      <c r="C58" s="51">
        <f>'Segment - International'!C43</f>
        <v>0</v>
      </c>
      <c r="D58" s="51">
        <f>'Segment - International'!D43</f>
        <v>0</v>
      </c>
      <c r="E58" s="51">
        <f>'Segment - International'!E43</f>
        <v>0</v>
      </c>
      <c r="F58" s="51">
        <f>'Segment - International'!F43</f>
        <v>0</v>
      </c>
      <c r="G58" s="51">
        <f>'Segment - International'!G43</f>
        <v>0</v>
      </c>
      <c r="H58" s="70">
        <f>'Segment - International'!H43</f>
        <v>0</v>
      </c>
    </row>
    <row r="59">
      <c r="B59" s="20" t="s">
        <v>112</v>
      </c>
      <c r="C59" s="51">
        <f>'Segment - International'!C44</f>
        <v>0</v>
      </c>
      <c r="D59" s="51">
        <f>'Segment - International'!D44</f>
        <v>0</v>
      </c>
      <c r="E59" s="51">
        <f>'Segment - International'!E44</f>
        <v>0</v>
      </c>
      <c r="F59" s="51">
        <f>'Segment - International'!F44</f>
        <v>0.07106687620045399</v>
      </c>
      <c r="G59" s="51">
        <f>'Segment - International'!G44</f>
        <v>0.018617629568638216</v>
      </c>
      <c r="H59" s="70">
        <f>'Segment - International'!H44</f>
        <v>0</v>
      </c>
    </row>
    <row r="60">
      <c r="B60" s="20" t="s">
        <v>113</v>
      </c>
      <c r="C60" s="51">
        <f>'Segment - International'!C45</f>
        <v>0.04451308139534884</v>
      </c>
      <c r="D60" s="51">
        <f>'Segment - International'!D45</f>
        <v>0.04273827534039335</v>
      </c>
      <c r="E60" s="51">
        <f>'Segment - International'!E45</f>
        <v>0.08180456757768625</v>
      </c>
      <c r="F60" s="51">
        <f>'Segment - International'!F45</f>
        <v>0.04260520342238519</v>
      </c>
      <c r="G60" s="51">
        <f>'Segment - International'!G45</f>
        <v>0.052742326517542654</v>
      </c>
      <c r="H60" s="70">
        <f>'Segment - International'!H45</f>
        <v>-0.01</v>
      </c>
    </row>
    <row r="61">
      <c r="B61" s="20" t="s">
        <v>114</v>
      </c>
      <c r="C61" s="11">
        <f>(1+C55)/((1+C58)*(1+C59)*(1+C60))-1</f>
        <v>-0.00034788658897189073</v>
      </c>
      <c r="D61" s="11">
        <f>(1+D55)/((1+D58)*(1+D59)*(1+D60))-1</f>
        <v>-0.005077983315197487</v>
      </c>
      <c r="E61" s="11">
        <f>(1+E55)/((1+E58)*(1+E59)*(1+E60))-1</f>
        <v>-0.08323239314760356</v>
      </c>
      <c r="F61" s="11">
        <f>(1+F55)/((1+F58)*(1+F59)*(1+F60))-1</f>
        <v>-0.11826427996155975</v>
      </c>
      <c r="G61" s="11">
        <f>(1+G55)/((1+G58)*(1+G59)*(1+G60))-1</f>
        <v>-0.05423772908576552</v>
      </c>
      <c r="H61" s="31">
        <f>(1+H55)/((1+H58)*(1+H59)*(1+H60))-1</f>
        <v>-0.03469999999999995</v>
      </c>
    </row>
    <row r="62">
      <c r="H62" s="35"/>
    </row>
    <row r="63">
      <c r="B63" s="20" t="s">
        <v>117</v>
      </c>
      <c r="C63" s="29"/>
      <c r="D63" s="29"/>
      <c r="E63" s="29"/>
      <c r="F63" s="29"/>
      <c r="G63" s="29"/>
      <c r="H63" s="92" t="b">
        <f>AND(C13:G13,G14,E19:F19)</f>
        <v>1</v>
      </c>
      <c r="I63" s="90" t="s">
        <v>118</v>
      </c>
    </row>
  </sheetData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B1:I6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</cols>
  <sheetData>
    <row r="1">
      <c r="B1" s="23" t="s">
        <v>0</v>
      </c>
    </row>
    <row r="2">
      <c r="B2" s="21" t="s">
        <v>119</v>
      </c>
    </row>
    <row r="3">
      <c r="B3" s="20" t="s">
        <v>2</v>
      </c>
    </row>
    <row r="4">
      <c r="B4" s="17" t="s">
        <v>64</v>
      </c>
      <c r="C4" s="3" t="s">
        <v>65</v>
      </c>
      <c r="D4" s="3" t="s">
        <v>66</v>
      </c>
      <c r="E4" s="3" t="s">
        <v>67</v>
      </c>
      <c r="F4" s="3" t="s">
        <v>68</v>
      </c>
      <c r="G4" s="3" t="s">
        <v>69</v>
      </c>
      <c r="H4" s="30" t="s">
        <v>70</v>
      </c>
      <c r="I4" s="17" t="s">
        <v>71</v>
      </c>
    </row>
    <row r="5">
      <c r="B5" s="14" t="s">
        <v>72</v>
      </c>
      <c r="C5" s="19">
        <v>45893</v>
      </c>
      <c r="D5" s="19">
        <v>45984</v>
      </c>
      <c r="E5" s="19">
        <v>46075</v>
      </c>
      <c r="F5" s="19">
        <v>46173</v>
      </c>
      <c r="G5" s="19">
        <v>46173</v>
      </c>
      <c r="H5" s="16">
        <v>46264</v>
      </c>
      <c r="I5" s="14"/>
    </row>
    <row r="6">
      <c r="B6" s="10" t="s">
        <v>73</v>
      </c>
      <c r="C6" s="5">
        <v>91</v>
      </c>
      <c r="D6" s="5">
        <v>91</v>
      </c>
      <c r="E6" s="5">
        <v>91</v>
      </c>
      <c r="F6" s="5">
        <v>98</v>
      </c>
      <c r="G6" s="5">
        <v>371</v>
      </c>
      <c r="H6" s="26">
        <v>91</v>
      </c>
      <c r="I6" s="10"/>
    </row>
    <row r="8">
      <c r="B8" s="52" t="s">
        <v>120</v>
      </c>
      <c r="H8" s="35"/>
    </row>
    <row r="9">
      <c r="H9" s="35"/>
    </row>
    <row r="10">
      <c r="B10" s="4" t="s">
        <v>121</v>
      </c>
      <c r="H10" s="35"/>
    </row>
    <row r="11">
      <c r="B11" s="1" t="s">
        <v>85</v>
      </c>
      <c r="C11" s="34">
        <v>1103.7</v>
      </c>
      <c r="D11" s="34">
        <v>1072.1</v>
      </c>
      <c r="E11" s="34">
        <v>986.3</v>
      </c>
      <c r="F11" s="34">
        <v>1103.1</v>
      </c>
      <c r="G11" s="34">
        <v>4265.2</v>
      </c>
      <c r="H11" s="49">
        <f>C33</f>
        <v>1084.6</v>
      </c>
      <c r="I11" s="8" t="s">
        <v>122</v>
      </c>
    </row>
    <row r="12">
      <c r="B12" s="1" t="s">
        <v>123</v>
      </c>
      <c r="C12" s="15" t="s">
        <v>44</v>
      </c>
      <c r="D12" s="15" t="s">
        <v>44</v>
      </c>
      <c r="E12" s="15" t="s">
        <v>44</v>
      </c>
      <c r="F12" s="15" t="s">
        <v>44</v>
      </c>
      <c r="G12" s="15" t="s">
        <v>44</v>
      </c>
      <c r="H12" s="49">
        <f>H11-C11</f>
        <v>-19.100000000000136</v>
      </c>
    </row>
    <row r="13">
      <c r="B13" s="1" t="s">
        <v>124</v>
      </c>
      <c r="C13" s="15" t="s">
        <v>44</v>
      </c>
      <c r="D13" s="15">
        <f>D11-C11</f>
        <v>-31.600000000000136</v>
      </c>
      <c r="E13" s="15">
        <f>E11-D11</f>
        <v>-85.79999999999995</v>
      </c>
      <c r="F13" s="15">
        <f>F11-E11</f>
        <v>116.79999999999995</v>
      </c>
      <c r="G13" s="15"/>
      <c r="H13" s="49">
        <f>H11-F11</f>
        <v>-18.5</v>
      </c>
    </row>
    <row r="14">
      <c r="B14" s="20" t="s">
        <v>92</v>
      </c>
      <c r="C14" s="58">
        <v>0.05</v>
      </c>
      <c r="D14" s="58">
        <v>0.08</v>
      </c>
      <c r="E14" s="58">
        <v>0.12</v>
      </c>
      <c r="F14" s="58">
        <v>0.11</v>
      </c>
      <c r="G14" s="58">
        <v>0.09</v>
      </c>
      <c r="H14" s="69">
        <v>0.035</v>
      </c>
      <c r="I14" s="8" t="s">
        <v>125</v>
      </c>
    </row>
    <row r="15">
      <c r="B15" s="20" t="s">
        <v>93</v>
      </c>
      <c r="C15" s="32" t="s">
        <v>44</v>
      </c>
      <c r="D15" s="32" t="s">
        <v>44</v>
      </c>
      <c r="E15" s="32" t="s">
        <v>44</v>
      </c>
      <c r="F15" s="32" t="s">
        <v>44</v>
      </c>
      <c r="G15" s="32" t="s">
        <v>44</v>
      </c>
      <c r="H15" s="38">
        <f>(H14-C14)*10000</f>
        <v>-150</v>
      </c>
    </row>
    <row r="16">
      <c r="B16" s="20" t="s">
        <v>94</v>
      </c>
      <c r="C16" s="32" t="s">
        <v>44</v>
      </c>
      <c r="D16" s="32">
        <f>(D14-C14)*10000</f>
        <v>300</v>
      </c>
      <c r="E16" s="32">
        <f>(E14-D14)*10000</f>
        <v>399.99999999999994</v>
      </c>
      <c r="F16" s="32">
        <f>(F14-E14)*10000</f>
        <v>-99.99999999999994</v>
      </c>
      <c r="G16" s="32"/>
      <c r="H16" s="38">
        <f>(H14-F14)*10000</f>
        <v>-750</v>
      </c>
    </row>
    <row r="17">
      <c r="B17" s="1" t="s">
        <v>126</v>
      </c>
      <c r="C17" s="15">
        <f>C11*C14</f>
        <v>55.185</v>
      </c>
      <c r="D17" s="15">
        <f>D11*D14</f>
        <v>85.768</v>
      </c>
      <c r="E17" s="15">
        <f>E11*E14</f>
        <v>118.356</v>
      </c>
      <c r="F17" s="15">
        <f>F11*F14</f>
        <v>121.341</v>
      </c>
      <c r="G17" s="15">
        <f>G11*G14</f>
        <v>383.868</v>
      </c>
      <c r="H17" s="49">
        <f>H11*H14</f>
        <v>37.961</v>
      </c>
    </row>
    <row r="18">
      <c r="B18" s="1" t="s">
        <v>123</v>
      </c>
      <c r="C18" s="15" t="s">
        <v>44</v>
      </c>
      <c r="D18" s="15" t="s">
        <v>44</v>
      </c>
      <c r="E18" s="15" t="s">
        <v>44</v>
      </c>
      <c r="F18" s="15" t="s">
        <v>44</v>
      </c>
      <c r="G18" s="15" t="s">
        <v>44</v>
      </c>
      <c r="H18" s="49">
        <f>H17-C17</f>
        <v>-17.224000000000004</v>
      </c>
    </row>
    <row r="19">
      <c r="B19" s="1" t="s">
        <v>124</v>
      </c>
      <c r="C19" s="15" t="s">
        <v>44</v>
      </c>
      <c r="D19" s="15">
        <f>D17-C17</f>
        <v>30.583</v>
      </c>
      <c r="E19" s="15">
        <f>E17-D17</f>
        <v>32.587999999999994</v>
      </c>
      <c r="F19" s="15">
        <f>F17-E17</f>
        <v>2.9849999999999994</v>
      </c>
      <c r="G19" s="15"/>
      <c r="H19" s="49">
        <f>H17-F17</f>
        <v>-83.38</v>
      </c>
    </row>
    <row r="20">
      <c r="B20" s="20" t="s">
        <v>95</v>
      </c>
      <c r="C20" s="58">
        <v>-0.07</v>
      </c>
      <c r="D20" s="58">
        <v>-0.08</v>
      </c>
      <c r="E20" s="58">
        <v>-0.07</v>
      </c>
      <c r="F20" s="58">
        <v>-0.02</v>
      </c>
      <c r="G20" s="58">
        <v>-0.06</v>
      </c>
      <c r="H20" s="69">
        <v>-0.02</v>
      </c>
      <c r="I20" s="8" t="s">
        <v>127</v>
      </c>
    </row>
    <row r="21">
      <c r="B21" s="20" t="s">
        <v>93</v>
      </c>
      <c r="C21" s="32" t="s">
        <v>44</v>
      </c>
      <c r="D21" s="32" t="s">
        <v>44</v>
      </c>
      <c r="E21" s="32" t="s">
        <v>44</v>
      </c>
      <c r="F21" s="32" t="s">
        <v>44</v>
      </c>
      <c r="G21" s="32" t="s">
        <v>44</v>
      </c>
      <c r="H21" s="38">
        <f>(H20-C20)*10000</f>
        <v>500</v>
      </c>
    </row>
    <row r="22">
      <c r="B22" s="20" t="s">
        <v>94</v>
      </c>
      <c r="C22" s="32" t="s">
        <v>44</v>
      </c>
      <c r="D22" s="32">
        <f>(D20-C20)*10000</f>
        <v>-99.99999999999994</v>
      </c>
      <c r="E22" s="32">
        <f>(E20-D20)*10000</f>
        <v>99.99999999999994</v>
      </c>
      <c r="F22" s="32">
        <f>(F20-E20)*10000</f>
        <v>500</v>
      </c>
      <c r="G22" s="32"/>
      <c r="H22" s="38">
        <f>(H20-F20)*10000</f>
        <v>0</v>
      </c>
    </row>
    <row r="23">
      <c r="B23" s="1" t="s">
        <v>128</v>
      </c>
      <c r="C23" s="15">
        <f>C11*C20</f>
        <v>-77.25900000000001</v>
      </c>
      <c r="D23" s="15">
        <f>D11*D20</f>
        <v>-85.768</v>
      </c>
      <c r="E23" s="15">
        <f>E11*E20</f>
        <v>-69.041</v>
      </c>
      <c r="F23" s="15">
        <f>F11*F20</f>
        <v>-22.061999999999998</v>
      </c>
      <c r="G23" s="15">
        <f>G11*G20</f>
        <v>-255.91199999999998</v>
      </c>
      <c r="H23" s="49">
        <f>H11*H20</f>
        <v>-21.692</v>
      </c>
    </row>
    <row r="24">
      <c r="B24" s="1" t="s">
        <v>123</v>
      </c>
      <c r="C24" s="15" t="s">
        <v>44</v>
      </c>
      <c r="D24" s="15" t="s">
        <v>44</v>
      </c>
      <c r="E24" s="15" t="s">
        <v>44</v>
      </c>
      <c r="F24" s="15" t="s">
        <v>44</v>
      </c>
      <c r="G24" s="15" t="s">
        <v>44</v>
      </c>
      <c r="H24" s="49">
        <f>H23-C23</f>
        <v>55.567000000000014</v>
      </c>
    </row>
    <row r="25">
      <c r="B25" s="1" t="s">
        <v>124</v>
      </c>
      <c r="C25" s="15" t="s">
        <v>44</v>
      </c>
      <c r="D25" s="15">
        <f>D23-C23</f>
        <v>-8.508999999999986</v>
      </c>
      <c r="E25" s="15">
        <f>E23-D23</f>
        <v>16.727000000000004</v>
      </c>
      <c r="F25" s="15">
        <f>F23-E23</f>
        <v>46.979</v>
      </c>
      <c r="G25" s="15"/>
      <c r="H25" s="49">
        <f>H23-F23</f>
        <v>0.36999999999999744</v>
      </c>
    </row>
    <row r="26">
      <c r="B26" s="1" t="s">
        <v>96</v>
      </c>
      <c r="C26" s="34">
        <v>-0.8</v>
      </c>
      <c r="D26" s="34">
        <v>1.8</v>
      </c>
      <c r="E26" s="34">
        <v>3.7</v>
      </c>
      <c r="F26" s="34">
        <v>3.3</v>
      </c>
      <c r="G26" s="34">
        <v>7.8</v>
      </c>
      <c r="H26" s="49">
        <f>H11*H29</f>
        <v>0</v>
      </c>
      <c r="I26" s="8" t="s">
        <v>129</v>
      </c>
    </row>
    <row r="27">
      <c r="B27" s="1" t="s">
        <v>123</v>
      </c>
      <c r="C27" s="15" t="s">
        <v>44</v>
      </c>
      <c r="D27" s="15" t="s">
        <v>44</v>
      </c>
      <c r="E27" s="15" t="s">
        <v>44</v>
      </c>
      <c r="F27" s="15" t="s">
        <v>44</v>
      </c>
      <c r="G27" s="15" t="s">
        <v>44</v>
      </c>
      <c r="H27" s="49">
        <f>H26-C26</f>
        <v>0.8</v>
      </c>
    </row>
    <row r="28">
      <c r="B28" s="1" t="s">
        <v>124</v>
      </c>
      <c r="C28" s="15" t="s">
        <v>44</v>
      </c>
      <c r="D28" s="15">
        <f>D26-C26</f>
        <v>2.6</v>
      </c>
      <c r="E28" s="15">
        <f>E26-D26</f>
        <v>1.9000000000000001</v>
      </c>
      <c r="F28" s="15">
        <f>F26-E26</f>
        <v>-0.40000000000000036</v>
      </c>
      <c r="G28" s="15"/>
      <c r="H28" s="49">
        <f>H26-F26</f>
        <v>-3.3</v>
      </c>
    </row>
    <row r="29">
      <c r="B29" s="20" t="s">
        <v>130</v>
      </c>
      <c r="C29" s="11">
        <f>C26/C11</f>
        <v>-0.0007248346470961312</v>
      </c>
      <c r="D29" s="11">
        <f>D26/D11</f>
        <v>0.0016789478593414796</v>
      </c>
      <c r="E29" s="11">
        <f>E26/E11</f>
        <v>0.0037513940991584713</v>
      </c>
      <c r="F29" s="11">
        <f>F26/F11</f>
        <v>0.002991569214033179</v>
      </c>
      <c r="G29" s="11">
        <f>G26/G11</f>
        <v>0.0018287536340617088</v>
      </c>
      <c r="H29" s="69">
        <v>0</v>
      </c>
      <c r="I29" s="8" t="s">
        <v>131</v>
      </c>
    </row>
    <row r="30">
      <c r="B30" s="20" t="s">
        <v>93</v>
      </c>
      <c r="C30" s="32" t="s">
        <v>44</v>
      </c>
      <c r="D30" s="32" t="s">
        <v>44</v>
      </c>
      <c r="E30" s="32" t="s">
        <v>44</v>
      </c>
      <c r="F30" s="32" t="s">
        <v>44</v>
      </c>
      <c r="G30" s="32" t="s">
        <v>44</v>
      </c>
      <c r="H30" s="38">
        <f>(H29-C29)*10000</f>
        <v>7.2483464709613115</v>
      </c>
    </row>
    <row r="31">
      <c r="B31" s="20" t="s">
        <v>94</v>
      </c>
      <c r="C31" s="32" t="s">
        <v>44</v>
      </c>
      <c r="D31" s="32">
        <f>(D29-C29)*10000</f>
        <v>24.037825064376108</v>
      </c>
      <c r="E31" s="32">
        <f>(E29-D29)*10000</f>
        <v>20.724462398169916</v>
      </c>
      <c r="F31" s="32">
        <f>(F29-E29)*10000</f>
        <v>-7.598248851252921</v>
      </c>
      <c r="G31" s="32"/>
      <c r="H31" s="38">
        <f>(H29-F29)*10000</f>
        <v>-29.915692140331792</v>
      </c>
    </row>
    <row r="32">
      <c r="B32" s="1" t="s">
        <v>132</v>
      </c>
      <c r="C32" s="15">
        <f>C33-C11-C17-C23-C26</f>
        <v>3.7739999999998757</v>
      </c>
      <c r="D32" s="15">
        <f>D33-D11-D17-D23-D26</f>
        <v>-4.399999999999909</v>
      </c>
      <c r="E32" s="15">
        <f>E33-E11-E17-E23-E26</f>
        <v>-4.314999999999952</v>
      </c>
      <c r="F32" s="15">
        <f>F33-F11-F17-F23-F26</f>
        <v>0.5210000000001402</v>
      </c>
      <c r="G32" s="15">
        <f>G33-G11-G17-G23-G26</f>
        <v>-5.756000000000017</v>
      </c>
      <c r="H32" s="49">
        <f>H33-H11-H17-H23-H26</f>
        <v>-0.7592199999999067</v>
      </c>
      <c r="I32" s="8" t="s">
        <v>133</v>
      </c>
    </row>
    <row r="33">
      <c r="B33" s="4" t="s">
        <v>110</v>
      </c>
      <c r="C33" s="44">
        <v>1084.6</v>
      </c>
      <c r="D33" s="44">
        <v>1069.5</v>
      </c>
      <c r="E33" s="44">
        <v>1035</v>
      </c>
      <c r="F33" s="44">
        <v>1206.2</v>
      </c>
      <c r="G33" s="44">
        <v>4395.2</v>
      </c>
      <c r="H33" s="42">
        <f>H11*(1+H14)*(1+H20)*(1+H29)</f>
        <v>1100.10978</v>
      </c>
      <c r="I33" s="8" t="s">
        <v>134</v>
      </c>
    </row>
    <row r="34">
      <c r="B34" s="20" t="s">
        <v>88</v>
      </c>
      <c r="C34" s="11">
        <f>C33/C11-1</f>
        <v>-0.017305427199420298</v>
      </c>
      <c r="D34" s="11">
        <f>D33/D11-1</f>
        <v>-0.002425146907937603</v>
      </c>
      <c r="E34" s="11">
        <f>E33/E11-1</f>
        <v>0.049376457467302126</v>
      </c>
      <c r="F34" s="11">
        <f>F33/F11-1</f>
        <v>0.09346387453540039</v>
      </c>
      <c r="G34" s="11">
        <f>G33/G11-1</f>
        <v>0.030479227234361916</v>
      </c>
      <c r="H34" s="31">
        <f>H33/H11-1</f>
        <v>0.01429999999999998</v>
      </c>
    </row>
    <row r="35">
      <c r="B35" s="20" t="s">
        <v>89</v>
      </c>
      <c r="C35" s="11">
        <f>C33/F11-1</f>
        <v>-0.01677091832109512</v>
      </c>
      <c r="D35" s="11">
        <f>D33/C33-1</f>
        <v>-0.01392218329338002</v>
      </c>
      <c r="E35" s="11">
        <f>E33/D33-1</f>
        <v>-0.032258064516129004</v>
      </c>
      <c r="F35" s="11">
        <f>F33/E33-1</f>
        <v>0.1654106280193237</v>
      </c>
      <c r="G35" s="11"/>
      <c r="H35" s="31">
        <f>H33/F33-1</f>
        <v>-0.08795408721605047</v>
      </c>
      <c r="I35" s="8" t="s">
        <v>90</v>
      </c>
    </row>
    <row r="36">
      <c r="B36" s="1" t="s">
        <v>123</v>
      </c>
      <c r="C36" s="15">
        <f>C33-C11</f>
        <v>-19.100000000000136</v>
      </c>
      <c r="D36" s="15">
        <f>D33-D11</f>
        <v>-2.599999999999909</v>
      </c>
      <c r="E36" s="15">
        <f>E33-E11</f>
        <v>48.700000000000045</v>
      </c>
      <c r="F36" s="15">
        <f>F33-F11</f>
        <v>103.10000000000014</v>
      </c>
      <c r="G36" s="15">
        <f>G33-G11</f>
        <v>130</v>
      </c>
      <c r="H36" s="49">
        <f>H33-H11</f>
        <v>15.509780000000092</v>
      </c>
    </row>
    <row r="37">
      <c r="B37" s="1" t="s">
        <v>124</v>
      </c>
      <c r="C37" s="15">
        <f>C33-F11</f>
        <v>-18.5</v>
      </c>
      <c r="D37" s="15">
        <f>D33-C33</f>
        <v>-15.099999999999909</v>
      </c>
      <c r="E37" s="15">
        <f>E33-D33</f>
        <v>-34.5</v>
      </c>
      <c r="F37" s="15">
        <f>F33-E33</f>
        <v>171.20000000000005</v>
      </c>
      <c r="G37" s="15"/>
      <c r="H37" s="49">
        <f>H33-F33</f>
        <v>-106.09022000000004</v>
      </c>
    </row>
    <row r="38">
      <c r="B38" s="20" t="s">
        <v>135</v>
      </c>
      <c r="C38" s="51">
        <f>C33/'Revenue summary'!C11</f>
        <v>0.6536491291508467</v>
      </c>
      <c r="D38" s="51">
        <f>D33/'Revenue summary'!D11</f>
        <v>0.6609603856374761</v>
      </c>
      <c r="E38" s="51">
        <f>E33/'Revenue summary'!E11</f>
        <v>0.6614263803680982</v>
      </c>
      <c r="F38" s="51">
        <f>F33/'Revenue summary'!F11</f>
        <v>0.6814304276594543</v>
      </c>
      <c r="G38" s="51">
        <f>G33/'Revenue summary'!G11</f>
        <v>0.6647006336675589</v>
      </c>
      <c r="H38" s="70">
        <f>H33/'Revenue summary'!H11</f>
        <v>0.6670080433322871</v>
      </c>
    </row>
    <row r="39">
      <c r="B39" s="1" t="s">
        <v>97</v>
      </c>
      <c r="C39" s="34">
        <v>0</v>
      </c>
      <c r="D39" s="34">
        <v>0</v>
      </c>
      <c r="E39" s="34">
        <v>0</v>
      </c>
      <c r="F39" s="34">
        <v>86.4</v>
      </c>
      <c r="G39" s="34">
        <v>86.4</v>
      </c>
      <c r="H39" s="68">
        <v>0</v>
      </c>
      <c r="I39" s="8" t="s">
        <v>136</v>
      </c>
    </row>
    <row r="40">
      <c r="H40" s="35"/>
    </row>
    <row r="41">
      <c r="B41" s="4" t="s">
        <v>137</v>
      </c>
      <c r="H41" s="35"/>
    </row>
    <row r="42">
      <c r="B42" s="20" t="s">
        <v>99</v>
      </c>
      <c r="C42" s="11">
        <f>C34</f>
        <v>-0.017305427199420298</v>
      </c>
      <c r="D42" s="11">
        <f>D34</f>
        <v>-0.002425146907937603</v>
      </c>
      <c r="E42" s="11">
        <f>E34</f>
        <v>0.049376457467302126</v>
      </c>
      <c r="F42" s="11">
        <f>F34</f>
        <v>0.09346387453540039</v>
      </c>
      <c r="G42" s="11">
        <f>G34</f>
        <v>0.030479227234361916</v>
      </c>
      <c r="H42" s="31">
        <f>H34</f>
        <v>0.01429999999999998</v>
      </c>
    </row>
    <row r="43">
      <c r="B43" s="20" t="s">
        <v>100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  <c r="H43" s="69">
        <v>0</v>
      </c>
      <c r="I43" s="8" t="s">
        <v>138</v>
      </c>
    </row>
    <row r="44">
      <c r="B44" s="20" t="s">
        <v>102</v>
      </c>
      <c r="C44" s="11">
        <f>C39/C11</f>
        <v>0</v>
      </c>
      <c r="D44" s="11">
        <f>D39/D11</f>
        <v>0</v>
      </c>
      <c r="E44" s="11">
        <f>E39/E11</f>
        <v>0</v>
      </c>
      <c r="F44" s="11">
        <f>F39/F11</f>
        <v>0.07832472124014143</v>
      </c>
      <c r="G44" s="11">
        <f>G39/G11</f>
        <v>0.020256963331145083</v>
      </c>
      <c r="H44" s="31">
        <f>H39/H11</f>
        <v>0</v>
      </c>
    </row>
    <row r="45">
      <c r="B45" s="20" t="s">
        <v>103</v>
      </c>
      <c r="C45" s="11">
        <f>C29</f>
        <v>-0.0007248346470961312</v>
      </c>
      <c r="D45" s="11">
        <f>D29</f>
        <v>0.0016789478593414796</v>
      </c>
      <c r="E45" s="11">
        <f>E29</f>
        <v>0.0037513940991584713</v>
      </c>
      <c r="F45" s="11">
        <f>F29</f>
        <v>0.002991569214033179</v>
      </c>
      <c r="G45" s="11">
        <f>G29</f>
        <v>0.0018287536340617088</v>
      </c>
      <c r="H45" s="31">
        <f>H29</f>
        <v>0</v>
      </c>
    </row>
    <row r="46">
      <c r="B46" s="67" t="s">
        <v>104</v>
      </c>
      <c r="C46" s="65">
        <f>(1+C42)/((1+C43)*(1+C44)*(1+C45))-1</f>
        <v>-0.016592619457793223</v>
      </c>
      <c r="D46" s="65">
        <f>(1+D42)/((1+D43)*(1+D44)*(1+D45))-1</f>
        <v>-0.004097215755656913</v>
      </c>
      <c r="E46" s="65">
        <f>(1+E42)/((1+E43)*(1+E44)*(1+E45))-1</f>
        <v>0.045454545454545636</v>
      </c>
      <c r="F46" s="65">
        <f>(1+F42)/((1+F43)*(1+F44)*(1+F45))-1</f>
        <v>0.011014991077933356</v>
      </c>
      <c r="G46" s="65">
        <f>(1+G42)/((1+G43)*(1+G44)*(1+G45))-1</f>
        <v>0.008175598455335997</v>
      </c>
      <c r="H46" s="72">
        <f>(1+H42)/((1+H43)*(1+H44)*(1+H45))-1</f>
        <v>0.01429999999999998</v>
      </c>
    </row>
    <row r="47">
      <c r="B47" s="20" t="s">
        <v>94</v>
      </c>
      <c r="C47" s="32" t="s">
        <v>44</v>
      </c>
      <c r="D47" s="32">
        <f>(D46-C46)*10000</f>
        <v>124.95403702136309</v>
      </c>
      <c r="E47" s="32">
        <f>(E46-D46)*10000</f>
        <v>495.5176121020255</v>
      </c>
      <c r="F47" s="32">
        <f>(F46-E46)*10000</f>
        <v>-344.3955437661228</v>
      </c>
      <c r="G47" s="32"/>
      <c r="H47" s="38">
        <f>(H46-F46)*10000</f>
        <v>32.850089220666234</v>
      </c>
    </row>
    <row r="48">
      <c r="B48" s="1" t="s">
        <v>105</v>
      </c>
      <c r="C48" s="15">
        <f>C33-C26</f>
        <v>1085.3999999999999</v>
      </c>
      <c r="D48" s="15">
        <f>D33-D26</f>
        <v>1067.7</v>
      </c>
      <c r="E48" s="15">
        <f>E33-E26</f>
        <v>1031.3</v>
      </c>
      <c r="F48" s="15">
        <f>F33-F26</f>
        <v>1202.9</v>
      </c>
      <c r="G48" s="15">
        <f>G33-G26</f>
        <v>4387.4</v>
      </c>
      <c r="H48" s="49">
        <f>H33-H26</f>
        <v>1100.10978</v>
      </c>
    </row>
    <row r="49">
      <c r="B49" s="20" t="s">
        <v>106</v>
      </c>
      <c r="C49" s="11">
        <f>C48/C11-1</f>
        <v>-0.016580592552324136</v>
      </c>
      <c r="D49" s="11">
        <f>D48/D11-1</f>
        <v>-0.004104094767279021</v>
      </c>
      <c r="E49" s="11">
        <f>E48/E11-1</f>
        <v>0.04562506336814365</v>
      </c>
      <c r="F49" s="11">
        <f>F48/F11-1</f>
        <v>0.09047230532136719</v>
      </c>
      <c r="G49" s="11">
        <f>G48/G11-1</f>
        <v>0.028650473600300153</v>
      </c>
      <c r="H49" s="31">
        <f>H48/H11-1</f>
        <v>0.01429999999999998</v>
      </c>
    </row>
    <row r="50">
      <c r="B50" s="1" t="s">
        <v>107</v>
      </c>
      <c r="C50" s="15">
        <f>C48-C39</f>
        <v>1085.3999999999999</v>
      </c>
      <c r="D50" s="15">
        <f>D48-D39</f>
        <v>1067.7</v>
      </c>
      <c r="E50" s="15">
        <f>E48-E39</f>
        <v>1031.3</v>
      </c>
      <c r="F50" s="15">
        <f>F48-F39</f>
        <v>1116.5</v>
      </c>
      <c r="G50" s="15">
        <f>G48-G39</f>
        <v>4301</v>
      </c>
      <c r="H50" s="49">
        <f>H48-H39</f>
        <v>1100.10978</v>
      </c>
    </row>
    <row r="51">
      <c r="B51" s="20" t="s">
        <v>108</v>
      </c>
      <c r="C51" s="11">
        <f>C50/C11-1</f>
        <v>-0.016580592552324136</v>
      </c>
      <c r="D51" s="11">
        <f>D50/D11-1</f>
        <v>-0.004104094767279021</v>
      </c>
      <c r="E51" s="11">
        <f>E50/E11-1</f>
        <v>0.04562506336814365</v>
      </c>
      <c r="F51" s="11">
        <f>F50/F11-1</f>
        <v>0.012147584081225737</v>
      </c>
      <c r="G51" s="11">
        <f>G50/G11-1</f>
        <v>0.008393510269155025</v>
      </c>
      <c r="H51" s="31">
        <f>H50/H11-1</f>
        <v>0.01429999999999998</v>
      </c>
    </row>
    <row r="52">
      <c r="H52" s="35"/>
    </row>
    <row r="53">
      <c r="B53" s="4" t="s">
        <v>139</v>
      </c>
      <c r="H53" s="35"/>
    </row>
    <row r="54">
      <c r="B54" s="1" t="s">
        <v>140</v>
      </c>
      <c r="C54" s="34">
        <v>278</v>
      </c>
      <c r="D54" s="34">
        <v>269.2</v>
      </c>
      <c r="E54" s="34">
        <v>302.6</v>
      </c>
      <c r="F54" s="34">
        <v>259.6</v>
      </c>
      <c r="G54" s="34">
        <v>1109.4</v>
      </c>
      <c r="H54" s="49">
        <f>C58</f>
        <v>260</v>
      </c>
    </row>
    <row r="55">
      <c r="B55" s="20" t="s">
        <v>141</v>
      </c>
      <c r="C55" s="11">
        <f>C58/C33</f>
        <v>0.2397197123363452</v>
      </c>
      <c r="D55" s="11">
        <f>D58/D33</f>
        <v>0.26909770920991116</v>
      </c>
      <c r="E55" s="11">
        <f>E58/E33</f>
        <v>0.28</v>
      </c>
      <c r="F55" s="11">
        <f>F58/F33</f>
        <v>0.2526115072127342</v>
      </c>
      <c r="G55" s="11">
        <f>G58/G33</f>
        <v>0.25989716053876954</v>
      </c>
      <c r="H55" s="69">
        <v>0.239</v>
      </c>
      <c r="I55" s="8" t="s">
        <v>142</v>
      </c>
    </row>
    <row r="56">
      <c r="B56" s="20" t="s">
        <v>143</v>
      </c>
      <c r="C56" s="32">
        <f>(C55-C54/C11)*10000</f>
        <v>-121.60327529560367</v>
      </c>
      <c r="D56" s="32">
        <f>(D55-D54/D11)*10000</f>
        <v>180.01729357285444</v>
      </c>
      <c r="E56" s="32">
        <f>(E55-E54/E11)*10000</f>
        <v>-268.03203893338735</v>
      </c>
      <c r="F56" s="32">
        <f>(F55-F54/F11)*10000</f>
        <v>172.74729042124042</v>
      </c>
      <c r="G56" s="32">
        <f>(G55-G54/G11)*10000</f>
        <v>-2.0787556739199076</v>
      </c>
      <c r="H56" s="38">
        <f>(H55-H54/H11)*10000</f>
        <v>-7.197123363452129</v>
      </c>
    </row>
    <row r="57">
      <c r="B57" s="20" t="s">
        <v>94</v>
      </c>
      <c r="C57" s="32">
        <f>(C55-F54/F11)*10000</f>
        <v>43.829341657350696</v>
      </c>
      <c r="D57" s="32">
        <f>(D55-C55)*10000</f>
        <v>293.77996873565957</v>
      </c>
      <c r="E57" s="32">
        <f>(E55-D55)*10000</f>
        <v>109.02290790088864</v>
      </c>
      <c r="F57" s="32">
        <f>(F55-E55)*10000</f>
        <v>-273.8849278726585</v>
      </c>
      <c r="G57" s="32"/>
      <c r="H57" s="38">
        <f>(H55-F55)*10000</f>
        <v>-136.11507212734188</v>
      </c>
    </row>
    <row r="58">
      <c r="B58" s="4" t="s">
        <v>144</v>
      </c>
      <c r="C58" s="44">
        <v>260</v>
      </c>
      <c r="D58" s="44">
        <v>287.8</v>
      </c>
      <c r="E58" s="44">
        <v>289.8</v>
      </c>
      <c r="F58" s="44">
        <v>304.7</v>
      </c>
      <c r="G58" s="44">
        <v>1142.3</v>
      </c>
      <c r="H58" s="42">
        <f>H33*H55</f>
        <v>262.92623742</v>
      </c>
    </row>
    <row r="59">
      <c r="B59" s="20" t="s">
        <v>88</v>
      </c>
      <c r="C59" s="11">
        <f>C58/C54-1</f>
        <v>-0.06474820143884896</v>
      </c>
      <c r="D59" s="11">
        <f>D58/D54-1</f>
        <v>0.0690936106983655</v>
      </c>
      <c r="E59" s="11">
        <f>E58/E54-1</f>
        <v>-0.042300066093853284</v>
      </c>
      <c r="F59" s="11">
        <f>F58/F54-1</f>
        <v>0.1737288135593218</v>
      </c>
      <c r="G59" s="11">
        <f>G58/G54-1</f>
        <v>0.029655669731386114</v>
      </c>
      <c r="H59" s="31">
        <f>H58/H54-1</f>
        <v>0.011254759307692375</v>
      </c>
    </row>
    <row r="60">
      <c r="B60" s="1" t="s">
        <v>123</v>
      </c>
      <c r="C60" s="15">
        <f>C58-C54</f>
        <v>-18</v>
      </c>
      <c r="D60" s="15">
        <f>D58-D54</f>
        <v>18.600000000000023</v>
      </c>
      <c r="E60" s="15">
        <f>E58-E54</f>
        <v>-12.800000000000011</v>
      </c>
      <c r="F60" s="15">
        <f>F58-F54</f>
        <v>45.099999999999966</v>
      </c>
      <c r="G60" s="15">
        <f>G58-G54</f>
        <v>32.899999999999864</v>
      </c>
      <c r="H60" s="49">
        <f>H58-H54</f>
        <v>2.9262374200000068</v>
      </c>
    </row>
    <row r="61">
      <c r="B61" s="1" t="s">
        <v>124</v>
      </c>
      <c r="C61" s="15">
        <f>C58-F54</f>
        <v>0.39999999999997726</v>
      </c>
      <c r="D61" s="15">
        <f>D58-C58</f>
        <v>27.80000000000001</v>
      </c>
      <c r="E61" s="15">
        <f>E58-D58</f>
        <v>2</v>
      </c>
      <c r="F61" s="15">
        <f>F58-E58</f>
        <v>14.899999999999977</v>
      </c>
      <c r="G61" s="15"/>
      <c r="H61" s="49">
        <f>H58-F58</f>
        <v>-41.77376257999998</v>
      </c>
    </row>
    <row r="62">
      <c r="B62" s="1" t="s">
        <v>145</v>
      </c>
      <c r="C62" s="34">
        <v>0</v>
      </c>
      <c r="D62" s="34">
        <v>0</v>
      </c>
      <c r="E62" s="34">
        <v>0</v>
      </c>
      <c r="F62" s="34">
        <v>25.5</v>
      </c>
      <c r="G62" s="34">
        <v>25.5</v>
      </c>
      <c r="H62" s="68">
        <v>0</v>
      </c>
    </row>
    <row r="63">
      <c r="B63" s="1" t="s">
        <v>146</v>
      </c>
      <c r="C63" s="15">
        <f>C58-C62</f>
        <v>260</v>
      </c>
      <c r="D63" s="15">
        <f>D58-D62</f>
        <v>287.8</v>
      </c>
      <c r="E63" s="15">
        <f>E58-E62</f>
        <v>289.8</v>
      </c>
      <c r="F63" s="15">
        <f>F58-F62</f>
        <v>279.2</v>
      </c>
      <c r="G63" s="15">
        <f>G58-G62</f>
        <v>1116.8</v>
      </c>
      <c r="H63" s="49">
        <f>H58-H62</f>
        <v>262.92623742</v>
      </c>
    </row>
    <row r="64">
      <c r="B64" s="20" t="s">
        <v>147</v>
      </c>
      <c r="C64" s="11">
        <f>C63/(C33-C39)</f>
        <v>0.2397197123363452</v>
      </c>
      <c r="D64" s="11">
        <f>D63/(D33-D39)</f>
        <v>0.26909770920991116</v>
      </c>
      <c r="E64" s="11">
        <f>E63/(E33-E39)</f>
        <v>0.28</v>
      </c>
      <c r="F64" s="11">
        <f>F63/(F33-F39)</f>
        <v>0.2493302375424183</v>
      </c>
      <c r="G64" s="11">
        <f>G63/(G33-G39)</f>
        <v>0.2591904938730041</v>
      </c>
      <c r="H64" s="31">
        <f>H63/(H33-H39)</f>
        <v>0.23900000000000002</v>
      </c>
    </row>
    <row r="65">
      <c r="H65" s="35"/>
    </row>
    <row r="66">
      <c r="B66" s="20" t="s">
        <v>148</v>
      </c>
      <c r="C66" s="94" t="b">
        <f>ABS(C32/C11)&lt;0.01</f>
        <v>1</v>
      </c>
      <c r="D66" s="94" t="b">
        <f>ABS(D32/D11)&lt;0.01</f>
        <v>1</v>
      </c>
      <c r="E66" s="94" t="b">
        <f>ABS(E32/E11)&lt;0.01</f>
        <v>1</v>
      </c>
      <c r="F66" s="94" t="b">
        <f>ABS(F32/F11)&lt;0.01</f>
        <v>1</v>
      </c>
      <c r="G66" s="94" t="b">
        <f>ABS(G32/G11)&lt;0.01</f>
        <v>1</v>
      </c>
      <c r="H66" s="91" t="b">
        <f>ABS(H32/H11)&lt;0.01</f>
        <v>1</v>
      </c>
      <c r="I66" s="8" t="s">
        <v>149</v>
      </c>
    </row>
  </sheetData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1:I67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</cols>
  <sheetData>
    <row r="1">
      <c r="B1" s="23" t="s">
        <v>0</v>
      </c>
    </row>
    <row r="2">
      <c r="B2" s="21" t="s">
        <v>150</v>
      </c>
    </row>
    <row r="3">
      <c r="B3" s="20" t="s">
        <v>2</v>
      </c>
    </row>
    <row r="4">
      <c r="B4" s="17" t="s">
        <v>64</v>
      </c>
      <c r="C4" s="3" t="s">
        <v>65</v>
      </c>
      <c r="D4" s="3" t="s">
        <v>66</v>
      </c>
      <c r="E4" s="3" t="s">
        <v>67</v>
      </c>
      <c r="F4" s="3" t="s">
        <v>68</v>
      </c>
      <c r="G4" s="3" t="s">
        <v>69</v>
      </c>
      <c r="H4" s="30" t="s">
        <v>70</v>
      </c>
      <c r="I4" s="17" t="s">
        <v>71</v>
      </c>
    </row>
    <row r="5">
      <c r="B5" s="14" t="s">
        <v>72</v>
      </c>
      <c r="C5" s="19">
        <v>45893</v>
      </c>
      <c r="D5" s="19">
        <v>45984</v>
      </c>
      <c r="E5" s="19">
        <v>46075</v>
      </c>
      <c r="F5" s="19">
        <v>46173</v>
      </c>
      <c r="G5" s="19">
        <v>46173</v>
      </c>
      <c r="H5" s="16">
        <v>46264</v>
      </c>
      <c r="I5" s="14"/>
    </row>
    <row r="6">
      <c r="B6" s="10" t="s">
        <v>73</v>
      </c>
      <c r="C6" s="5">
        <v>91</v>
      </c>
      <c r="D6" s="5">
        <v>91</v>
      </c>
      <c r="E6" s="5">
        <v>91</v>
      </c>
      <c r="F6" s="5">
        <v>98</v>
      </c>
      <c r="G6" s="5">
        <v>371</v>
      </c>
      <c r="H6" s="26">
        <v>91</v>
      </c>
      <c r="I6" s="10"/>
    </row>
    <row r="8">
      <c r="B8" s="52" t="s">
        <v>120</v>
      </c>
      <c r="H8" s="35"/>
    </row>
    <row r="9">
      <c r="H9" s="35"/>
    </row>
    <row r="10">
      <c r="B10" s="4" t="s">
        <v>121</v>
      </c>
      <c r="H10" s="35"/>
    </row>
    <row r="11">
      <c r="B11" s="1" t="s">
        <v>85</v>
      </c>
      <c r="C11" s="34">
        <v>550.4</v>
      </c>
      <c r="D11" s="34">
        <v>528.8</v>
      </c>
      <c r="E11" s="34">
        <v>534.2</v>
      </c>
      <c r="F11" s="34">
        <v>572.7</v>
      </c>
      <c r="G11" s="34">
        <v>2186.1</v>
      </c>
      <c r="H11" s="49">
        <f>C33</f>
        <v>574.7</v>
      </c>
      <c r="I11" s="8" t="s">
        <v>122</v>
      </c>
    </row>
    <row r="12">
      <c r="B12" s="1" t="s">
        <v>123</v>
      </c>
      <c r="C12" s="15" t="s">
        <v>44</v>
      </c>
      <c r="D12" s="15" t="s">
        <v>44</v>
      </c>
      <c r="E12" s="15" t="s">
        <v>44</v>
      </c>
      <c r="F12" s="15" t="s">
        <v>44</v>
      </c>
      <c r="G12" s="15" t="s">
        <v>44</v>
      </c>
      <c r="H12" s="49">
        <f>H11-C11</f>
        <v>24.300000000000068</v>
      </c>
    </row>
    <row r="13">
      <c r="B13" s="1" t="s">
        <v>124</v>
      </c>
      <c r="C13" s="15" t="s">
        <v>44</v>
      </c>
      <c r="D13" s="15">
        <f>D11-C11</f>
        <v>-21.600000000000023</v>
      </c>
      <c r="E13" s="15">
        <f>E11-D11</f>
        <v>5.400000000000091</v>
      </c>
      <c r="F13" s="15">
        <f>F11-E11</f>
        <v>38.5</v>
      </c>
      <c r="G13" s="15"/>
      <c r="H13" s="49">
        <f>H11-F11</f>
        <v>2</v>
      </c>
    </row>
    <row r="14">
      <c r="B14" s="20" t="s">
        <v>92</v>
      </c>
      <c r="C14" s="58">
        <v>0.06</v>
      </c>
      <c r="D14" s="58">
        <v>0.07</v>
      </c>
      <c r="E14" s="58">
        <v>-0.02</v>
      </c>
      <c r="F14" s="58">
        <v>-0.02</v>
      </c>
      <c r="G14" s="58">
        <v>0.02</v>
      </c>
      <c r="H14" s="69">
        <v>-0.015</v>
      </c>
      <c r="I14" s="8" t="s">
        <v>151</v>
      </c>
    </row>
    <row r="15">
      <c r="B15" s="20" t="s">
        <v>93</v>
      </c>
      <c r="C15" s="32" t="s">
        <v>44</v>
      </c>
      <c r="D15" s="32" t="s">
        <v>44</v>
      </c>
      <c r="E15" s="32" t="s">
        <v>44</v>
      </c>
      <c r="F15" s="32" t="s">
        <v>44</v>
      </c>
      <c r="G15" s="32" t="s">
        <v>44</v>
      </c>
      <c r="H15" s="38">
        <f>(H14-C14)*10000</f>
        <v>-750</v>
      </c>
    </row>
    <row r="16">
      <c r="B16" s="20" t="s">
        <v>94</v>
      </c>
      <c r="C16" s="32" t="s">
        <v>44</v>
      </c>
      <c r="D16" s="32">
        <f>(D14-C14)*10000</f>
        <v>100.00000000000009</v>
      </c>
      <c r="E16" s="32">
        <f>(E14-D14)*10000</f>
        <v>-900.0000000000001</v>
      </c>
      <c r="F16" s="32">
        <f>(F14-E14)*10000</f>
        <v>0</v>
      </c>
      <c r="G16" s="32"/>
      <c r="H16" s="38">
        <f>(H14-F14)*10000</f>
        <v>50.00000000000001</v>
      </c>
    </row>
    <row r="17">
      <c r="B17" s="1" t="s">
        <v>126</v>
      </c>
      <c r="C17" s="15">
        <f>C11*C14</f>
        <v>33.024</v>
      </c>
      <c r="D17" s="15">
        <f>D11*D14</f>
        <v>37.016</v>
      </c>
      <c r="E17" s="15">
        <f>E11*E14</f>
        <v>-10.684000000000001</v>
      </c>
      <c r="F17" s="15">
        <f>F11*F14</f>
        <v>-11.454</v>
      </c>
      <c r="G17" s="15">
        <f>G11*G14</f>
        <v>43.722</v>
      </c>
      <c r="H17" s="49">
        <f>H11*H14</f>
        <v>-8.6205</v>
      </c>
    </row>
    <row r="18">
      <c r="B18" s="1" t="s">
        <v>123</v>
      </c>
      <c r="C18" s="15" t="s">
        <v>44</v>
      </c>
      <c r="D18" s="15" t="s">
        <v>44</v>
      </c>
      <c r="E18" s="15" t="s">
        <v>44</v>
      </c>
      <c r="F18" s="15" t="s">
        <v>44</v>
      </c>
      <c r="G18" s="15" t="s">
        <v>44</v>
      </c>
      <c r="H18" s="49">
        <f>H17-C17</f>
        <v>-41.6445</v>
      </c>
    </row>
    <row r="19">
      <c r="B19" s="1" t="s">
        <v>124</v>
      </c>
      <c r="C19" s="15" t="s">
        <v>44</v>
      </c>
      <c r="D19" s="15">
        <f>D17-C17</f>
        <v>3.9919999999999973</v>
      </c>
      <c r="E19" s="15">
        <f>E17-D17</f>
        <v>-47.7</v>
      </c>
      <c r="F19" s="15">
        <f>F17-E17</f>
        <v>-0.7699999999999996</v>
      </c>
      <c r="G19" s="15"/>
      <c r="H19" s="49">
        <f>H17-F17</f>
        <v>2.833500000000001</v>
      </c>
    </row>
    <row r="20">
      <c r="B20" s="20" t="s">
        <v>95</v>
      </c>
      <c r="C20" s="58">
        <v>-0.06</v>
      </c>
      <c r="D20" s="58">
        <v>-0.08</v>
      </c>
      <c r="E20" s="58">
        <v>-0.07</v>
      </c>
      <c r="F20" s="58">
        <v>-0.04</v>
      </c>
      <c r="G20" s="58">
        <v>-0.06</v>
      </c>
      <c r="H20" s="69">
        <v>-0.02</v>
      </c>
      <c r="I20" s="8" t="s">
        <v>152</v>
      </c>
    </row>
    <row r="21">
      <c r="B21" s="20" t="s">
        <v>93</v>
      </c>
      <c r="C21" s="32" t="s">
        <v>44</v>
      </c>
      <c r="D21" s="32" t="s">
        <v>44</v>
      </c>
      <c r="E21" s="32" t="s">
        <v>44</v>
      </c>
      <c r="F21" s="32" t="s">
        <v>44</v>
      </c>
      <c r="G21" s="32" t="s">
        <v>44</v>
      </c>
      <c r="H21" s="38">
        <f>(H20-C20)*10000</f>
        <v>399.99999999999994</v>
      </c>
    </row>
    <row r="22">
      <c r="B22" s="20" t="s">
        <v>94</v>
      </c>
      <c r="C22" s="32" t="s">
        <v>44</v>
      </c>
      <c r="D22" s="32">
        <f>(D20-C20)*10000</f>
        <v>-200.00000000000003</v>
      </c>
      <c r="E22" s="32">
        <f>(E20-D20)*10000</f>
        <v>99.99999999999994</v>
      </c>
      <c r="F22" s="32">
        <f>(F20-E20)*10000</f>
        <v>300.00000000000006</v>
      </c>
      <c r="G22" s="32"/>
      <c r="H22" s="38">
        <f>(H20-F20)*10000</f>
        <v>200</v>
      </c>
    </row>
    <row r="23">
      <c r="B23" s="1" t="s">
        <v>128</v>
      </c>
      <c r="C23" s="15">
        <f>C11*C20</f>
        <v>-33.024</v>
      </c>
      <c r="D23" s="15">
        <f>D11*D20</f>
        <v>-42.303999999999995</v>
      </c>
      <c r="E23" s="15">
        <f>E11*E20</f>
        <v>-37.394000000000005</v>
      </c>
      <c r="F23" s="15">
        <f>F11*F20</f>
        <v>-22.908</v>
      </c>
      <c r="G23" s="15">
        <f>G11*G20</f>
        <v>-131.166</v>
      </c>
      <c r="H23" s="49">
        <f>H11*H20</f>
        <v>-11.494000000000002</v>
      </c>
    </row>
    <row r="24">
      <c r="B24" s="1" t="s">
        <v>123</v>
      </c>
      <c r="C24" s="15" t="s">
        <v>44</v>
      </c>
      <c r="D24" s="15" t="s">
        <v>44</v>
      </c>
      <c r="E24" s="15" t="s">
        <v>44</v>
      </c>
      <c r="F24" s="15" t="s">
        <v>44</v>
      </c>
      <c r="G24" s="15" t="s">
        <v>44</v>
      </c>
      <c r="H24" s="49">
        <f>H23-C23</f>
        <v>21.53</v>
      </c>
    </row>
    <row r="25">
      <c r="B25" s="1" t="s">
        <v>124</v>
      </c>
      <c r="C25" s="15" t="s">
        <v>44</v>
      </c>
      <c r="D25" s="15">
        <f>D23-C23</f>
        <v>-9.279999999999994</v>
      </c>
      <c r="E25" s="15">
        <f>E23-D23</f>
        <v>4.9099999999999895</v>
      </c>
      <c r="F25" s="15">
        <f>F23-E23</f>
        <v>14.486000000000004</v>
      </c>
      <c r="G25" s="15"/>
      <c r="H25" s="49">
        <f>H23-F23</f>
        <v>11.414</v>
      </c>
    </row>
    <row r="26">
      <c r="B26" s="1" t="s">
        <v>96</v>
      </c>
      <c r="C26" s="34">
        <v>24.5</v>
      </c>
      <c r="D26" s="34">
        <v>22.6</v>
      </c>
      <c r="E26" s="34">
        <v>43.7</v>
      </c>
      <c r="F26" s="34">
        <v>24.4</v>
      </c>
      <c r="G26" s="34">
        <v>115.3</v>
      </c>
      <c r="H26" s="49">
        <f>H11*H29</f>
        <v>-5.747000000000001</v>
      </c>
      <c r="I26" s="8" t="s">
        <v>153</v>
      </c>
    </row>
    <row r="27">
      <c r="B27" s="1" t="s">
        <v>123</v>
      </c>
      <c r="C27" s="15" t="s">
        <v>44</v>
      </c>
      <c r="D27" s="15" t="s">
        <v>44</v>
      </c>
      <c r="E27" s="15" t="s">
        <v>44</v>
      </c>
      <c r="F27" s="15" t="s">
        <v>44</v>
      </c>
      <c r="G27" s="15" t="s">
        <v>44</v>
      </c>
      <c r="H27" s="49">
        <f>H26-C26</f>
        <v>-30.247</v>
      </c>
    </row>
    <row r="28">
      <c r="B28" s="1" t="s">
        <v>124</v>
      </c>
      <c r="C28" s="15" t="s">
        <v>44</v>
      </c>
      <c r="D28" s="15">
        <f>D26-C26</f>
        <v>-1.8999999999999986</v>
      </c>
      <c r="E28" s="15">
        <f>E26-D26</f>
        <v>21.1</v>
      </c>
      <c r="F28" s="15">
        <f>F26-E26</f>
        <v>-19.300000000000004</v>
      </c>
      <c r="G28" s="15"/>
      <c r="H28" s="49">
        <f>H26-F26</f>
        <v>-30.147</v>
      </c>
    </row>
    <row r="29">
      <c r="B29" s="20" t="s">
        <v>130</v>
      </c>
      <c r="C29" s="11">
        <f>C26/C11</f>
        <v>0.04451308139534884</v>
      </c>
      <c r="D29" s="11">
        <f>D26/D11</f>
        <v>0.04273827534039335</v>
      </c>
      <c r="E29" s="11">
        <f>E26/E11</f>
        <v>0.08180456757768625</v>
      </c>
      <c r="F29" s="11">
        <f>F26/F11</f>
        <v>0.04260520342238519</v>
      </c>
      <c r="G29" s="11">
        <f>G26/G11</f>
        <v>0.052742326517542654</v>
      </c>
      <c r="H29" s="69">
        <v>-0.01</v>
      </c>
      <c r="I29" s="8" t="s">
        <v>154</v>
      </c>
    </row>
    <row r="30">
      <c r="B30" s="20" t="s">
        <v>93</v>
      </c>
      <c r="C30" s="32" t="s">
        <v>44</v>
      </c>
      <c r="D30" s="32" t="s">
        <v>44</v>
      </c>
      <c r="E30" s="32" t="s">
        <v>44</v>
      </c>
      <c r="F30" s="32" t="s">
        <v>44</v>
      </c>
      <c r="G30" s="32" t="s">
        <v>44</v>
      </c>
      <c r="H30" s="38">
        <f>(H29-C29)*10000</f>
        <v>-545.1308139534884</v>
      </c>
    </row>
    <row r="31">
      <c r="B31" s="20" t="s">
        <v>94</v>
      </c>
      <c r="C31" s="32" t="s">
        <v>44</v>
      </c>
      <c r="D31" s="32">
        <f>(D29-C29)*10000</f>
        <v>-17.748060549554882</v>
      </c>
      <c r="E31" s="32">
        <f>(E29-D29)*10000</f>
        <v>390.662922372929</v>
      </c>
      <c r="F31" s="32">
        <f>(F29-E29)*10000</f>
        <v>-391.99364155301066</v>
      </c>
      <c r="G31" s="32"/>
      <c r="H31" s="38">
        <f>(H29-F29)*10000</f>
        <v>-526.0520342238519</v>
      </c>
    </row>
    <row r="32">
      <c r="B32" s="1" t="s">
        <v>132</v>
      </c>
      <c r="C32" s="15">
        <f>C33-C11-C17-C23-C26</f>
        <v>-0.1999999999999318</v>
      </c>
      <c r="D32" s="15">
        <f>D33-D11-D17-D23-D26</f>
        <v>2.4880000000000635</v>
      </c>
      <c r="E32" s="15">
        <f>E33-E11-E17-E23-E26</f>
        <v>-0.022000000000090836</v>
      </c>
      <c r="F32" s="15">
        <f>F33-F11-F17-F23-F26</f>
        <v>1.161999999999935</v>
      </c>
      <c r="G32" s="15">
        <f>G33-G11-G17-G23-G26</f>
        <v>3.1439999999999912</v>
      </c>
      <c r="H32" s="49">
        <f>H33-H11-H17-H23-H26</f>
        <v>0.37183089999998753</v>
      </c>
      <c r="I32" s="8" t="s">
        <v>133</v>
      </c>
    </row>
    <row r="33">
      <c r="B33" s="4" t="s">
        <v>116</v>
      </c>
      <c r="C33" s="44">
        <v>574.7</v>
      </c>
      <c r="D33" s="44">
        <v>548.6</v>
      </c>
      <c r="E33" s="44">
        <v>529.8</v>
      </c>
      <c r="F33" s="44">
        <v>563.9</v>
      </c>
      <c r="G33" s="44">
        <v>2217.1</v>
      </c>
      <c r="H33" s="42">
        <f>H11*(1+H14)*(1+H20)*(1+H29)</f>
        <v>549.2103309</v>
      </c>
      <c r="I33" s="8" t="s">
        <v>134</v>
      </c>
    </row>
    <row r="34">
      <c r="B34" s="20" t="s">
        <v>88</v>
      </c>
      <c r="C34" s="11">
        <f>C33/C11-1</f>
        <v>0.04414970930232576</v>
      </c>
      <c r="D34" s="11">
        <f>D33/D11-1</f>
        <v>0.03744326777609697</v>
      </c>
      <c r="E34" s="11">
        <f>E33/E11-1</f>
        <v>-0.008236615499813027</v>
      </c>
      <c r="F34" s="11">
        <f>F33/F11-1</f>
        <v>-0.015365811070368496</v>
      </c>
      <c r="G34" s="11">
        <f>G33/G11-1</f>
        <v>0.014180504094048807</v>
      </c>
      <c r="H34" s="31">
        <f>H33/H11-1</f>
        <v>-0.044352999999999976</v>
      </c>
    </row>
    <row r="35">
      <c r="B35" s="20" t="s">
        <v>89</v>
      </c>
      <c r="C35" s="11">
        <f>C33/F11-1</f>
        <v>0.0034922297887201026</v>
      </c>
      <c r="D35" s="11">
        <f>D33/C33-1</f>
        <v>-0.045414999129980926</v>
      </c>
      <c r="E35" s="11">
        <f>E33/D33-1</f>
        <v>-0.03426904848705814</v>
      </c>
      <c r="F35" s="11">
        <f>F33/E33-1</f>
        <v>0.06436391090977733</v>
      </c>
      <c r="G35" s="11"/>
      <c r="H35" s="31">
        <f>H33/F33-1</f>
        <v>-0.026050131406277655</v>
      </c>
      <c r="I35" s="8" t="s">
        <v>90</v>
      </c>
    </row>
    <row r="36">
      <c r="B36" s="1" t="s">
        <v>123</v>
      </c>
      <c r="C36" s="15">
        <f>C33-C11</f>
        <v>24.300000000000068</v>
      </c>
      <c r="D36" s="15">
        <f>D33-D11</f>
        <v>19.800000000000068</v>
      </c>
      <c r="E36" s="15">
        <f>E33-E11</f>
        <v>-4.400000000000091</v>
      </c>
      <c r="F36" s="15">
        <f>F33-F11</f>
        <v>-8.800000000000068</v>
      </c>
      <c r="G36" s="15">
        <f>G33-G11</f>
        <v>31</v>
      </c>
      <c r="H36" s="49">
        <f>H33-H11</f>
        <v>-25.489669100000015</v>
      </c>
    </row>
    <row r="37">
      <c r="B37" s="1" t="s">
        <v>124</v>
      </c>
      <c r="C37" s="15">
        <f>C33-F11</f>
        <v>2</v>
      </c>
      <c r="D37" s="15">
        <f>D33-C33</f>
        <v>-26.100000000000023</v>
      </c>
      <c r="E37" s="15">
        <f>E33-D33</f>
        <v>-18.800000000000068</v>
      </c>
      <c r="F37" s="15">
        <f>F33-E33</f>
        <v>34.10000000000002</v>
      </c>
      <c r="G37" s="15"/>
      <c r="H37" s="49">
        <f>H33-F33</f>
        <v>-14.689669099999946</v>
      </c>
    </row>
    <row r="38">
      <c r="B38" s="20" t="s">
        <v>135</v>
      </c>
      <c r="C38" s="51">
        <f>C33/'Revenue summary'!C11</f>
        <v>0.3463508708491533</v>
      </c>
      <c r="D38" s="51">
        <f>D33/'Revenue summary'!D11</f>
        <v>0.339039614362524</v>
      </c>
      <c r="E38" s="51">
        <f>E33/'Revenue summary'!E11</f>
        <v>0.3385736196319018</v>
      </c>
      <c r="F38" s="51">
        <f>F33/'Revenue summary'!F11</f>
        <v>0.3185695723405457</v>
      </c>
      <c r="G38" s="51">
        <f>G33/'Revenue summary'!G11</f>
        <v>0.33529936633244106</v>
      </c>
      <c r="H38" s="70">
        <f>H33/'Revenue summary'!H11</f>
        <v>0.33299195666771275</v>
      </c>
    </row>
    <row r="39">
      <c r="B39" s="1" t="s">
        <v>97</v>
      </c>
      <c r="C39" s="34">
        <v>0</v>
      </c>
      <c r="D39" s="34">
        <v>0</v>
      </c>
      <c r="E39" s="34">
        <v>0</v>
      </c>
      <c r="F39" s="34">
        <v>40.7</v>
      </c>
      <c r="G39" s="34">
        <v>40.7</v>
      </c>
      <c r="H39" s="68">
        <v>0</v>
      </c>
      <c r="I39" s="8" t="s">
        <v>136</v>
      </c>
    </row>
    <row r="40">
      <c r="H40" s="35"/>
    </row>
    <row r="41">
      <c r="B41" s="4" t="s">
        <v>137</v>
      </c>
      <c r="H41" s="35"/>
    </row>
    <row r="42">
      <c r="B42" s="20" t="s">
        <v>99</v>
      </c>
      <c r="C42" s="11">
        <f>C34</f>
        <v>0.04414970930232576</v>
      </c>
      <c r="D42" s="11">
        <f>D34</f>
        <v>0.03744326777609697</v>
      </c>
      <c r="E42" s="11">
        <f>E34</f>
        <v>-0.008236615499813027</v>
      </c>
      <c r="F42" s="11">
        <f>F34</f>
        <v>-0.015365811070368496</v>
      </c>
      <c r="G42" s="11">
        <f>G34</f>
        <v>0.014180504094048807</v>
      </c>
      <c r="H42" s="31">
        <f>H34</f>
        <v>-0.044352999999999976</v>
      </c>
    </row>
    <row r="43">
      <c r="B43" s="20" t="s">
        <v>100</v>
      </c>
      <c r="C43" s="58">
        <v>0</v>
      </c>
      <c r="D43" s="58">
        <v>0</v>
      </c>
      <c r="E43" s="58">
        <v>0</v>
      </c>
      <c r="F43" s="58">
        <v>0</v>
      </c>
      <c r="G43" s="58">
        <v>0</v>
      </c>
      <c r="H43" s="69">
        <v>0</v>
      </c>
      <c r="I43" s="8" t="s">
        <v>138</v>
      </c>
    </row>
    <row r="44">
      <c r="B44" s="20" t="s">
        <v>102</v>
      </c>
      <c r="C44" s="11">
        <f>C39/C11</f>
        <v>0</v>
      </c>
      <c r="D44" s="11">
        <f>D39/D11</f>
        <v>0</v>
      </c>
      <c r="E44" s="11">
        <f>E39/E11</f>
        <v>0</v>
      </c>
      <c r="F44" s="11">
        <f>F39/F11</f>
        <v>0.07106687620045399</v>
      </c>
      <c r="G44" s="11">
        <f>G39/G11</f>
        <v>0.018617629568638216</v>
      </c>
      <c r="H44" s="31">
        <f>H39/H11</f>
        <v>0</v>
      </c>
    </row>
    <row r="45">
      <c r="B45" s="20" t="s">
        <v>103</v>
      </c>
      <c r="C45" s="11">
        <f>C29</f>
        <v>0.04451308139534884</v>
      </c>
      <c r="D45" s="11">
        <f>D29</f>
        <v>0.04273827534039335</v>
      </c>
      <c r="E45" s="11">
        <f>E29</f>
        <v>0.08180456757768625</v>
      </c>
      <c r="F45" s="11">
        <f>F29</f>
        <v>0.04260520342238519</v>
      </c>
      <c r="G45" s="11">
        <f>G29</f>
        <v>0.052742326517542654</v>
      </c>
      <c r="H45" s="31">
        <f>H29</f>
        <v>-0.01</v>
      </c>
    </row>
    <row r="46">
      <c r="B46" s="67" t="s">
        <v>104</v>
      </c>
      <c r="C46" s="65">
        <f>(1+C42)/((1+C43)*(1+C44)*(1+C45))-1</f>
        <v>-0.00034788658897189073</v>
      </c>
      <c r="D46" s="65">
        <f>(1+D42)/((1+D43)*(1+D44)*(1+D45))-1</f>
        <v>-0.005077983315197487</v>
      </c>
      <c r="E46" s="65">
        <f>(1+E42)/((1+E43)*(1+E44)*(1+E45))-1</f>
        <v>-0.08323239314760356</v>
      </c>
      <c r="F46" s="65">
        <f>(1+F42)/((1+F43)*(1+F44)*(1+F45))-1</f>
        <v>-0.11826427996155975</v>
      </c>
      <c r="G46" s="65">
        <f>(1+G42)/((1+G43)*(1+G44)*(1+G45))-1</f>
        <v>-0.05423772908576552</v>
      </c>
      <c r="H46" s="72">
        <f>(1+H42)/((1+H43)*(1+H44)*(1+H45))-1</f>
        <v>-0.03469999999999995</v>
      </c>
    </row>
    <row r="47">
      <c r="B47" s="20" t="s">
        <v>94</v>
      </c>
      <c r="C47" s="32" t="s">
        <v>44</v>
      </c>
      <c r="D47" s="32">
        <f>(D46-C46)*10000</f>
        <v>-47.300967262255966</v>
      </c>
      <c r="E47" s="32">
        <f>(E46-D46)*10000</f>
        <v>-781.5440983240607</v>
      </c>
      <c r="F47" s="32">
        <f>(F46-E46)*10000</f>
        <v>-350.3188681395619</v>
      </c>
      <c r="G47" s="32"/>
      <c r="H47" s="38">
        <f>(H46-F46)*10000</f>
        <v>835.6427996155979</v>
      </c>
    </row>
    <row r="48">
      <c r="B48" s="1" t="s">
        <v>105</v>
      </c>
      <c r="C48" s="15">
        <f>C33-C26</f>
        <v>550.2</v>
      </c>
      <c r="D48" s="15">
        <f>D33-D26</f>
        <v>526</v>
      </c>
      <c r="E48" s="15">
        <f>E33-E26</f>
        <v>486.09999999999997</v>
      </c>
      <c r="F48" s="15">
        <f>F33-F26</f>
        <v>539.5</v>
      </c>
      <c r="G48" s="15">
        <f>G33-G26</f>
        <v>2101.7999999999997</v>
      </c>
      <c r="H48" s="49">
        <f>H33-H26</f>
        <v>554.9573309</v>
      </c>
    </row>
    <row r="49">
      <c r="B49" s="20" t="s">
        <v>106</v>
      </c>
      <c r="C49" s="11">
        <f>C48/C11-1</f>
        <v>-0.0003633720930231732</v>
      </c>
      <c r="D49" s="11">
        <f>D48/D11-1</f>
        <v>-0.005295007564296461</v>
      </c>
      <c r="E49" s="11">
        <f>E48/E11-1</f>
        <v>-0.0900411830774992</v>
      </c>
      <c r="F49" s="11">
        <f>F48/F11-1</f>
        <v>-0.05797101449275366</v>
      </c>
      <c r="G49" s="11">
        <f>G48/G11-1</f>
        <v>-0.03856182242349393</v>
      </c>
      <c r="H49" s="31">
        <f>H48/H11-1</f>
        <v>-0.03435300000000008</v>
      </c>
    </row>
    <row r="50">
      <c r="B50" s="1" t="s">
        <v>107</v>
      </c>
      <c r="C50" s="15">
        <f>C48-C39</f>
        <v>550.2</v>
      </c>
      <c r="D50" s="15">
        <f>D48-D39</f>
        <v>526</v>
      </c>
      <c r="E50" s="15">
        <f>E48-E39</f>
        <v>486.09999999999997</v>
      </c>
      <c r="F50" s="15">
        <f>F48-F39</f>
        <v>498.8</v>
      </c>
      <c r="G50" s="15">
        <f>G48-G39</f>
        <v>2061.1</v>
      </c>
      <c r="H50" s="49">
        <f>H48-H39</f>
        <v>554.9573309</v>
      </c>
    </row>
    <row r="51">
      <c r="B51" s="20" t="s">
        <v>108</v>
      </c>
      <c r="C51" s="11">
        <f>C50/C11-1</f>
        <v>-0.0003633720930231732</v>
      </c>
      <c r="D51" s="11">
        <f>D50/D11-1</f>
        <v>-0.005295007564296461</v>
      </c>
      <c r="E51" s="11">
        <f>E50/E11-1</f>
        <v>-0.0900411830774992</v>
      </c>
      <c r="F51" s="11">
        <f>F50/F11-1</f>
        <v>-0.1290378906932077</v>
      </c>
      <c r="G51" s="11">
        <f>G50/G11-1</f>
        <v>-0.057179451992132146</v>
      </c>
      <c r="H51" s="31">
        <f>H50/H11-1</f>
        <v>-0.03435300000000008</v>
      </c>
    </row>
    <row r="52">
      <c r="H52" s="35"/>
    </row>
    <row r="53">
      <c r="B53" s="4" t="s">
        <v>139</v>
      </c>
      <c r="H53" s="35"/>
    </row>
    <row r="54">
      <c r="B54" s="1" t="s">
        <v>140</v>
      </c>
      <c r="C54" s="34">
        <v>51.4</v>
      </c>
      <c r="D54" s="34">
        <v>48.6</v>
      </c>
      <c r="E54" s="34">
        <v>94.1</v>
      </c>
      <c r="F54" s="34">
        <v>63.5</v>
      </c>
      <c r="G54" s="34">
        <v>257.6</v>
      </c>
      <c r="H54" s="49">
        <f>C58</f>
        <v>57.2</v>
      </c>
    </row>
    <row r="55">
      <c r="B55" s="20" t="s">
        <v>141</v>
      </c>
      <c r="C55" s="11">
        <f>C58/C33</f>
        <v>0.09953018966417261</v>
      </c>
      <c r="D55" s="11">
        <f>D58/D33</f>
        <v>0.049580751002551944</v>
      </c>
      <c r="E55" s="11">
        <f>E58/E33</f>
        <v>0.03491883729709325</v>
      </c>
      <c r="F55" s="11">
        <f>F58/F33</f>
        <v>0.020925696045398123</v>
      </c>
      <c r="G55" s="11">
        <f>G58/G33</f>
        <v>0.05173424744035001</v>
      </c>
      <c r="H55" s="69">
        <v>0.055</v>
      </c>
      <c r="I55" s="8" t="s">
        <v>155</v>
      </c>
    </row>
    <row r="56">
      <c r="B56" s="20" t="s">
        <v>143</v>
      </c>
      <c r="C56" s="32">
        <f>(C55-C54/C11)*10000</f>
        <v>61.43561757195867</v>
      </c>
      <c r="D56" s="32">
        <f>(D55-D54/D11)*10000</f>
        <v>-423.2545172059481</v>
      </c>
      <c r="E56" s="32">
        <f>(E55-E54/E11)*10000</f>
        <v>-1412.324169148124</v>
      </c>
      <c r="F56" s="32">
        <f>(F55-F54/F11)*10000</f>
        <v>-899.5259974646497</v>
      </c>
      <c r="G56" s="32">
        <f>(G55-G54/G11)*10000</f>
        <v>-661.0116722503584</v>
      </c>
      <c r="H56" s="38">
        <f>(H55-H54/H11)*10000</f>
        <v>-445.3018966417261</v>
      </c>
    </row>
    <row r="57">
      <c r="B57" s="20" t="s">
        <v>94</v>
      </c>
      <c r="C57" s="32">
        <f>(C55-F54/F11)*10000</f>
        <v>-113.4810612769048</v>
      </c>
      <c r="D57" s="32">
        <f>(D55-C55)*10000</f>
        <v>-499.49438661620667</v>
      </c>
      <c r="E57" s="32">
        <f>(E55-D55)*10000</f>
        <v>-146.61913705458696</v>
      </c>
      <c r="F57" s="32">
        <f>(F55-E55)*10000</f>
        <v>-139.93141251695124</v>
      </c>
      <c r="G57" s="32"/>
      <c r="H57" s="38">
        <f>(H55-F55)*10000</f>
        <v>340.7430395460188</v>
      </c>
    </row>
    <row r="58">
      <c r="B58" s="4" t="s">
        <v>156</v>
      </c>
      <c r="C58" s="44">
        <v>57.2</v>
      </c>
      <c r="D58" s="44">
        <v>27.2</v>
      </c>
      <c r="E58" s="44">
        <v>18.5</v>
      </c>
      <c r="F58" s="44">
        <v>11.8</v>
      </c>
      <c r="G58" s="44">
        <v>114.7</v>
      </c>
      <c r="H58" s="42">
        <f>H33*H55</f>
        <v>30.2065681995</v>
      </c>
    </row>
    <row r="59">
      <c r="B59" s="20" t="s">
        <v>88</v>
      </c>
      <c r="C59" s="11">
        <f>C58/C54-1</f>
        <v>0.11284046692607008</v>
      </c>
      <c r="D59" s="11">
        <f>D58/D54-1</f>
        <v>-0.4403292181069959</v>
      </c>
      <c r="E59" s="11">
        <f>E58/E54-1</f>
        <v>-0.8034006376195537</v>
      </c>
      <c r="F59" s="11">
        <f>F58/F54-1</f>
        <v>-0.8141732283464567</v>
      </c>
      <c r="G59" s="11">
        <f>G58/G54-1</f>
        <v>-0.5547360248447205</v>
      </c>
      <c r="H59" s="31">
        <f>H58/H54-1</f>
        <v>-0.4719131433653846</v>
      </c>
    </row>
    <row r="60">
      <c r="B60" s="1" t="s">
        <v>123</v>
      </c>
      <c r="C60" s="15">
        <f>C58-C54</f>
        <v>5.800000000000004</v>
      </c>
      <c r="D60" s="15">
        <f>D58-D54</f>
        <v>-21.400000000000002</v>
      </c>
      <c r="E60" s="15">
        <f>E58-E54</f>
        <v>-75.6</v>
      </c>
      <c r="F60" s="15">
        <f>F58-F54</f>
        <v>-51.7</v>
      </c>
      <c r="G60" s="15">
        <f>G58-G54</f>
        <v>-142.90000000000003</v>
      </c>
      <c r="H60" s="49">
        <f>H58-H54</f>
        <v>-26.9934318005</v>
      </c>
    </row>
    <row r="61">
      <c r="B61" s="1" t="s">
        <v>124</v>
      </c>
      <c r="C61" s="15">
        <f>C58-F54</f>
        <v>-6.299999999999997</v>
      </c>
      <c r="D61" s="15">
        <f>D58-C58</f>
        <v>-30.000000000000004</v>
      </c>
      <c r="E61" s="15">
        <f>E58-D58</f>
        <v>-8.7</v>
      </c>
      <c r="F61" s="15">
        <f>F58-E58</f>
        <v>-6.699999999999999</v>
      </c>
      <c r="G61" s="15"/>
      <c r="H61" s="49">
        <f>H58-F58</f>
        <v>18.4065681995</v>
      </c>
    </row>
    <row r="62">
      <c r="B62" s="1" t="s">
        <v>145</v>
      </c>
      <c r="C62" s="34">
        <v>0</v>
      </c>
      <c r="D62" s="34">
        <v>0</v>
      </c>
      <c r="E62" s="34">
        <v>0</v>
      </c>
      <c r="F62" s="34">
        <v>4</v>
      </c>
      <c r="G62" s="34">
        <v>4</v>
      </c>
      <c r="H62" s="68">
        <v>0</v>
      </c>
    </row>
    <row r="63">
      <c r="B63" s="1" t="s">
        <v>146</v>
      </c>
      <c r="C63" s="15">
        <f>C58-C62</f>
        <v>57.2</v>
      </c>
      <c r="D63" s="15">
        <f>D58-D62</f>
        <v>27.2</v>
      </c>
      <c r="E63" s="15">
        <f>E58-E62</f>
        <v>18.5</v>
      </c>
      <c r="F63" s="15">
        <f>F58-F62</f>
        <v>7.800000000000001</v>
      </c>
      <c r="G63" s="15">
        <f>G58-G62</f>
        <v>110.7</v>
      </c>
      <c r="H63" s="49">
        <f>H58-H62</f>
        <v>30.2065681995</v>
      </c>
    </row>
    <row r="64">
      <c r="B64" s="20" t="s">
        <v>147</v>
      </c>
      <c r="C64" s="11">
        <f>C63/(C33-C39)</f>
        <v>0.09953018966417261</v>
      </c>
      <c r="D64" s="11">
        <f>D63/(D33-D39)</f>
        <v>0.049580751002551944</v>
      </c>
      <c r="E64" s="11">
        <f>E63/(E33-E39)</f>
        <v>0.03491883729709325</v>
      </c>
      <c r="F64" s="11">
        <f>F63/(F33-F39)</f>
        <v>0.014908256880733948</v>
      </c>
      <c r="G64" s="11">
        <f>G63/(G33-G39)</f>
        <v>0.0508638117993016</v>
      </c>
      <c r="H64" s="31">
        <f>H63/(H33-H39)</f>
        <v>0.055</v>
      </c>
    </row>
    <row r="65">
      <c r="B65" s="1" t="s">
        <v>157</v>
      </c>
      <c r="C65" s="15" t="s">
        <v>44</v>
      </c>
      <c r="D65" s="15" t="s">
        <v>44</v>
      </c>
      <c r="E65" s="34">
        <v>32.5</v>
      </c>
      <c r="F65" s="15" t="s">
        <v>44</v>
      </c>
      <c r="G65" s="15" t="s">
        <v>44</v>
      </c>
      <c r="H65" s="49" t="s">
        <v>44</v>
      </c>
      <c r="I65" s="8" t="s">
        <v>158</v>
      </c>
    </row>
    <row r="66">
      <c r="H66" s="35"/>
    </row>
    <row r="67">
      <c r="B67" s="20" t="s">
        <v>148</v>
      </c>
      <c r="C67" s="94" t="b">
        <f>ABS(C32/C11)&lt;0.01</f>
        <v>1</v>
      </c>
      <c r="D67" s="94" t="b">
        <f>ABS(D32/D11)&lt;0.01</f>
        <v>1</v>
      </c>
      <c r="E67" s="94" t="b">
        <f>ABS(E32/E11)&lt;0.01</f>
        <v>1</v>
      </c>
      <c r="F67" s="94" t="b">
        <f>ABS(F32/F11)&lt;0.01</f>
        <v>1</v>
      </c>
      <c r="G67" s="94" t="b">
        <f>ABS(G32/G11)&lt;0.01</f>
        <v>1</v>
      </c>
      <c r="H67" s="91" t="b">
        <f>ABS(H32/H11)&lt;0.01</f>
        <v>1</v>
      </c>
      <c r="I67" s="8" t="s">
        <v>149</v>
      </c>
    </row>
  </sheetData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B1:I160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</cols>
  <sheetData>
    <row r="1">
      <c r="B1" s="23" t="s">
        <v>0</v>
      </c>
    </row>
    <row r="2">
      <c r="B2" s="21" t="s">
        <v>159</v>
      </c>
    </row>
    <row r="3">
      <c r="B3" s="20" t="s">
        <v>2</v>
      </c>
    </row>
    <row r="4">
      <c r="B4" s="17" t="s">
        <v>64</v>
      </c>
      <c r="C4" s="3" t="s">
        <v>65</v>
      </c>
      <c r="D4" s="3" t="s">
        <v>66</v>
      </c>
      <c r="E4" s="3" t="s">
        <v>67</v>
      </c>
      <c r="F4" s="3" t="s">
        <v>68</v>
      </c>
      <c r="G4" s="3" t="s">
        <v>69</v>
      </c>
      <c r="H4" s="30" t="s">
        <v>70</v>
      </c>
      <c r="I4" s="17" t="s">
        <v>71</v>
      </c>
    </row>
    <row r="5">
      <c r="B5" s="14" t="s">
        <v>72</v>
      </c>
      <c r="C5" s="19">
        <v>45893</v>
      </c>
      <c r="D5" s="19">
        <v>45984</v>
      </c>
      <c r="E5" s="19">
        <v>46075</v>
      </c>
      <c r="F5" s="19">
        <v>46173</v>
      </c>
      <c r="G5" s="19">
        <v>46173</v>
      </c>
      <c r="H5" s="16">
        <v>46264</v>
      </c>
      <c r="I5" s="14"/>
    </row>
    <row r="6">
      <c r="B6" s="10" t="s">
        <v>73</v>
      </c>
      <c r="C6" s="5">
        <v>91</v>
      </c>
      <c r="D6" s="5">
        <v>91</v>
      </c>
      <c r="E6" s="5">
        <v>91</v>
      </c>
      <c r="F6" s="5">
        <v>98</v>
      </c>
      <c r="G6" s="5">
        <v>371</v>
      </c>
      <c r="H6" s="26">
        <v>91</v>
      </c>
      <c r="I6" s="10"/>
    </row>
    <row r="8">
      <c r="B8" s="4" t="s">
        <v>160</v>
      </c>
      <c r="H8" s="35"/>
    </row>
    <row r="9">
      <c r="B9" s="4" t="s">
        <v>161</v>
      </c>
      <c r="C9" s="81">
        <f>'Revenue summary'!C11</f>
        <v>1659.3</v>
      </c>
      <c r="D9" s="81">
        <f>'Revenue summary'!D11</f>
        <v>1618.1</v>
      </c>
      <c r="E9" s="81">
        <f>'Revenue summary'!E11</f>
        <v>1564.8</v>
      </c>
      <c r="F9" s="81">
        <f>'Revenue summary'!F11</f>
        <v>1770.1</v>
      </c>
      <c r="G9" s="81">
        <f>'Revenue summary'!G11</f>
        <v>6612.299999999999</v>
      </c>
      <c r="H9" s="87">
        <f>'Revenue summary'!H11</f>
        <v>1649.3201109000001</v>
      </c>
    </row>
    <row r="10">
      <c r="B10" s="20" t="s">
        <v>88</v>
      </c>
      <c r="C10" s="51">
        <f>'Revenue summary'!C20</f>
        <v>0.003143703524575381</v>
      </c>
      <c r="D10" s="51">
        <f>'Revenue summary'!D20</f>
        <v>0.010743956524454923</v>
      </c>
      <c r="E10" s="51">
        <f>'Revenue summary'!E20</f>
        <v>0.029135152910226836</v>
      </c>
      <c r="F10" s="51">
        <f>'Revenue summary'!F20</f>
        <v>0.05627163145960146</v>
      </c>
      <c r="G10" s="51">
        <f>'Revenue summary'!G20</f>
        <v>0.024956210376203325</v>
      </c>
      <c r="H10" s="70">
        <f>'Revenue summary'!H20</f>
        <v>-0.006014517627915272</v>
      </c>
    </row>
    <row r="11">
      <c r="B11" s="1" t="s">
        <v>162</v>
      </c>
      <c r="C11" s="34">
        <v>1316.9</v>
      </c>
      <c r="D11" s="34">
        <v>1293.8</v>
      </c>
      <c r="E11" s="34">
        <v>1233.2</v>
      </c>
      <c r="F11" s="34">
        <v>1408.7</v>
      </c>
      <c r="G11" s="34">
        <v>5252.6</v>
      </c>
      <c r="H11" s="49">
        <f>H9-H12</f>
        <v>1351.1873052805001</v>
      </c>
    </row>
    <row r="12">
      <c r="B12" s="4" t="s">
        <v>163</v>
      </c>
      <c r="C12" s="50">
        <f>C9-C11</f>
        <v>342.39999999999986</v>
      </c>
      <c r="D12" s="50">
        <f>D9-D11</f>
        <v>324.29999999999995</v>
      </c>
      <c r="E12" s="50">
        <f>E9-E11</f>
        <v>331.5999999999999</v>
      </c>
      <c r="F12" s="50">
        <f>F9-F11</f>
        <v>361.39999999999986</v>
      </c>
      <c r="G12" s="50">
        <f>G9-G11</f>
        <v>1359.699999999999</v>
      </c>
      <c r="H12" s="42">
        <f>H100-H104</f>
        <v>298.1328056195</v>
      </c>
    </row>
    <row r="13">
      <c r="B13" s="20" t="s">
        <v>164</v>
      </c>
      <c r="C13" s="11">
        <f>C12/C9</f>
        <v>0.20635207617670095</v>
      </c>
      <c r="D13" s="11">
        <f>D12/D9</f>
        <v>0.20042024596749272</v>
      </c>
      <c r="E13" s="11">
        <f>E12/E9</f>
        <v>0.21191206543967275</v>
      </c>
      <c r="F13" s="11">
        <f>F12/F9</f>
        <v>0.20416925597423868</v>
      </c>
      <c r="G13" s="11">
        <f>G12/G9</f>
        <v>0.20563192837590535</v>
      </c>
      <c r="H13" s="31">
        <f>H12/H9</f>
        <v>0.1807610321666514</v>
      </c>
    </row>
    <row r="14">
      <c r="B14" s="20" t="s">
        <v>93</v>
      </c>
      <c r="C14" s="32" t="s">
        <v>44</v>
      </c>
      <c r="D14" s="32" t="s">
        <v>44</v>
      </c>
      <c r="E14" s="32" t="s">
        <v>44</v>
      </c>
      <c r="F14" s="32" t="s">
        <v>44</v>
      </c>
      <c r="G14" s="32" t="s">
        <v>44</v>
      </c>
      <c r="H14" s="38">
        <f>(H13-C13)*10000</f>
        <v>-255.91044010049552</v>
      </c>
    </row>
    <row r="15">
      <c r="B15" s="20" t="s">
        <v>94</v>
      </c>
      <c r="C15" s="32" t="s">
        <v>44</v>
      </c>
      <c r="D15" s="32">
        <f>(D13-C13)*10000</f>
        <v>-59.318302092082334</v>
      </c>
      <c r="E15" s="32">
        <f>(E13-D13)*10000</f>
        <v>114.91819472180032</v>
      </c>
      <c r="F15" s="32">
        <f>(F13-E13)*10000</f>
        <v>-77.4280946543407</v>
      </c>
      <c r="G15" s="32"/>
      <c r="H15" s="38">
        <f>(H13-F13)*10000</f>
        <v>-234.0822380758728</v>
      </c>
    </row>
    <row r="16">
      <c r="B16" s="1" t="s">
        <v>165</v>
      </c>
      <c r="C16" s="34">
        <v>153.6</v>
      </c>
      <c r="D16" s="34">
        <v>171</v>
      </c>
      <c r="E16" s="34">
        <v>156.8</v>
      </c>
      <c r="F16" s="34">
        <v>183.2</v>
      </c>
      <c r="G16" s="34">
        <v>664.6</v>
      </c>
      <c r="H16" s="49">
        <f>H107+H113</f>
        <v>153</v>
      </c>
    </row>
    <row r="17">
      <c r="B17" s="20" t="s">
        <v>166</v>
      </c>
      <c r="C17" s="11">
        <f>C16/C9</f>
        <v>0.0925691556680528</v>
      </c>
      <c r="D17" s="11">
        <f>D16/D9</f>
        <v>0.10567950064890921</v>
      </c>
      <c r="E17" s="11">
        <f>E16/E9</f>
        <v>0.10020449897750512</v>
      </c>
      <c r="F17" s="11">
        <f>F16/F9</f>
        <v>0.1034969775718886</v>
      </c>
      <c r="G17" s="11">
        <f>G16/G9</f>
        <v>0.10050965624669178</v>
      </c>
      <c r="H17" s="31">
        <f>H16/H9</f>
        <v>0.0927654971214236</v>
      </c>
    </row>
    <row r="18">
      <c r="B18" s="20" t="s">
        <v>93</v>
      </c>
      <c r="C18" s="32" t="s">
        <v>44</v>
      </c>
      <c r="D18" s="32" t="s">
        <v>44</v>
      </c>
      <c r="E18" s="32" t="s">
        <v>44</v>
      </c>
      <c r="F18" s="32" t="s">
        <v>44</v>
      </c>
      <c r="G18" s="32" t="s">
        <v>44</v>
      </c>
      <c r="H18" s="38">
        <f>(H17-C17)*10000</f>
        <v>1.9634145337080189</v>
      </c>
    </row>
    <row r="19">
      <c r="B19" s="20" t="s">
        <v>94</v>
      </c>
      <c r="C19" s="32" t="s">
        <v>44</v>
      </c>
      <c r="D19" s="32">
        <f>(D17-C17)*10000</f>
        <v>131.1034498085642</v>
      </c>
      <c r="E19" s="32">
        <f>(E17-D17)*10000</f>
        <v>-54.750016714040925</v>
      </c>
      <c r="F19" s="32">
        <f>(F17-E17)*10000</f>
        <v>32.92478594383474</v>
      </c>
      <c r="G19" s="32"/>
      <c r="H19" s="38">
        <f>(H17-F17)*10000</f>
        <v>-107.31480450465</v>
      </c>
    </row>
    <row r="20">
      <c r="B20" s="1" t="s">
        <v>167</v>
      </c>
      <c r="C20" s="34">
        <v>32.3</v>
      </c>
      <c r="D20" s="34">
        <v>14.1</v>
      </c>
      <c r="E20" s="34">
        <v>48.2</v>
      </c>
      <c r="F20" s="34">
        <v>9.4</v>
      </c>
      <c r="G20" s="34">
        <v>104</v>
      </c>
      <c r="H20" s="49">
        <f>H59-H104</f>
        <v>30</v>
      </c>
      <c r="I20" s="8" t="s">
        <v>168</v>
      </c>
    </row>
    <row r="21">
      <c r="B21" s="4" t="s">
        <v>169</v>
      </c>
      <c r="C21" s="50">
        <f>C12-C16-C20</f>
        <v>156.4999999999999</v>
      </c>
      <c r="D21" s="50">
        <f>D12-D16-D20</f>
        <v>139.19999999999996</v>
      </c>
      <c r="E21" s="50">
        <f>E12-E16-E20</f>
        <v>126.5999999999999</v>
      </c>
      <c r="F21" s="50">
        <f>F12-F16-F20</f>
        <v>168.79999999999987</v>
      </c>
      <c r="G21" s="50">
        <f>G12-G16-G20</f>
        <v>591.0999999999989</v>
      </c>
      <c r="H21" s="42">
        <f>H12-H16-H20</f>
        <v>115.1328056195</v>
      </c>
    </row>
    <row r="22">
      <c r="B22" s="20" t="s">
        <v>170</v>
      </c>
      <c r="C22" s="11">
        <f>C21/C9</f>
        <v>0.09431688061230632</v>
      </c>
      <c r="D22" s="11">
        <f>D21/D9</f>
        <v>0.08602682158086643</v>
      </c>
      <c r="E22" s="11">
        <f>E21/E9</f>
        <v>0.08090490797546006</v>
      </c>
      <c r="F22" s="11">
        <f>F21/F9</f>
        <v>0.09536184396361781</v>
      </c>
      <c r="G22" s="11">
        <f>G21/G9</f>
        <v>0.08939400813635179</v>
      </c>
      <c r="H22" s="31">
        <f>H21/H9</f>
        <v>0.06980622188416437</v>
      </c>
    </row>
    <row r="23">
      <c r="B23" s="20" t="s">
        <v>93</v>
      </c>
      <c r="C23" s="32" t="s">
        <v>44</v>
      </c>
      <c r="D23" s="32" t="s">
        <v>44</v>
      </c>
      <c r="E23" s="32" t="s">
        <v>44</v>
      </c>
      <c r="F23" s="32" t="s">
        <v>44</v>
      </c>
      <c r="G23" s="32" t="s">
        <v>44</v>
      </c>
      <c r="H23" s="38">
        <f>(H22-C22)*10000</f>
        <v>-245.10658728141954</v>
      </c>
    </row>
    <row r="24">
      <c r="B24" s="20" t="s">
        <v>94</v>
      </c>
      <c r="C24" s="32" t="s">
        <v>44</v>
      </c>
      <c r="D24" s="32">
        <f>(D22-C22)*10000</f>
        <v>-82.90059031439895</v>
      </c>
      <c r="E24" s="32">
        <f>(E22-D22)*10000</f>
        <v>-51.219136054063696</v>
      </c>
      <c r="F24" s="32">
        <f>(F22-E22)*10000</f>
        <v>144.56935988157755</v>
      </c>
      <c r="G24" s="32"/>
      <c r="H24" s="38">
        <f>(H22-F22)*10000</f>
        <v>-255.55622079453443</v>
      </c>
    </row>
    <row r="25">
      <c r="B25" s="1" t="s">
        <v>171</v>
      </c>
      <c r="C25" s="34">
        <v>43.7</v>
      </c>
      <c r="D25" s="34">
        <v>44.3</v>
      </c>
      <c r="E25" s="34">
        <v>45</v>
      </c>
      <c r="F25" s="34">
        <v>47.5</v>
      </c>
      <c r="G25" s="34">
        <v>180.5</v>
      </c>
      <c r="H25" s="68">
        <v>47</v>
      </c>
      <c r="I25" s="8" t="s">
        <v>172</v>
      </c>
    </row>
    <row r="26">
      <c r="B26" s="1" t="s">
        <v>123</v>
      </c>
      <c r="C26" s="15" t="s">
        <v>44</v>
      </c>
      <c r="D26" s="15" t="s">
        <v>44</v>
      </c>
      <c r="E26" s="15" t="s">
        <v>44</v>
      </c>
      <c r="F26" s="15" t="s">
        <v>44</v>
      </c>
      <c r="G26" s="15" t="s">
        <v>44</v>
      </c>
      <c r="H26" s="49">
        <f>H25-C25</f>
        <v>3.299999999999997</v>
      </c>
    </row>
    <row r="27">
      <c r="B27" s="1" t="s">
        <v>124</v>
      </c>
      <c r="C27" s="15" t="s">
        <v>44</v>
      </c>
      <c r="D27" s="15">
        <f>D25-C25</f>
        <v>0.5999999999999943</v>
      </c>
      <c r="E27" s="15">
        <f>E25-D25</f>
        <v>0.7000000000000028</v>
      </c>
      <c r="F27" s="15">
        <f>F25-E25</f>
        <v>2.5</v>
      </c>
      <c r="G27" s="15"/>
      <c r="H27" s="49">
        <f>H25-F25</f>
        <v>-0.5</v>
      </c>
    </row>
    <row r="28">
      <c r="B28" s="4" t="s">
        <v>173</v>
      </c>
      <c r="C28" s="50">
        <f>C21-C25</f>
        <v>112.79999999999988</v>
      </c>
      <c r="D28" s="50">
        <f>D21-D25</f>
        <v>94.89999999999996</v>
      </c>
      <c r="E28" s="50">
        <f>E21-E25</f>
        <v>81.5999999999999</v>
      </c>
      <c r="F28" s="50">
        <f>F21-F25</f>
        <v>121.29999999999987</v>
      </c>
      <c r="G28" s="50">
        <f>G21-G25</f>
        <v>410.5999999999989</v>
      </c>
      <c r="H28" s="42">
        <f>H21-H25</f>
        <v>68.1328056195</v>
      </c>
    </row>
    <row r="29">
      <c r="B29" s="1" t="s">
        <v>174</v>
      </c>
      <c r="C29" s="34">
        <v>47.9</v>
      </c>
      <c r="D29" s="34">
        <v>36</v>
      </c>
      <c r="E29" s="34">
        <v>30.3</v>
      </c>
      <c r="F29" s="34">
        <v>13.9</v>
      </c>
      <c r="G29" s="34">
        <v>128.1</v>
      </c>
      <c r="H29" s="49">
        <f>H126-H77</f>
        <v>27.357185573460004</v>
      </c>
    </row>
    <row r="30">
      <c r="B30" s="20" t="s">
        <v>175</v>
      </c>
      <c r="C30" s="11">
        <f>C29/(C28+C33)</f>
        <v>0.4269162210338685</v>
      </c>
      <c r="D30" s="11">
        <f>D29/(D28+D33)</f>
        <v>0.3669724770642203</v>
      </c>
      <c r="E30" s="11">
        <f>E29/(E28+E33)</f>
        <v>0.35943060498220686</v>
      </c>
      <c r="F30" s="11">
        <f>F29/(F28+F33)</f>
        <v>0.1125506072874495</v>
      </c>
      <c r="G30" s="11">
        <f>G29/(G28+G33)</f>
        <v>0.3063860320497497</v>
      </c>
      <c r="H30" s="31">
        <f>H29/(H28+H33)</f>
        <v>0.3873155728916331</v>
      </c>
    </row>
    <row r="31">
      <c r="B31" s="20" t="s">
        <v>93</v>
      </c>
      <c r="C31" s="32" t="s">
        <v>44</v>
      </c>
      <c r="D31" s="32" t="s">
        <v>44</v>
      </c>
      <c r="E31" s="32" t="s">
        <v>44</v>
      </c>
      <c r="F31" s="32" t="s">
        <v>44</v>
      </c>
      <c r="G31" s="32" t="s">
        <v>44</v>
      </c>
      <c r="H31" s="38">
        <f>(H30-C30)*10000</f>
        <v>-396.00648142235406</v>
      </c>
    </row>
    <row r="32">
      <c r="B32" s="20" t="s">
        <v>94</v>
      </c>
      <c r="C32" s="32" t="s">
        <v>44</v>
      </c>
      <c r="D32" s="32">
        <f>(D30-C30)*10000</f>
        <v>-599.4374396964819</v>
      </c>
      <c r="E32" s="32">
        <f>(E30-D30)*10000</f>
        <v>-75.41872082013457</v>
      </c>
      <c r="F32" s="32">
        <f>(F30-E30)*10000</f>
        <v>-2468.7999769475737</v>
      </c>
      <c r="G32" s="32"/>
      <c r="H32" s="38">
        <f>(H30-F30)*10000</f>
        <v>2747.6496560418364</v>
      </c>
    </row>
    <row r="33">
      <c r="B33" s="1" t="s">
        <v>176</v>
      </c>
      <c r="C33" s="34">
        <v>-0.6</v>
      </c>
      <c r="D33" s="34">
        <v>3.2</v>
      </c>
      <c r="E33" s="34">
        <v>2.7</v>
      </c>
      <c r="F33" s="34">
        <v>2.2</v>
      </c>
      <c r="G33" s="34">
        <v>7.5</v>
      </c>
      <c r="H33" s="49">
        <f>H122</f>
        <v>2.5</v>
      </c>
    </row>
    <row r="34">
      <c r="B34" s="4" t="s">
        <v>177</v>
      </c>
      <c r="C34" s="50">
        <f>C28-C29+C33</f>
        <v>64.2999999999999</v>
      </c>
      <c r="D34" s="50">
        <f>D28-D29+D33</f>
        <v>62.099999999999966</v>
      </c>
      <c r="E34" s="50">
        <f>E28-E29+E33</f>
        <v>53.9999999999999</v>
      </c>
      <c r="F34" s="50">
        <f>F28-F29+F33</f>
        <v>109.59999999999987</v>
      </c>
      <c r="G34" s="50">
        <f>G28-G29+G33</f>
        <v>289.99999999999886</v>
      </c>
      <c r="H34" s="42">
        <f>H28-H29+H33</f>
        <v>43.275620046040004</v>
      </c>
    </row>
    <row r="35">
      <c r="B35" s="20" t="s">
        <v>178</v>
      </c>
      <c r="C35" s="11">
        <f>C34/C9</f>
        <v>0.03875128066051944</v>
      </c>
      <c r="D35" s="11">
        <f>D34/D9</f>
        <v>0.03837834497249859</v>
      </c>
      <c r="E35" s="11">
        <f>E34/E9</f>
        <v>0.03450920245398767</v>
      </c>
      <c r="F35" s="11">
        <f>F34/F9</f>
        <v>0.061917405796282625</v>
      </c>
      <c r="G35" s="11">
        <f>G34/G9</f>
        <v>0.04385765921086443</v>
      </c>
      <c r="H35" s="31">
        <f>H34/H9</f>
        <v>0.026238460175220555</v>
      </c>
    </row>
    <row r="36">
      <c r="B36" s="20" t="s">
        <v>143</v>
      </c>
      <c r="C36" s="85">
        <f>(C35-C38/'Revenue summary'!C18)*10000</f>
        <v>-382.69455691575365</v>
      </c>
      <c r="D36" s="85">
        <f>(D35-D38/'Revenue summary'!D18)*10000</f>
        <v>609.2816070115123</v>
      </c>
      <c r="E36" s="85">
        <f>(E35-E38/'Revenue summary'!E18)*10000</f>
        <v>-615.118432546608</v>
      </c>
      <c r="F36" s="85">
        <f>(F35-F38/'Revenue summary'!F18)*10000</f>
        <v>-96.30511616296445</v>
      </c>
      <c r="G36" s="85">
        <f>(G35-G38/'Revenue summary'!G18)*10000</f>
        <v>-115.11026170376567</v>
      </c>
      <c r="H36" s="84">
        <f>(H35-H38/'Revenue summary'!H18)*10000</f>
        <v>-125.12820485298882</v>
      </c>
    </row>
    <row r="37">
      <c r="B37" s="20" t="s">
        <v>94</v>
      </c>
      <c r="C37" s="32" t="s">
        <v>44</v>
      </c>
      <c r="D37" s="32">
        <f>(D35-C35)*10000</f>
        <v>-3.729356880208465</v>
      </c>
      <c r="E37" s="32">
        <f>(E35-D35)*10000</f>
        <v>-38.69142518510921</v>
      </c>
      <c r="F37" s="32">
        <f>(F35-E35)*10000</f>
        <v>274.08203342294956</v>
      </c>
      <c r="G37" s="32"/>
      <c r="H37" s="38">
        <f>(H35-F35)*10000</f>
        <v>-356.78945621062064</v>
      </c>
    </row>
    <row r="38">
      <c r="B38" s="1" t="s">
        <v>179</v>
      </c>
      <c r="C38" s="34">
        <v>127.4</v>
      </c>
      <c r="D38" s="34">
        <v>-36.1</v>
      </c>
      <c r="E38" s="34">
        <v>146</v>
      </c>
      <c r="F38" s="34">
        <v>119.9</v>
      </c>
      <c r="G38" s="34">
        <v>357.2</v>
      </c>
      <c r="H38" s="49">
        <f>C34</f>
        <v>64.2999999999999</v>
      </c>
    </row>
    <row r="39">
      <c r="B39" s="20" t="s">
        <v>88</v>
      </c>
      <c r="C39" s="11">
        <f>IF(C38&lt;=0,"n/m",C34/C38-1)</f>
        <v>-0.4952904238618533</v>
      </c>
      <c r="D39" s="11" t="str">
        <f>IF(D38&lt;=0,"n/m",D34/D38-1)</f>
        <v>n/m</v>
      </c>
      <c r="E39" s="11">
        <f>IF(E38&lt;=0,"n/m",E34/E38-1)</f>
        <v>-0.6301369863013706</v>
      </c>
      <c r="F39" s="11">
        <f>IF(F38&lt;=0,"n/m",F34/F38-1)</f>
        <v>-0.08590492076730727</v>
      </c>
      <c r="G39" s="11">
        <f>IF(G38&lt;=0,"n/m",G34/G38-1)</f>
        <v>-0.18812989921612855</v>
      </c>
      <c r="H39" s="31">
        <f>IF(H38&lt;=0,"n/m",H34/H38-1)</f>
        <v>-0.32697324967278274</v>
      </c>
    </row>
    <row r="40">
      <c r="B40" s="20" t="s">
        <v>180</v>
      </c>
      <c r="C40" s="29"/>
      <c r="D40" s="29"/>
      <c r="E40" s="29"/>
      <c r="F40" s="29"/>
      <c r="G40" s="94" t="b">
        <f>ABS(G34-SUM(C34:F34))&lt;0.05</f>
        <v>1</v>
      </c>
      <c r="H40" s="41"/>
    </row>
    <row r="41">
      <c r="H41" s="35"/>
    </row>
    <row r="42">
      <c r="B42" s="4" t="s">
        <v>181</v>
      </c>
      <c r="H42" s="35"/>
    </row>
    <row r="43">
      <c r="B43" s="1" t="s">
        <v>182</v>
      </c>
      <c r="C43" s="6">
        <f>'Share Count'!C9</f>
        <v>139.5</v>
      </c>
      <c r="D43" s="6">
        <f>'Share Count'!D9</f>
        <v>139.4</v>
      </c>
      <c r="E43" s="6">
        <f>'Share Count'!E9</f>
        <v>139</v>
      </c>
      <c r="F43" s="6">
        <f>'Share Count'!F9</f>
        <v>137.7</v>
      </c>
      <c r="G43" s="6">
        <f>'Share Count'!G9</f>
        <v>138.9</v>
      </c>
      <c r="H43" s="40">
        <f>'Share Count'!H9</f>
        <v>137.405441</v>
      </c>
    </row>
    <row r="44">
      <c r="B44" s="1" t="s">
        <v>183</v>
      </c>
      <c r="C44" s="6">
        <f>'Share Count'!C13</f>
        <v>139.8</v>
      </c>
      <c r="D44" s="6">
        <f>'Share Count'!D13</f>
        <v>139.6</v>
      </c>
      <c r="E44" s="6">
        <f>'Share Count'!E13</f>
        <v>139.3</v>
      </c>
      <c r="F44" s="6">
        <f>'Share Count'!F13</f>
        <v>138</v>
      </c>
      <c r="G44" s="6">
        <f>'Share Count'!G13</f>
        <v>139.1</v>
      </c>
      <c r="H44" s="40">
        <f>'Share Count'!H13</f>
        <v>137.705441</v>
      </c>
    </row>
    <row r="45">
      <c r="B45" s="1" t="s">
        <v>184</v>
      </c>
      <c r="C45" s="2">
        <f>C34/C43</f>
        <v>0.4609318996415763</v>
      </c>
      <c r="D45" s="2">
        <f>D34/D43</f>
        <v>0.44548063127690074</v>
      </c>
      <c r="E45" s="2">
        <f>E34/E43</f>
        <v>0.38848920863309283</v>
      </c>
      <c r="F45" s="2">
        <f>F34/F43</f>
        <v>0.79593318809005</v>
      </c>
      <c r="G45" s="2">
        <f>G34/G43</f>
        <v>2.0878329733621226</v>
      </c>
      <c r="H45" s="76">
        <f>H34/H43</f>
        <v>0.3149483727215722</v>
      </c>
    </row>
    <row r="46">
      <c r="B46" s="4" t="s">
        <v>185</v>
      </c>
      <c r="C46" s="83">
        <f>C34/C44</f>
        <v>0.4599427753934184</v>
      </c>
      <c r="D46" s="83">
        <f>D34/D44</f>
        <v>0.4448424068767906</v>
      </c>
      <c r="E46" s="83">
        <f>E34/E44</f>
        <v>0.3876525484565678</v>
      </c>
      <c r="F46" s="83">
        <f>F34/F44</f>
        <v>0.7942028985507237</v>
      </c>
      <c r="G46" s="83">
        <f>G34/G44</f>
        <v>2.0848310567936656</v>
      </c>
      <c r="H46" s="88">
        <f>H34/H44</f>
        <v>0.3142622378010467</v>
      </c>
    </row>
    <row r="47">
      <c r="B47" s="1" t="s">
        <v>186</v>
      </c>
      <c r="C47" s="7">
        <f>Inputs!G102</f>
        <v>0.46</v>
      </c>
      <c r="D47" s="7">
        <f>Inputs!G103</f>
        <v>0.44</v>
      </c>
      <c r="E47" s="7">
        <f>Inputs!G104</f>
        <v>0.39</v>
      </c>
      <c r="F47" s="7">
        <f>Inputs!G105</f>
        <v>0.79</v>
      </c>
      <c r="G47" s="55">
        <v>2.08</v>
      </c>
      <c r="H47" s="76"/>
      <c r="I47" s="8" t="s">
        <v>187</v>
      </c>
    </row>
    <row r="48">
      <c r="B48" s="1" t="s">
        <v>188</v>
      </c>
      <c r="C48" s="55">
        <v>0.88</v>
      </c>
      <c r="D48" s="55">
        <v>-0.25</v>
      </c>
      <c r="E48" s="55">
        <v>1.03</v>
      </c>
      <c r="F48" s="55">
        <v>0.85</v>
      </c>
      <c r="G48" s="55">
        <v>2.5</v>
      </c>
      <c r="H48" s="76">
        <f>C46</f>
        <v>0.4599427753934184</v>
      </c>
    </row>
    <row r="49">
      <c r="B49" s="20" t="s">
        <v>88</v>
      </c>
      <c r="C49" s="11">
        <f>IF(C48&lt;=0,"n/m",C46/C48-1)</f>
        <v>-0.47733775523475186</v>
      </c>
      <c r="D49" s="11" t="str">
        <f>IF(D48&lt;=0,"n/m",D46/D48-1)</f>
        <v>n/m</v>
      </c>
      <c r="E49" s="11">
        <f>IF(E48&lt;=0,"n/m",E46/E48-1)</f>
        <v>-0.6236383024693517</v>
      </c>
      <c r="F49" s="11">
        <f>IF(F48&lt;=0,"n/m",F46/F48-1)</f>
        <v>-0.06564364876385442</v>
      </c>
      <c r="G49" s="11">
        <f>IF(G48&lt;=0,"n/m",G46/G48-1)</f>
        <v>-0.16606757728253374</v>
      </c>
      <c r="H49" s="31">
        <f>IF(H48&lt;=0,"n/m",H46/H48-1)</f>
        <v>-0.31673622325682116</v>
      </c>
    </row>
    <row r="50">
      <c r="B50" s="20" t="s">
        <v>189</v>
      </c>
      <c r="C50" s="94" t="b">
        <f>ABS(C46-C47)&lt;0.006</f>
        <v>1</v>
      </c>
      <c r="D50" s="94" t="b">
        <f>ABS(D46-D47)&lt;0.006</f>
        <v>1</v>
      </c>
      <c r="E50" s="94" t="b">
        <f>ABS(E46-E47)&lt;0.006</f>
        <v>1</v>
      </c>
      <c r="F50" s="94" t="b">
        <f>ABS(F46-F47)&lt;0.006</f>
        <v>1</v>
      </c>
      <c r="G50" s="94" t="b">
        <f>ABS(G46-G47)&lt;0.006</f>
        <v>1</v>
      </c>
      <c r="H50" s="41" t="b">
        <f>ABS(H46-H34/H44)&lt;0.000001</f>
        <v>1</v>
      </c>
      <c r="I50" s="8" t="s">
        <v>190</v>
      </c>
    </row>
    <row r="51">
      <c r="H51" s="35"/>
    </row>
    <row r="52">
      <c r="B52" s="4" t="s">
        <v>191</v>
      </c>
      <c r="H52" s="35"/>
    </row>
    <row r="53">
      <c r="B53" s="1" t="s">
        <v>192</v>
      </c>
      <c r="C53" s="34">
        <v>-4.9</v>
      </c>
      <c r="D53" s="34">
        <v>12.1</v>
      </c>
      <c r="E53" s="34">
        <v>-11</v>
      </c>
      <c r="F53" s="34">
        <v>-16.3</v>
      </c>
      <c r="G53" s="34">
        <v>-20.1</v>
      </c>
      <c r="H53" s="68">
        <v>0</v>
      </c>
      <c r="I53" s="8" t="s">
        <v>193</v>
      </c>
    </row>
    <row r="54">
      <c r="B54" s="1" t="s">
        <v>194</v>
      </c>
      <c r="C54" s="34">
        <v>-4.7</v>
      </c>
      <c r="D54" s="34">
        <v>6.8</v>
      </c>
      <c r="E54" s="34">
        <v>-11.5</v>
      </c>
      <c r="F54" s="34">
        <v>1.2</v>
      </c>
      <c r="G54" s="34">
        <v>-8.2</v>
      </c>
      <c r="H54" s="68">
        <v>0</v>
      </c>
      <c r="I54" s="8" t="s">
        <v>195</v>
      </c>
    </row>
    <row r="55">
      <c r="B55" s="1" t="s">
        <v>196</v>
      </c>
      <c r="C55" s="34">
        <v>0</v>
      </c>
      <c r="D55" s="34">
        <v>0</v>
      </c>
      <c r="E55" s="34">
        <v>0</v>
      </c>
      <c r="F55" s="34">
        <v>0</v>
      </c>
      <c r="G55" s="34">
        <v>0</v>
      </c>
      <c r="H55" s="68">
        <v>0</v>
      </c>
      <c r="I55" s="8" t="s">
        <v>197</v>
      </c>
    </row>
    <row r="56">
      <c r="B56" s="1" t="s">
        <v>198</v>
      </c>
      <c r="C56" s="34">
        <v>10.6</v>
      </c>
      <c r="D56" s="34">
        <v>9.5</v>
      </c>
      <c r="E56" s="34">
        <v>10.5</v>
      </c>
      <c r="F56" s="34">
        <v>15.6</v>
      </c>
      <c r="G56" s="34">
        <v>46.2</v>
      </c>
      <c r="H56" s="68">
        <v>11</v>
      </c>
      <c r="I56" s="8" t="s">
        <v>199</v>
      </c>
    </row>
    <row r="57">
      <c r="B57" s="1" t="s">
        <v>123</v>
      </c>
      <c r="C57" s="15" t="s">
        <v>44</v>
      </c>
      <c r="D57" s="15" t="s">
        <v>44</v>
      </c>
      <c r="E57" s="15" t="s">
        <v>44</v>
      </c>
      <c r="F57" s="15" t="s">
        <v>44</v>
      </c>
      <c r="G57" s="15" t="s">
        <v>44</v>
      </c>
      <c r="H57" s="49">
        <f>H56-C56</f>
        <v>0.40000000000000036</v>
      </c>
    </row>
    <row r="58">
      <c r="B58" s="1" t="s">
        <v>124</v>
      </c>
      <c r="C58" s="15" t="s">
        <v>44</v>
      </c>
      <c r="D58" s="15">
        <f>D56-C56</f>
        <v>-1.0999999999999996</v>
      </c>
      <c r="E58" s="15">
        <f>E56-D56</f>
        <v>1</v>
      </c>
      <c r="F58" s="15">
        <f>F56-E56</f>
        <v>5.1</v>
      </c>
      <c r="G58" s="15"/>
      <c r="H58" s="49">
        <f>H56-F56</f>
        <v>-4.6</v>
      </c>
    </row>
    <row r="59">
      <c r="B59" s="1" t="s">
        <v>200</v>
      </c>
      <c r="C59" s="34">
        <v>31.9</v>
      </c>
      <c r="D59" s="34">
        <v>14.1</v>
      </c>
      <c r="E59" s="34">
        <v>55.5</v>
      </c>
      <c r="F59" s="34">
        <v>10.1</v>
      </c>
      <c r="G59" s="34">
        <v>111.6</v>
      </c>
      <c r="H59" s="68">
        <v>35</v>
      </c>
      <c r="I59" s="8" t="s">
        <v>201</v>
      </c>
    </row>
    <row r="60">
      <c r="B60" s="1" t="s">
        <v>123</v>
      </c>
      <c r="C60" s="15" t="s">
        <v>44</v>
      </c>
      <c r="D60" s="15" t="s">
        <v>44</v>
      </c>
      <c r="E60" s="15" t="s">
        <v>44</v>
      </c>
      <c r="F60" s="15" t="s">
        <v>44</v>
      </c>
      <c r="G60" s="15" t="s">
        <v>44</v>
      </c>
      <c r="H60" s="49">
        <f>H59-C59</f>
        <v>3.1000000000000014</v>
      </c>
    </row>
    <row r="61">
      <c r="B61" s="1" t="s">
        <v>124</v>
      </c>
      <c r="C61" s="15" t="s">
        <v>44</v>
      </c>
      <c r="D61" s="15">
        <f>D59-C59</f>
        <v>-17.799999999999997</v>
      </c>
      <c r="E61" s="15">
        <f>E59-D59</f>
        <v>41.4</v>
      </c>
      <c r="F61" s="15">
        <f>F59-E59</f>
        <v>-45.4</v>
      </c>
      <c r="G61" s="15"/>
      <c r="H61" s="49">
        <f>H59-F59</f>
        <v>24.9</v>
      </c>
    </row>
    <row r="62">
      <c r="B62" s="1" t="s">
        <v>202</v>
      </c>
      <c r="C62" s="34">
        <v>4</v>
      </c>
      <c r="D62" s="34">
        <v>0</v>
      </c>
      <c r="E62" s="34">
        <v>0</v>
      </c>
      <c r="F62" s="34">
        <v>0</v>
      </c>
      <c r="G62" s="34">
        <v>4</v>
      </c>
      <c r="H62" s="68">
        <v>0</v>
      </c>
      <c r="I62" s="8" t="s">
        <v>203</v>
      </c>
    </row>
    <row r="63">
      <c r="B63" s="1" t="s">
        <v>204</v>
      </c>
      <c r="C63" s="34">
        <v>13.1</v>
      </c>
      <c r="D63" s="34">
        <v>1.1</v>
      </c>
      <c r="E63" s="34">
        <v>0</v>
      </c>
      <c r="F63" s="34">
        <v>0</v>
      </c>
      <c r="G63" s="34">
        <v>14.2</v>
      </c>
      <c r="H63" s="68">
        <v>0</v>
      </c>
      <c r="I63" s="8" t="s">
        <v>205</v>
      </c>
    </row>
    <row r="64">
      <c r="B64" s="4" t="s">
        <v>206</v>
      </c>
      <c r="C64" s="50">
        <f>C53+C54+C55+C56+C59+C62+C63</f>
        <v>50</v>
      </c>
      <c r="D64" s="50">
        <f>D53+D54+D55+D56+D59+D62+D63</f>
        <v>43.6</v>
      </c>
      <c r="E64" s="50">
        <f>E53+E54+E55+E56+E59+E62+E63</f>
        <v>43.5</v>
      </c>
      <c r="F64" s="50">
        <f>F53+F54+F55+F56+F59+F62+F63</f>
        <v>10.599999999999998</v>
      </c>
      <c r="G64" s="50">
        <f>G53+G54+G55+G56+G59+G62+G63</f>
        <v>147.7</v>
      </c>
      <c r="H64" s="42">
        <f>H53+H54+H55+H56+H59+H62+H63</f>
        <v>46</v>
      </c>
    </row>
    <row r="65">
      <c r="B65" s="4" t="s">
        <v>207</v>
      </c>
      <c r="H65" s="35"/>
    </row>
    <row r="66">
      <c r="B66" s="1" t="s">
        <v>192</v>
      </c>
      <c r="C66" s="34">
        <v>-1.1</v>
      </c>
      <c r="D66" s="34">
        <v>3</v>
      </c>
      <c r="E66" s="34">
        <v>-2.7</v>
      </c>
      <c r="F66" s="34">
        <v>-4.1</v>
      </c>
      <c r="G66" s="34">
        <v>-4.9</v>
      </c>
      <c r="H66" s="68">
        <v>0</v>
      </c>
    </row>
    <row r="67">
      <c r="B67" s="1" t="s">
        <v>194</v>
      </c>
      <c r="C67" s="34">
        <v>-0.8</v>
      </c>
      <c r="D67" s="34">
        <v>0.9</v>
      </c>
      <c r="E67" s="34">
        <v>-2.9</v>
      </c>
      <c r="F67" s="34">
        <v>0.3</v>
      </c>
      <c r="G67" s="34">
        <v>-2.5</v>
      </c>
      <c r="H67" s="68">
        <v>0</v>
      </c>
    </row>
    <row r="68">
      <c r="B68" s="1" t="s">
        <v>196</v>
      </c>
      <c r="C68" s="34">
        <v>0</v>
      </c>
      <c r="D68" s="34">
        <v>0</v>
      </c>
      <c r="E68" s="34">
        <v>0</v>
      </c>
      <c r="F68" s="34">
        <v>0</v>
      </c>
      <c r="G68" s="34">
        <v>0</v>
      </c>
      <c r="H68" s="68">
        <v>0</v>
      </c>
    </row>
    <row r="69">
      <c r="B69" s="1" t="s">
        <v>198</v>
      </c>
      <c r="C69" s="34">
        <v>1.6</v>
      </c>
      <c r="D69" s="34">
        <v>1.6</v>
      </c>
      <c r="E69" s="34">
        <v>1.8</v>
      </c>
      <c r="F69" s="34">
        <v>2.7</v>
      </c>
      <c r="G69" s="34">
        <v>7.7</v>
      </c>
      <c r="H69" s="68">
        <v>1.8</v>
      </c>
    </row>
    <row r="70">
      <c r="B70" s="1" t="s">
        <v>123</v>
      </c>
      <c r="C70" s="15" t="s">
        <v>44</v>
      </c>
      <c r="D70" s="15" t="s">
        <v>44</v>
      </c>
      <c r="E70" s="15" t="s">
        <v>44</v>
      </c>
      <c r="F70" s="15" t="s">
        <v>44</v>
      </c>
      <c r="G70" s="15" t="s">
        <v>44</v>
      </c>
      <c r="H70" s="49">
        <f>H69-C69</f>
        <v>0.19999999999999996</v>
      </c>
    </row>
    <row r="71">
      <c r="B71" s="1" t="s">
        <v>124</v>
      </c>
      <c r="C71" s="15" t="s">
        <v>44</v>
      </c>
      <c r="D71" s="15">
        <f>D69-C69</f>
        <v>0</v>
      </c>
      <c r="E71" s="15">
        <f>E69-D69</f>
        <v>0.19999999999999996</v>
      </c>
      <c r="F71" s="15">
        <f>F69-E69</f>
        <v>0.9000000000000001</v>
      </c>
      <c r="G71" s="15"/>
      <c r="H71" s="49">
        <f>H69-F69</f>
        <v>-0.9000000000000001</v>
      </c>
    </row>
    <row r="72">
      <c r="B72" s="1" t="s">
        <v>200</v>
      </c>
      <c r="C72" s="34">
        <v>7.7</v>
      </c>
      <c r="D72" s="34">
        <v>3.3</v>
      </c>
      <c r="E72" s="34">
        <v>1.3</v>
      </c>
      <c r="F72" s="34">
        <v>1.2</v>
      </c>
      <c r="G72" s="34">
        <v>13.5</v>
      </c>
      <c r="H72" s="68">
        <v>3.5</v>
      </c>
    </row>
    <row r="73">
      <c r="B73" s="1" t="s">
        <v>123</v>
      </c>
      <c r="C73" s="15" t="s">
        <v>44</v>
      </c>
      <c r="D73" s="15" t="s">
        <v>44</v>
      </c>
      <c r="E73" s="15" t="s">
        <v>44</v>
      </c>
      <c r="F73" s="15" t="s">
        <v>44</v>
      </c>
      <c r="G73" s="15" t="s">
        <v>44</v>
      </c>
      <c r="H73" s="49">
        <f>H72-C72</f>
        <v>-4.2</v>
      </c>
    </row>
    <row r="74">
      <c r="B74" s="1" t="s">
        <v>124</v>
      </c>
      <c r="C74" s="15" t="s">
        <v>44</v>
      </c>
      <c r="D74" s="15">
        <f>D72-C72</f>
        <v>-4.4</v>
      </c>
      <c r="E74" s="15">
        <f>E72-D72</f>
        <v>-1.9999999999999998</v>
      </c>
      <c r="F74" s="15">
        <f>F72-E72</f>
        <v>-0.10000000000000009</v>
      </c>
      <c r="G74" s="15"/>
      <c r="H74" s="49">
        <f>H72-F72</f>
        <v>2.3</v>
      </c>
    </row>
    <row r="75">
      <c r="B75" s="1" t="s">
        <v>202</v>
      </c>
      <c r="C75" s="34">
        <v>0.9</v>
      </c>
      <c r="D75" s="34">
        <v>0</v>
      </c>
      <c r="E75" s="34">
        <v>0</v>
      </c>
      <c r="F75" s="34">
        <v>0</v>
      </c>
      <c r="G75" s="34">
        <v>0.9</v>
      </c>
      <c r="H75" s="68">
        <v>0</v>
      </c>
    </row>
    <row r="76">
      <c r="B76" s="1" t="s">
        <v>204</v>
      </c>
      <c r="C76" s="34">
        <v>3</v>
      </c>
      <c r="D76" s="34">
        <v>0.2</v>
      </c>
      <c r="E76" s="34">
        <v>0</v>
      </c>
      <c r="F76" s="34">
        <v>0</v>
      </c>
      <c r="G76" s="34">
        <v>3.2</v>
      </c>
      <c r="H76" s="68">
        <v>0</v>
      </c>
    </row>
    <row r="77">
      <c r="B77" s="4" t="s">
        <v>208</v>
      </c>
      <c r="C77" s="50">
        <f>C66+C67+C68+C69+C72+C75+C76</f>
        <v>11.3</v>
      </c>
      <c r="D77" s="50">
        <f>D66+D67+D68+D69+D72+D75+D76</f>
        <v>9</v>
      </c>
      <c r="E77" s="50">
        <f>E66+E67+E68+E69+E72+E75+E76</f>
        <v>-2.5</v>
      </c>
      <c r="F77" s="50">
        <f>F66+F67+F68+F69+F72+F75+F76</f>
        <v>0.10000000000000031</v>
      </c>
      <c r="G77" s="50">
        <f>G66+G67+G68+G69+G72+G75+G76</f>
        <v>17.900000000000002</v>
      </c>
      <c r="H77" s="42">
        <f>H66+H67+H68+H69+H72+H75+H76</f>
        <v>5.3</v>
      </c>
    </row>
    <row r="78">
      <c r="B78" s="4" t="s">
        <v>209</v>
      </c>
      <c r="H78" s="35"/>
    </row>
    <row r="79">
      <c r="B79" s="1" t="s">
        <v>192</v>
      </c>
      <c r="C79" s="15">
        <f>C53-C66</f>
        <v>-3.8000000000000003</v>
      </c>
      <c r="D79" s="15">
        <f>D53-D66</f>
        <v>9.1</v>
      </c>
      <c r="E79" s="15">
        <f>E53-E66</f>
        <v>-8.3</v>
      </c>
      <c r="F79" s="15">
        <f>F53-F66</f>
        <v>-12.200000000000001</v>
      </c>
      <c r="G79" s="15">
        <f>G53-G66</f>
        <v>-15.200000000000001</v>
      </c>
      <c r="H79" s="49">
        <f>H53-H66</f>
        <v>0</v>
      </c>
    </row>
    <row r="80">
      <c r="B80" s="1" t="s">
        <v>194</v>
      </c>
      <c r="C80" s="15">
        <f>C54-C67</f>
        <v>-3.9000000000000004</v>
      </c>
      <c r="D80" s="15">
        <f>D54-D67</f>
        <v>5.8999999999999995</v>
      </c>
      <c r="E80" s="15">
        <f>E54-E67</f>
        <v>-8.6</v>
      </c>
      <c r="F80" s="15">
        <f>F54-F67</f>
        <v>0.8999999999999999</v>
      </c>
      <c r="G80" s="15">
        <f>G54-G67</f>
        <v>-5.699999999999999</v>
      </c>
      <c r="H80" s="49">
        <f>H54-H67</f>
        <v>0</v>
      </c>
    </row>
    <row r="81">
      <c r="B81" s="1" t="s">
        <v>196</v>
      </c>
      <c r="C81" s="15">
        <f>C55-C68</f>
        <v>0</v>
      </c>
      <c r="D81" s="15">
        <f>D55-D68</f>
        <v>0</v>
      </c>
      <c r="E81" s="15">
        <f>E55-E68</f>
        <v>0</v>
      </c>
      <c r="F81" s="15">
        <f>F55-F68</f>
        <v>0</v>
      </c>
      <c r="G81" s="15">
        <f>G55-G68</f>
        <v>0</v>
      </c>
      <c r="H81" s="49">
        <f>H55-H68</f>
        <v>0</v>
      </c>
    </row>
    <row r="82">
      <c r="B82" s="1" t="s">
        <v>198</v>
      </c>
      <c r="C82" s="15">
        <f>C56-C69</f>
        <v>9</v>
      </c>
      <c r="D82" s="15">
        <f>D56-D69</f>
        <v>7.9</v>
      </c>
      <c r="E82" s="15">
        <f>E56-E69</f>
        <v>8.7</v>
      </c>
      <c r="F82" s="15">
        <f>F56-F69</f>
        <v>12.899999999999999</v>
      </c>
      <c r="G82" s="15">
        <f>G56-G69</f>
        <v>38.5</v>
      </c>
      <c r="H82" s="49">
        <f>H56-H69</f>
        <v>9.2</v>
      </c>
    </row>
    <row r="83">
      <c r="B83" s="1" t="s">
        <v>200</v>
      </c>
      <c r="C83" s="15">
        <f>C59-C72</f>
        <v>24.2</v>
      </c>
      <c r="D83" s="15">
        <f>D59-D72</f>
        <v>10.8</v>
      </c>
      <c r="E83" s="15">
        <f>E59-E72</f>
        <v>54.2</v>
      </c>
      <c r="F83" s="15">
        <f>F59-F72</f>
        <v>8.9</v>
      </c>
      <c r="G83" s="15">
        <f>G59-G72</f>
        <v>98.1</v>
      </c>
      <c r="H83" s="49">
        <f>H59-H72</f>
        <v>31.5</v>
      </c>
    </row>
    <row r="84">
      <c r="B84" s="1" t="s">
        <v>202</v>
      </c>
      <c r="C84" s="15">
        <f>C62-C75</f>
        <v>3.1</v>
      </c>
      <c r="D84" s="15">
        <f>D62-D75</f>
        <v>0</v>
      </c>
      <c r="E84" s="15">
        <f>E62-E75</f>
        <v>0</v>
      </c>
      <c r="F84" s="15">
        <f>F62-F75</f>
        <v>0</v>
      </c>
      <c r="G84" s="15">
        <f>G62-G75</f>
        <v>3.1</v>
      </c>
      <c r="H84" s="49">
        <f>H62-H75</f>
        <v>0</v>
      </c>
    </row>
    <row r="85">
      <c r="B85" s="1" t="s">
        <v>204</v>
      </c>
      <c r="C85" s="15">
        <f>C63-C76</f>
        <v>10.1</v>
      </c>
      <c r="D85" s="15">
        <f>D63-D76</f>
        <v>0.9000000000000001</v>
      </c>
      <c r="E85" s="15">
        <f>E63-E76</f>
        <v>0</v>
      </c>
      <c r="F85" s="15">
        <f>F63-F76</f>
        <v>0</v>
      </c>
      <c r="G85" s="15">
        <f>G63-G76</f>
        <v>11</v>
      </c>
      <c r="H85" s="49">
        <f>H63-H76</f>
        <v>0</v>
      </c>
    </row>
    <row r="86">
      <c r="B86" s="4" t="s">
        <v>210</v>
      </c>
      <c r="C86" s="50">
        <f>SUM(C79:C85)</f>
        <v>38.699999999999996</v>
      </c>
      <c r="D86" s="50">
        <f>SUM(D79:D85)</f>
        <v>34.6</v>
      </c>
      <c r="E86" s="50">
        <f>SUM(E79:E85)</f>
        <v>46</v>
      </c>
      <c r="F86" s="50">
        <f>SUM(F79:F85)</f>
        <v>10.499999999999998</v>
      </c>
      <c r="G86" s="50">
        <f>SUM(G79:G85)</f>
        <v>129.79999999999998</v>
      </c>
      <c r="H86" s="42">
        <f>SUM(H79:H85)</f>
        <v>40.7</v>
      </c>
    </row>
    <row r="87">
      <c r="B87" s="4" t="s">
        <v>211</v>
      </c>
      <c r="C87" s="50">
        <f>C34+C86</f>
        <v>102.99999999999989</v>
      </c>
      <c r="D87" s="50">
        <f>D34+D86</f>
        <v>96.69999999999996</v>
      </c>
      <c r="E87" s="50">
        <f>E34+E86</f>
        <v>99.9999999999999</v>
      </c>
      <c r="F87" s="50">
        <f>F34+F86</f>
        <v>120.09999999999987</v>
      </c>
      <c r="G87" s="50">
        <f>G34+G86</f>
        <v>419.7999999999988</v>
      </c>
      <c r="H87" s="42">
        <f>H34+H86</f>
        <v>83.97562004604</v>
      </c>
    </row>
    <row r="88">
      <c r="B88" s="4" t="s">
        <v>212</v>
      </c>
      <c r="H88" s="35"/>
    </row>
    <row r="89">
      <c r="B89" s="1" t="s">
        <v>192</v>
      </c>
      <c r="C89" s="2">
        <f>C79/C44</f>
        <v>-0.027181688125894134</v>
      </c>
      <c r="D89" s="2">
        <f>D79/D44</f>
        <v>0.0651862464183381</v>
      </c>
      <c r="E89" s="2">
        <f>E79/E44</f>
        <v>-0.05958363244795405</v>
      </c>
      <c r="F89" s="2">
        <f>F79/F44</f>
        <v>-0.08840579710144929</v>
      </c>
      <c r="G89" s="2">
        <f>G79/G44</f>
        <v>-0.10927390366642704</v>
      </c>
      <c r="H89" s="76">
        <f>H79/H44</f>
        <v>0</v>
      </c>
    </row>
    <row r="90">
      <c r="B90" s="1" t="s">
        <v>194</v>
      </c>
      <c r="C90" s="2">
        <f>C80/C44</f>
        <v>-0.027896995708154508</v>
      </c>
      <c r="D90" s="2">
        <f>D80/D44</f>
        <v>0.042263610315186245</v>
      </c>
      <c r="E90" s="2">
        <f>E80/E44</f>
        <v>-0.061737257717157205</v>
      </c>
      <c r="F90" s="2">
        <f>F80/F44</f>
        <v>0.006521739130434782</v>
      </c>
      <c r="G90" s="2">
        <f>G80/G44</f>
        <v>-0.040977713874910136</v>
      </c>
      <c r="H90" s="76">
        <f>H80/H44</f>
        <v>0</v>
      </c>
    </row>
    <row r="91">
      <c r="B91" s="1" t="s">
        <v>196</v>
      </c>
      <c r="C91" s="2">
        <f>C81/C44</f>
        <v>0</v>
      </c>
      <c r="D91" s="2">
        <f>D81/D44</f>
        <v>0</v>
      </c>
      <c r="E91" s="2">
        <f>E81/E44</f>
        <v>0</v>
      </c>
      <c r="F91" s="2">
        <f>F81/F44</f>
        <v>0</v>
      </c>
      <c r="G91" s="2">
        <f>G81/G44</f>
        <v>0</v>
      </c>
      <c r="H91" s="76">
        <f>H81/H44</f>
        <v>0</v>
      </c>
    </row>
    <row r="92">
      <c r="B92" s="1" t="s">
        <v>198</v>
      </c>
      <c r="C92" s="2">
        <f>C82/C44</f>
        <v>0.06437768240343347</v>
      </c>
      <c r="D92" s="2">
        <f>D82/D44</f>
        <v>0.056590257879656165</v>
      </c>
      <c r="E92" s="2">
        <f>E82/E44</f>
        <v>0.06245513280689159</v>
      </c>
      <c r="F92" s="2">
        <f>F82/F44</f>
        <v>0.0934782608695652</v>
      </c>
      <c r="G92" s="2">
        <f>G82/G44</f>
        <v>0.27677929547088426</v>
      </c>
      <c r="H92" s="76">
        <f>H82/H44</f>
        <v>0.06680927008541368</v>
      </c>
    </row>
    <row r="93">
      <c r="B93" s="1" t="s">
        <v>200</v>
      </c>
      <c r="C93" s="2">
        <f>C83/C44</f>
        <v>0.17310443490701</v>
      </c>
      <c r="D93" s="2">
        <f>D83/D44</f>
        <v>0.07736389684813755</v>
      </c>
      <c r="E93" s="2">
        <f>E83/E44</f>
        <v>0.38908829863603733</v>
      </c>
      <c r="F93" s="2">
        <f>F83/F44</f>
        <v>0.0644927536231884</v>
      </c>
      <c r="G93" s="2">
        <f>G83/G44</f>
        <v>0.7052480230050323</v>
      </c>
      <c r="H93" s="76">
        <f>H83/H44</f>
        <v>0.22874913127070992</v>
      </c>
    </row>
    <row r="94">
      <c r="B94" s="1" t="s">
        <v>202</v>
      </c>
      <c r="C94" s="2">
        <f>C84/C44</f>
        <v>0.02217453505007153</v>
      </c>
      <c r="D94" s="2">
        <f>D84/D44</f>
        <v>0</v>
      </c>
      <c r="E94" s="2">
        <f>E84/E44</f>
        <v>0</v>
      </c>
      <c r="F94" s="2">
        <f>F84/F44</f>
        <v>0</v>
      </c>
      <c r="G94" s="2">
        <f>G84/G44</f>
        <v>0.02228612508986341</v>
      </c>
      <c r="H94" s="76">
        <f>H84/H44</f>
        <v>0</v>
      </c>
    </row>
    <row r="95">
      <c r="B95" s="1" t="s">
        <v>204</v>
      </c>
      <c r="C95" s="2">
        <f>C85/C44</f>
        <v>0.07224606580829757</v>
      </c>
      <c r="D95" s="2">
        <f>D85/D44</f>
        <v>0.006446991404011462</v>
      </c>
      <c r="E95" s="2">
        <f>E85/E44</f>
        <v>0</v>
      </c>
      <c r="F95" s="2">
        <f>F85/F44</f>
        <v>0</v>
      </c>
      <c r="G95" s="2">
        <f>G85/G44</f>
        <v>0.07907979870596693</v>
      </c>
      <c r="H95" s="76">
        <f>H85/H44</f>
        <v>0</v>
      </c>
    </row>
    <row r="96">
      <c r="B96" s="4" t="s">
        <v>213</v>
      </c>
      <c r="C96" s="83">
        <f>SUM(C89:C95)</f>
        <v>0.2768240343347639</v>
      </c>
      <c r="D96" s="83">
        <f>SUM(D89:D95)</f>
        <v>0.24785100286532952</v>
      </c>
      <c r="E96" s="83">
        <f>SUM(E89:E95)</f>
        <v>0.3302225412778177</v>
      </c>
      <c r="F96" s="83">
        <f>SUM(F89:F95)</f>
        <v>0.07608695652173911</v>
      </c>
      <c r="G96" s="83">
        <f>SUM(G89:G95)</f>
        <v>0.9331416247304097</v>
      </c>
      <c r="H96" s="88">
        <f>SUM(H89:H95)</f>
        <v>0.2955584013561236</v>
      </c>
    </row>
    <row r="97">
      <c r="B97" s="4" t="s">
        <v>214</v>
      </c>
      <c r="C97" s="83">
        <f>C46+C96</f>
        <v>0.7367668097281823</v>
      </c>
      <c r="D97" s="83">
        <f>D46+D96</f>
        <v>0.6926934097421201</v>
      </c>
      <c r="E97" s="83">
        <f>E46+E96</f>
        <v>0.7178750897343855</v>
      </c>
      <c r="F97" s="83">
        <f>F46+F96</f>
        <v>0.8702898550724628</v>
      </c>
      <c r="G97" s="83">
        <f>G46+G96</f>
        <v>3.0179726815240753</v>
      </c>
      <c r="H97" s="88">
        <f>H46+H96</f>
        <v>0.6098206391571703</v>
      </c>
    </row>
    <row r="98">
      <c r="H98" s="35"/>
    </row>
    <row r="99">
      <c r="B99" s="4" t="s">
        <v>215</v>
      </c>
      <c r="H99" s="35"/>
    </row>
    <row r="100">
      <c r="B100" s="4" t="s">
        <v>216</v>
      </c>
      <c r="C100" s="44">
        <v>338.9</v>
      </c>
      <c r="D100" s="44">
        <v>327.9</v>
      </c>
      <c r="E100" s="44">
        <v>327.5</v>
      </c>
      <c r="F100" s="44">
        <v>342.9</v>
      </c>
      <c r="G100" s="44">
        <v>1337.2</v>
      </c>
      <c r="H100" s="42">
        <f>H116+H107</f>
        <v>303.1328056195</v>
      </c>
    </row>
    <row r="101">
      <c r="B101" s="20" t="s">
        <v>217</v>
      </c>
      <c r="C101" s="11">
        <f>C100/C9</f>
        <v>0.20424275296811908</v>
      </c>
      <c r="D101" s="11">
        <f>D100/D9</f>
        <v>0.20264507756010136</v>
      </c>
      <c r="E101" s="11">
        <f>E100/E9</f>
        <v>0.20929192229038857</v>
      </c>
      <c r="F101" s="11">
        <f>F100/F9</f>
        <v>0.1937178690469465</v>
      </c>
      <c r="G101" s="11">
        <f>G100/G9</f>
        <v>0.20222917895437295</v>
      </c>
      <c r="H101" s="31">
        <f>H100/H9</f>
        <v>0.183792584360162</v>
      </c>
    </row>
    <row r="102">
      <c r="B102" s="20" t="s">
        <v>93</v>
      </c>
      <c r="C102" s="32" t="s">
        <v>44</v>
      </c>
      <c r="D102" s="32" t="s">
        <v>44</v>
      </c>
      <c r="E102" s="32" t="s">
        <v>44</v>
      </c>
      <c r="F102" s="32" t="s">
        <v>44</v>
      </c>
      <c r="G102" s="32" t="s">
        <v>44</v>
      </c>
      <c r="H102" s="38">
        <f>(H101-C101)*10000</f>
        <v>-204.50168607957093</v>
      </c>
    </row>
    <row r="103">
      <c r="B103" s="20" t="s">
        <v>94</v>
      </c>
      <c r="C103" s="32" t="s">
        <v>44</v>
      </c>
      <c r="D103" s="32">
        <f>(D101-C101)*10000</f>
        <v>-15.976754080177235</v>
      </c>
      <c r="E103" s="32">
        <f>(E101-D101)*10000</f>
        <v>66.46844730287205</v>
      </c>
      <c r="F103" s="32">
        <f>(F101-E101)*10000</f>
        <v>-155.74053243442077</v>
      </c>
      <c r="G103" s="32"/>
      <c r="H103" s="38">
        <f>(H101-F101)*10000</f>
        <v>-99.25284686784497</v>
      </c>
    </row>
    <row r="104">
      <c r="B104" s="1" t="s">
        <v>218</v>
      </c>
      <c r="C104" s="15">
        <f>C100-C12</f>
        <v>-3.4999999999998863</v>
      </c>
      <c r="D104" s="15">
        <f>D100-D12</f>
        <v>3.6000000000000227</v>
      </c>
      <c r="E104" s="15">
        <f>E100-E12</f>
        <v>-4.099999999999909</v>
      </c>
      <c r="F104" s="15">
        <f>F100-F12</f>
        <v>-18.499999999999886</v>
      </c>
      <c r="G104" s="15">
        <f>G100-G12</f>
        <v>-22.499999999998863</v>
      </c>
      <c r="H104" s="68">
        <v>5</v>
      </c>
      <c r="I104" s="8" t="s">
        <v>219</v>
      </c>
    </row>
    <row r="105">
      <c r="B105" s="1" t="s">
        <v>123</v>
      </c>
      <c r="C105" s="15" t="s">
        <v>44</v>
      </c>
      <c r="D105" s="15" t="s">
        <v>44</v>
      </c>
      <c r="E105" s="15" t="s">
        <v>44</v>
      </c>
      <c r="F105" s="15" t="s">
        <v>44</v>
      </c>
      <c r="G105" s="15" t="s">
        <v>44</v>
      </c>
      <c r="H105" s="49">
        <f>H104-C104</f>
        <v>8.499999999999886</v>
      </c>
    </row>
    <row r="106">
      <c r="B106" s="1" t="s">
        <v>124</v>
      </c>
      <c r="C106" s="15" t="s">
        <v>44</v>
      </c>
      <c r="D106" s="15">
        <f>D104-C104</f>
        <v>7.099999999999909</v>
      </c>
      <c r="E106" s="15">
        <f>E104-D104</f>
        <v>-7.699999999999932</v>
      </c>
      <c r="F106" s="15">
        <f>F104-E104</f>
        <v>-14.399999999999977</v>
      </c>
      <c r="G106" s="15"/>
      <c r="H106" s="49">
        <f>H104-F104</f>
        <v>23.499999999999886</v>
      </c>
    </row>
    <row r="107">
      <c r="B107" s="1" t="s">
        <v>220</v>
      </c>
      <c r="C107" s="34">
        <v>132.4</v>
      </c>
      <c r="D107" s="34">
        <v>145.1</v>
      </c>
      <c r="E107" s="34">
        <v>157.4</v>
      </c>
      <c r="F107" s="34">
        <v>163.5</v>
      </c>
      <c r="G107" s="34">
        <v>598.4</v>
      </c>
      <c r="H107" s="68">
        <v>142</v>
      </c>
      <c r="I107" s="8" t="s">
        <v>221</v>
      </c>
    </row>
    <row r="108">
      <c r="B108" s="1" t="s">
        <v>123</v>
      </c>
      <c r="C108" s="15" t="s">
        <v>44</v>
      </c>
      <c r="D108" s="15" t="s">
        <v>44</v>
      </c>
      <c r="E108" s="15" t="s">
        <v>44</v>
      </c>
      <c r="F108" s="15" t="s">
        <v>44</v>
      </c>
      <c r="G108" s="15" t="s">
        <v>44</v>
      </c>
      <c r="H108" s="49">
        <f>H107-C107</f>
        <v>9.599999999999994</v>
      </c>
    </row>
    <row r="109">
      <c r="B109" s="1" t="s">
        <v>124</v>
      </c>
      <c r="C109" s="15" t="s">
        <v>44</v>
      </c>
      <c r="D109" s="15">
        <f>D107-C107</f>
        <v>12.699999999999989</v>
      </c>
      <c r="E109" s="15">
        <f>E107-D107</f>
        <v>12.300000000000011</v>
      </c>
      <c r="F109" s="15">
        <f>F107-E107</f>
        <v>6.099999999999994</v>
      </c>
      <c r="G109" s="15"/>
      <c r="H109" s="49">
        <f>H107-F107</f>
        <v>-21.5</v>
      </c>
    </row>
    <row r="110">
      <c r="B110" s="20" t="s">
        <v>222</v>
      </c>
      <c r="C110" s="11">
        <f>C107/C9</f>
        <v>0.0797926836617851</v>
      </c>
      <c r="D110" s="11">
        <f>D107/D9</f>
        <v>0.08967307335764169</v>
      </c>
      <c r="E110" s="11">
        <f>E107/E9</f>
        <v>0.1005879345603272</v>
      </c>
      <c r="F110" s="11">
        <f>F107/F9</f>
        <v>0.09236766284390713</v>
      </c>
      <c r="G110" s="11">
        <f>G107/G9</f>
        <v>0.09049801128200476</v>
      </c>
      <c r="H110" s="31">
        <f>H107/H9</f>
        <v>0.08609608229570033</v>
      </c>
    </row>
    <row r="111">
      <c r="B111" s="20" t="s">
        <v>93</v>
      </c>
      <c r="C111" s="32" t="s">
        <v>44</v>
      </c>
      <c r="D111" s="32" t="s">
        <v>44</v>
      </c>
      <c r="E111" s="32" t="s">
        <v>44</v>
      </c>
      <c r="F111" s="32" t="s">
        <v>44</v>
      </c>
      <c r="G111" s="32" t="s">
        <v>44</v>
      </c>
      <c r="H111" s="38">
        <f>(H110-C110)*10000</f>
        <v>63.03398633915228</v>
      </c>
    </row>
    <row r="112">
      <c r="B112" s="20" t="s">
        <v>94</v>
      </c>
      <c r="C112" s="32" t="s">
        <v>44</v>
      </c>
      <c r="D112" s="32">
        <f>(D110-C110)*10000</f>
        <v>98.80389695856584</v>
      </c>
      <c r="E112" s="32">
        <f>(E110-D110)*10000</f>
        <v>109.14861202685519</v>
      </c>
      <c r="F112" s="32">
        <f>(F110-E110)*10000</f>
        <v>-82.20271716420078</v>
      </c>
      <c r="G112" s="32"/>
      <c r="H112" s="38">
        <f>(H110-F110)*10000</f>
        <v>-62.715805482067985</v>
      </c>
    </row>
    <row r="113">
      <c r="B113" s="1" t="s">
        <v>223</v>
      </c>
      <c r="C113" s="15">
        <f>C16-C107</f>
        <v>21.19999999999999</v>
      </c>
      <c r="D113" s="15">
        <f>D16-D107</f>
        <v>25.900000000000006</v>
      </c>
      <c r="E113" s="15">
        <f>E16-E107</f>
        <v>-0.5999999999999943</v>
      </c>
      <c r="F113" s="15">
        <f>F16-F107</f>
        <v>19.69999999999999</v>
      </c>
      <c r="G113" s="15">
        <f>G16-G107</f>
        <v>66.20000000000005</v>
      </c>
      <c r="H113" s="49">
        <f>H53+H54+H55+H56+H62+H63</f>
        <v>11</v>
      </c>
    </row>
    <row r="114">
      <c r="B114" s="1" t="s">
        <v>123</v>
      </c>
      <c r="C114" s="15" t="s">
        <v>44</v>
      </c>
      <c r="D114" s="15" t="s">
        <v>44</v>
      </c>
      <c r="E114" s="15" t="s">
        <v>44</v>
      </c>
      <c r="F114" s="15" t="s">
        <v>44</v>
      </c>
      <c r="G114" s="15" t="s">
        <v>44</v>
      </c>
      <c r="H114" s="49">
        <f>H113-C113</f>
        <v>-10.199999999999989</v>
      </c>
    </row>
    <row r="115">
      <c r="B115" s="1" t="s">
        <v>124</v>
      </c>
      <c r="C115" s="15" t="s">
        <v>44</v>
      </c>
      <c r="D115" s="15">
        <f>D113-C113</f>
        <v>4.700000000000017</v>
      </c>
      <c r="E115" s="15">
        <f>E113-D113</f>
        <v>-26.5</v>
      </c>
      <c r="F115" s="15">
        <f>F113-E113</f>
        <v>20.299999999999983</v>
      </c>
      <c r="G115" s="15"/>
      <c r="H115" s="49">
        <f>H113-F113</f>
        <v>-8.699999999999989</v>
      </c>
    </row>
    <row r="116">
      <c r="B116" s="4" t="s">
        <v>224</v>
      </c>
      <c r="C116" s="50">
        <f>C100-C107</f>
        <v>206.49999999999997</v>
      </c>
      <c r="D116" s="50">
        <f>D100-D107</f>
        <v>182.79999999999998</v>
      </c>
      <c r="E116" s="50">
        <f>E100-E107</f>
        <v>170.1</v>
      </c>
      <c r="F116" s="50">
        <f>F100-F107</f>
        <v>179.39999999999998</v>
      </c>
      <c r="G116" s="50">
        <f>G100-G107</f>
        <v>738.8000000000001</v>
      </c>
      <c r="H116" s="42">
        <f>H147-H154-H122</f>
        <v>161.1328056195</v>
      </c>
    </row>
    <row r="117">
      <c r="B117" s="20" t="s">
        <v>225</v>
      </c>
      <c r="C117" s="11">
        <f>C116/C9</f>
        <v>0.12445006930633398</v>
      </c>
      <c r="D117" s="11">
        <f>D116/D9</f>
        <v>0.11297200420245967</v>
      </c>
      <c r="E117" s="11">
        <f>E116/E9</f>
        <v>0.10870398773006135</v>
      </c>
      <c r="F117" s="11">
        <f>F116/F9</f>
        <v>0.10135020620303938</v>
      </c>
      <c r="G117" s="11">
        <f>G116/G9</f>
        <v>0.11173116767236818</v>
      </c>
      <c r="H117" s="31">
        <f>H116/H9</f>
        <v>0.09769650206446166</v>
      </c>
    </row>
    <row r="118">
      <c r="B118" s="20" t="s">
        <v>93</v>
      </c>
      <c r="C118" s="32" t="s">
        <v>44</v>
      </c>
      <c r="D118" s="32" t="s">
        <v>44</v>
      </c>
      <c r="E118" s="32" t="s">
        <v>44</v>
      </c>
      <c r="F118" s="32" t="s">
        <v>44</v>
      </c>
      <c r="G118" s="32" t="s">
        <v>44</v>
      </c>
      <c r="H118" s="38">
        <f>(H117-C117)*10000</f>
        <v>-267.5356724187232</v>
      </c>
    </row>
    <row r="119">
      <c r="B119" s="20" t="s">
        <v>94</v>
      </c>
      <c r="C119" s="32" t="s">
        <v>44</v>
      </c>
      <c r="D119" s="32">
        <f>(D117-C117)*10000</f>
        <v>-114.78065103874307</v>
      </c>
      <c r="E119" s="32">
        <f>(E117-D117)*10000</f>
        <v>-42.68016472398328</v>
      </c>
      <c r="F119" s="32">
        <f>(F117-E117)*10000</f>
        <v>-73.53781527021971</v>
      </c>
      <c r="G119" s="32"/>
      <c r="H119" s="38">
        <f>(H117-F117)*10000</f>
        <v>-36.53704138577712</v>
      </c>
    </row>
    <row r="120">
      <c r="B120" s="20" t="s">
        <v>226</v>
      </c>
      <c r="C120" s="94" t="b">
        <f>ABS(C21+C64-C116)&lt;0.05</f>
        <v>1</v>
      </c>
      <c r="D120" s="94" t="b">
        <f>ABS(D21+D64-D116)&lt;0.05</f>
        <v>1</v>
      </c>
      <c r="E120" s="94" t="b">
        <f>ABS(E21+E64-E116)&lt;0.05</f>
        <v>1</v>
      </c>
      <c r="F120" s="94" t="b">
        <f>ABS(F21+F64-F116)&lt;0.05</f>
        <v>1</v>
      </c>
      <c r="G120" s="94" t="b">
        <f>ABS(G21+G64-G116)&lt;0.05</f>
        <v>1</v>
      </c>
      <c r="H120" s="91" t="b">
        <f>ABS(H21+H64-H116)&lt;0.05</f>
        <v>1</v>
      </c>
      <c r="I120" s="90" t="s">
        <v>227</v>
      </c>
    </row>
    <row r="121">
      <c r="B121" s="1" t="s">
        <v>171</v>
      </c>
      <c r="C121" s="15">
        <f>C25</f>
        <v>43.7</v>
      </c>
      <c r="D121" s="15">
        <f>D25</f>
        <v>44.3</v>
      </c>
      <c r="E121" s="15">
        <f>E25</f>
        <v>45</v>
      </c>
      <c r="F121" s="15">
        <f>F25</f>
        <v>47.5</v>
      </c>
      <c r="G121" s="15">
        <f>G25</f>
        <v>180.5</v>
      </c>
      <c r="H121" s="49">
        <f>H25</f>
        <v>47</v>
      </c>
    </row>
    <row r="122">
      <c r="B122" s="1" t="s">
        <v>228</v>
      </c>
      <c r="C122" s="15">
        <f>C33</f>
        <v>-0.6</v>
      </c>
      <c r="D122" s="15">
        <f>D33</f>
        <v>3.2</v>
      </c>
      <c r="E122" s="15">
        <f>E33</f>
        <v>2.7</v>
      </c>
      <c r="F122" s="15">
        <f>F33</f>
        <v>2.2</v>
      </c>
      <c r="G122" s="15">
        <f>G33</f>
        <v>7.5</v>
      </c>
      <c r="H122" s="68">
        <v>2.5</v>
      </c>
      <c r="I122" s="8" t="s">
        <v>229</v>
      </c>
    </row>
    <row r="123">
      <c r="B123" s="1" t="s">
        <v>123</v>
      </c>
      <c r="C123" s="15" t="s">
        <v>44</v>
      </c>
      <c r="D123" s="15" t="s">
        <v>44</v>
      </c>
      <c r="E123" s="15" t="s">
        <v>44</v>
      </c>
      <c r="F123" s="15" t="s">
        <v>44</v>
      </c>
      <c r="G123" s="15" t="s">
        <v>44</v>
      </c>
      <c r="H123" s="49">
        <f>H122-C122</f>
        <v>3.1</v>
      </c>
    </row>
    <row r="124">
      <c r="B124" s="1" t="s">
        <v>124</v>
      </c>
      <c r="C124" s="15" t="s">
        <v>44</v>
      </c>
      <c r="D124" s="15">
        <f>D122-C122</f>
        <v>3.8000000000000003</v>
      </c>
      <c r="E124" s="15">
        <f>E122-D122</f>
        <v>-0.5</v>
      </c>
      <c r="F124" s="15">
        <f>F122-E122</f>
        <v>-0.5</v>
      </c>
      <c r="G124" s="15"/>
      <c r="H124" s="49">
        <f>H122-F122</f>
        <v>0.2999999999999998</v>
      </c>
    </row>
    <row r="125">
      <c r="B125" s="4" t="s">
        <v>230</v>
      </c>
      <c r="C125" s="50">
        <f>C116-C121+C122</f>
        <v>162.19999999999996</v>
      </c>
      <c r="D125" s="50">
        <f>D116-D121+D122</f>
        <v>141.7</v>
      </c>
      <c r="E125" s="50">
        <f>E116-E121+E122</f>
        <v>127.8</v>
      </c>
      <c r="F125" s="50">
        <f>F116-F121+F122</f>
        <v>134.09999999999997</v>
      </c>
      <c r="G125" s="50">
        <f>G116-G121+G122</f>
        <v>565.8000000000001</v>
      </c>
      <c r="H125" s="42">
        <f>H116-H121+H122</f>
        <v>116.6328056195</v>
      </c>
    </row>
    <row r="126">
      <c r="B126" s="1" t="s">
        <v>231</v>
      </c>
      <c r="C126" s="34">
        <v>59.2</v>
      </c>
      <c r="D126" s="34">
        <v>45</v>
      </c>
      <c r="E126" s="34">
        <v>27.8</v>
      </c>
      <c r="F126" s="34">
        <v>14</v>
      </c>
      <c r="G126" s="34">
        <v>146</v>
      </c>
      <c r="H126" s="49">
        <f>H125*H127</f>
        <v>32.657185573460005</v>
      </c>
    </row>
    <row r="127">
      <c r="B127" s="20" t="s">
        <v>232</v>
      </c>
      <c r="C127" s="11">
        <f>C126/C125</f>
        <v>0.3649815043156598</v>
      </c>
      <c r="D127" s="11">
        <f>D126/D125</f>
        <v>0.3175723359209598</v>
      </c>
      <c r="E127" s="11">
        <f>E126/E125</f>
        <v>0.21752738654147105</v>
      </c>
      <c r="F127" s="11">
        <f>F126/F125</f>
        <v>0.10439970171513799</v>
      </c>
      <c r="G127" s="11">
        <f>G126/G125</f>
        <v>0.2580417108518911</v>
      </c>
      <c r="H127" s="69">
        <v>0.28</v>
      </c>
      <c r="I127" s="8" t="s">
        <v>233</v>
      </c>
    </row>
    <row r="128">
      <c r="B128" s="20" t="s">
        <v>93</v>
      </c>
      <c r="C128" s="32" t="s">
        <v>44</v>
      </c>
      <c r="D128" s="32" t="s">
        <v>44</v>
      </c>
      <c r="E128" s="32" t="s">
        <v>44</v>
      </c>
      <c r="F128" s="32" t="s">
        <v>44</v>
      </c>
      <c r="G128" s="32" t="s">
        <v>44</v>
      </c>
      <c r="H128" s="38">
        <f>(H127-C127)*10000</f>
        <v>-849.8150431565977</v>
      </c>
    </row>
    <row r="129">
      <c r="B129" s="20" t="s">
        <v>94</v>
      </c>
      <c r="C129" s="32" t="s">
        <v>44</v>
      </c>
      <c r="D129" s="32">
        <f>(D127-C127)*10000</f>
        <v>-474.091683947</v>
      </c>
      <c r="E129" s="32">
        <f>(E127-D127)*10000</f>
        <v>-1000.4494937948874</v>
      </c>
      <c r="F129" s="32">
        <f>(F127-E127)*10000</f>
        <v>-1131.2768482633307</v>
      </c>
      <c r="G129" s="32"/>
      <c r="H129" s="38">
        <f>(H127-F127)*10000</f>
        <v>1756.0029828486204</v>
      </c>
    </row>
    <row r="130">
      <c r="B130" s="4" t="s">
        <v>234</v>
      </c>
      <c r="C130" s="50">
        <f>C125-C126</f>
        <v>102.99999999999996</v>
      </c>
      <c r="D130" s="50">
        <f>D125-D126</f>
        <v>96.69999999999999</v>
      </c>
      <c r="E130" s="50">
        <f>E125-E126</f>
        <v>100</v>
      </c>
      <c r="F130" s="50">
        <f>F125-F126</f>
        <v>120.09999999999997</v>
      </c>
      <c r="G130" s="50">
        <f>G125-G126</f>
        <v>419.80000000000007</v>
      </c>
      <c r="H130" s="42">
        <f>H125-H126</f>
        <v>83.97562004604</v>
      </c>
    </row>
    <row r="131">
      <c r="B131" s="1" t="s">
        <v>235</v>
      </c>
      <c r="C131" s="34">
        <v>103</v>
      </c>
      <c r="D131" s="34">
        <v>96.7</v>
      </c>
      <c r="E131" s="34">
        <v>100</v>
      </c>
      <c r="F131" s="34">
        <v>120.1</v>
      </c>
      <c r="G131" s="34">
        <v>419.8</v>
      </c>
      <c r="H131" s="49"/>
    </row>
    <row r="132">
      <c r="B132" s="20" t="s">
        <v>236</v>
      </c>
      <c r="C132" s="94" t="b">
        <f>AND(ABS(C130-C87)&lt;0.05,ABS(C130-C131)&lt;0.05)</f>
        <v>1</v>
      </c>
      <c r="D132" s="94" t="b">
        <f>AND(ABS(D130-D87)&lt;0.05,ABS(D130-D131)&lt;0.05)</f>
        <v>1</v>
      </c>
      <c r="E132" s="94" t="b">
        <f>AND(ABS(E130-E87)&lt;0.05,ABS(E130-E131)&lt;0.05)</f>
        <v>1</v>
      </c>
      <c r="F132" s="94" t="b">
        <f>AND(ABS(F130-F87)&lt;0.05,ABS(F130-F131)&lt;0.05)</f>
        <v>1</v>
      </c>
      <c r="G132" s="94" t="b">
        <f>AND(ABS(G130-G87)&lt;0.05,ABS(G130-G131)&lt;0.05)</f>
        <v>1</v>
      </c>
      <c r="H132" s="91" t="b">
        <f>ABS(H130-H87)&lt;0.001</f>
        <v>1</v>
      </c>
      <c r="I132" s="90" t="s">
        <v>237</v>
      </c>
    </row>
    <row r="133">
      <c r="B133" s="4" t="s">
        <v>238</v>
      </c>
      <c r="C133" s="83">
        <f>C130/C44</f>
        <v>0.7367668097281828</v>
      </c>
      <c r="D133" s="83">
        <f>D130/D44</f>
        <v>0.6926934097421202</v>
      </c>
      <c r="E133" s="83">
        <f>E130/E44</f>
        <v>0.7178750897343862</v>
      </c>
      <c r="F133" s="83">
        <f>F130/F44</f>
        <v>0.8702898550724635</v>
      </c>
      <c r="G133" s="83">
        <f>G130/G44</f>
        <v>3.017972681524084</v>
      </c>
      <c r="H133" s="88">
        <f>H130/H44</f>
        <v>0.6098206391571703</v>
      </c>
      <c r="I133" s="8" t="s">
        <v>239</v>
      </c>
    </row>
    <row r="134">
      <c r="B134" s="1" t="s">
        <v>240</v>
      </c>
      <c r="C134" s="7">
        <f>Inputs!E102</f>
        <v>0.74</v>
      </c>
      <c r="D134" s="7">
        <f>Inputs!E103</f>
        <v>0.69</v>
      </c>
      <c r="E134" s="7">
        <f>Inputs!E104</f>
        <v>0.72</v>
      </c>
      <c r="F134" s="7">
        <f>Inputs!E105</f>
        <v>0.87</v>
      </c>
      <c r="G134" s="55">
        <v>3.01</v>
      </c>
      <c r="H134" s="76"/>
      <c r="I134" s="8" t="s">
        <v>241</v>
      </c>
    </row>
    <row r="135">
      <c r="B135" s="20" t="s">
        <v>242</v>
      </c>
      <c r="C135" s="110" t="b">
        <f>ABS(C133-C134)&lt;0.006</f>
        <v>1</v>
      </c>
      <c r="D135" s="110" t="b">
        <f>ABS(D133-D134)&lt;0.006</f>
        <v>1</v>
      </c>
      <c r="E135" s="110" t="b">
        <f>ABS(E133-E134)&lt;0.006</f>
        <v>1</v>
      </c>
      <c r="F135" s="110" t="b">
        <f>ABS(F133-F134)&lt;0.006</f>
        <v>1</v>
      </c>
      <c r="G135" s="110" t="b">
        <f>ABS(G133-G134)&lt;0.006</f>
        <v>0</v>
      </c>
      <c r="H135" s="91" t="b">
        <f>ABS(H133-H97)&lt;0.000001</f>
        <v>1</v>
      </c>
      <c r="I135" s="90" t="s">
        <v>243</v>
      </c>
    </row>
    <row r="136">
      <c r="B136" s="1" t="s">
        <v>244</v>
      </c>
      <c r="C136" s="55">
        <v>0.78</v>
      </c>
      <c r="D136" s="55">
        <v>0.73</v>
      </c>
      <c r="E136" s="55">
        <v>1.15</v>
      </c>
      <c r="F136" s="55">
        <v>0.92</v>
      </c>
      <c r="G136" s="55">
        <v>3.58</v>
      </c>
      <c r="H136" s="76">
        <f>C133</f>
        <v>0.7367668097281828</v>
      </c>
    </row>
    <row r="137">
      <c r="B137" s="20" t="s">
        <v>88</v>
      </c>
      <c r="C137" s="11">
        <f>C133/C136-1</f>
        <v>-0.05542716701515038</v>
      </c>
      <c r="D137" s="11">
        <f>D133/D136-1</f>
        <v>-0.05110491816147911</v>
      </c>
      <c r="E137" s="11">
        <f>E133/E136-1</f>
        <v>-0.3757607915353163</v>
      </c>
      <c r="F137" s="11">
        <f>F133/F136-1</f>
        <v>-0.05403276622558317</v>
      </c>
      <c r="G137" s="11">
        <f>G133/G136-1</f>
        <v>-0.15699087108265808</v>
      </c>
      <c r="H137" s="31">
        <f>H133/H136-1</f>
        <v>-0.17230169559055875</v>
      </c>
    </row>
    <row r="138">
      <c r="B138" s="1" t="s">
        <v>245</v>
      </c>
      <c r="C138" s="7">
        <f>Inputs!D102</f>
        <v>0.53</v>
      </c>
      <c r="D138" s="7">
        <f>Inputs!D103</f>
        <v>0.65</v>
      </c>
      <c r="E138" s="7">
        <f>Inputs!D104</f>
        <v>0.61</v>
      </c>
      <c r="F138" s="7">
        <f>Inputs!D105</f>
        <v>0.63</v>
      </c>
      <c r="G138" s="2"/>
      <c r="H138" s="71">
        <f>Inputs!C37</f>
        <v>0.59</v>
      </c>
    </row>
    <row r="139">
      <c r="B139" s="1" t="s">
        <v>246</v>
      </c>
      <c r="C139" s="2">
        <f>C134-C138</f>
        <v>0.20999999999999996</v>
      </c>
      <c r="D139" s="2">
        <f>D134-D138</f>
        <v>0.039999999999999925</v>
      </c>
      <c r="E139" s="2">
        <f>E134-E138</f>
        <v>0.10999999999999999</v>
      </c>
      <c r="F139" s="2">
        <f>F134-F138</f>
        <v>0.24</v>
      </c>
      <c r="G139" s="2"/>
      <c r="H139" s="76">
        <f>H133-H138</f>
        <v>0.01982063915717036</v>
      </c>
      <c r="I139" s="90" t="s">
        <v>247</v>
      </c>
    </row>
    <row r="140">
      <c r="H140" s="35"/>
    </row>
    <row r="141">
      <c r="B141" s="4" t="s">
        <v>248</v>
      </c>
      <c r="H141" s="35"/>
    </row>
    <row r="142">
      <c r="B142" s="1" t="s">
        <v>249</v>
      </c>
      <c r="C142" s="6">
        <f>'Segment - North America'!C58</f>
        <v>260</v>
      </c>
      <c r="D142" s="6">
        <f>'Segment - North America'!D58</f>
        <v>287.8</v>
      </c>
      <c r="E142" s="6">
        <f>'Segment - North America'!E58</f>
        <v>289.8</v>
      </c>
      <c r="F142" s="6">
        <f>'Segment - North America'!F58</f>
        <v>304.7</v>
      </c>
      <c r="G142" s="6">
        <f>'Segment - North America'!G58</f>
        <v>1142.3</v>
      </c>
      <c r="H142" s="40">
        <f>'Segment - North America'!H58</f>
        <v>262.92623742</v>
      </c>
    </row>
    <row r="143">
      <c r="B143" s="1" t="s">
        <v>250</v>
      </c>
      <c r="C143" s="6">
        <f>'Segment - International'!C58</f>
        <v>57.2</v>
      </c>
      <c r="D143" s="6">
        <f>'Segment - International'!D58</f>
        <v>27.2</v>
      </c>
      <c r="E143" s="6">
        <f>'Segment - International'!E58</f>
        <v>18.5</v>
      </c>
      <c r="F143" s="6">
        <f>'Segment - International'!F58</f>
        <v>11.8</v>
      </c>
      <c r="G143" s="6">
        <f>'Segment - International'!G58</f>
        <v>114.7</v>
      </c>
      <c r="H143" s="40">
        <f>'Segment - International'!H58</f>
        <v>30.2065681995</v>
      </c>
    </row>
    <row r="144">
      <c r="B144" s="1" t="s">
        <v>251</v>
      </c>
      <c r="C144" s="34">
        <v>-15</v>
      </c>
      <c r="D144" s="34">
        <v>-29.3</v>
      </c>
      <c r="E144" s="34">
        <v>-36.6</v>
      </c>
      <c r="F144" s="34">
        <v>-28.9</v>
      </c>
      <c r="G144" s="34">
        <v>-109.8</v>
      </c>
      <c r="H144" s="68">
        <v>-28</v>
      </c>
      <c r="I144" s="8" t="s">
        <v>252</v>
      </c>
    </row>
    <row r="145">
      <c r="B145" s="1" t="s">
        <v>123</v>
      </c>
      <c r="C145" s="15" t="s">
        <v>44</v>
      </c>
      <c r="D145" s="15" t="s">
        <v>44</v>
      </c>
      <c r="E145" s="15" t="s">
        <v>44</v>
      </c>
      <c r="F145" s="15" t="s">
        <v>44</v>
      </c>
      <c r="G145" s="15" t="s">
        <v>44</v>
      </c>
      <c r="H145" s="49">
        <f>H144-C144</f>
        <v>-13</v>
      </c>
    </row>
    <row r="146">
      <c r="B146" s="1" t="s">
        <v>124</v>
      </c>
      <c r="C146" s="15" t="s">
        <v>44</v>
      </c>
      <c r="D146" s="15">
        <f>D144-C144</f>
        <v>-14.3</v>
      </c>
      <c r="E146" s="15">
        <f>E144-D144</f>
        <v>-7.300000000000001</v>
      </c>
      <c r="F146" s="15">
        <f>F144-E144</f>
        <v>7.700000000000003</v>
      </c>
      <c r="G146" s="15"/>
      <c r="H146" s="49">
        <f>H144-F144</f>
        <v>0.8999999999999986</v>
      </c>
    </row>
    <row r="147">
      <c r="B147" s="4" t="s">
        <v>248</v>
      </c>
      <c r="C147" s="50">
        <f>C142+C143+C144</f>
        <v>302.2</v>
      </c>
      <c r="D147" s="50">
        <f>D142+D143+D144</f>
        <v>285.7</v>
      </c>
      <c r="E147" s="50">
        <f>E142+E143+E144</f>
        <v>271.7</v>
      </c>
      <c r="F147" s="50">
        <f>F142+F143+F144</f>
        <v>287.6</v>
      </c>
      <c r="G147" s="50">
        <f>G142+G143+G144</f>
        <v>1147.2</v>
      </c>
      <c r="H147" s="42">
        <f>H142+H143+H144</f>
        <v>265.1328056195</v>
      </c>
    </row>
    <row r="148">
      <c r="B148" s="20" t="s">
        <v>253</v>
      </c>
      <c r="C148" s="11">
        <f>C147/C9</f>
        <v>0.18212499246670283</v>
      </c>
      <c r="D148" s="11">
        <f>D147/D9</f>
        <v>0.1765651072245226</v>
      </c>
      <c r="E148" s="11">
        <f>E147/E9</f>
        <v>0.17363241308793456</v>
      </c>
      <c r="F148" s="11">
        <f>F147/F9</f>
        <v>0.16247669623185132</v>
      </c>
      <c r="G148" s="11">
        <f>G147/G9</f>
        <v>0.17349485050587543</v>
      </c>
      <c r="H148" s="31">
        <f>H147/H9</f>
        <v>0.16075278768948162</v>
      </c>
    </row>
    <row r="149">
      <c r="B149" s="20" t="s">
        <v>143</v>
      </c>
      <c r="C149" s="85">
        <f>(C148-C151/'Revenue summary'!C18)*10000</f>
        <v>11.202164555789707</v>
      </c>
      <c r="D149" s="85">
        <f>(D148-D151/'Revenue summary'!D18)*10000</f>
        <v>-72.06521234469243</v>
      </c>
      <c r="E149" s="85">
        <f>(E148-E151/'Revenue summary'!E18)*10000</f>
        <v>-716.8162834580432</v>
      </c>
      <c r="F149" s="85">
        <f>(F148-F151/'Revenue summary'!F18)*10000</f>
        <v>-126.0386230735383</v>
      </c>
      <c r="G149" s="85">
        <f>(G148-G151/'Revenue summary'!G18)*10000</f>
        <v>-218.14622003541285</v>
      </c>
      <c r="H149" s="84">
        <f>(H148-H151/'Revenue summary'!H18)*10000</f>
        <v>-213.7220477722121</v>
      </c>
    </row>
    <row r="150">
      <c r="B150" s="20" t="s">
        <v>94</v>
      </c>
      <c r="C150" s="32" t="s">
        <v>44</v>
      </c>
      <c r="D150" s="32">
        <f>(D148-C148)*10000</f>
        <v>-55.59885242180235</v>
      </c>
      <c r="E150" s="32">
        <f>(E148-D148)*10000</f>
        <v>-29.326941365880323</v>
      </c>
      <c r="F150" s="32">
        <f>(F148-E148)*10000</f>
        <v>-111.55716856083242</v>
      </c>
      <c r="G150" s="32"/>
      <c r="H150" s="38">
        <f>(H148-F148)*10000</f>
        <v>-17.23908542369701</v>
      </c>
    </row>
    <row r="151">
      <c r="B151" s="1" t="s">
        <v>254</v>
      </c>
      <c r="C151" s="34">
        <v>299.4</v>
      </c>
      <c r="D151" s="34">
        <v>294.2</v>
      </c>
      <c r="E151" s="34">
        <v>373</v>
      </c>
      <c r="F151" s="34">
        <v>293.4</v>
      </c>
      <c r="G151" s="34">
        <v>1260</v>
      </c>
      <c r="H151" s="49">
        <f>C147</f>
        <v>302.2</v>
      </c>
    </row>
    <row r="152">
      <c r="B152" s="20" t="s">
        <v>88</v>
      </c>
      <c r="C152" s="11">
        <f>C147/C151-1</f>
        <v>0.009352037408149716</v>
      </c>
      <c r="D152" s="11">
        <f>D147/D151-1</f>
        <v>-0.02889191026512572</v>
      </c>
      <c r="E152" s="11">
        <f>E147/E151-1</f>
        <v>-0.2715817694369973</v>
      </c>
      <c r="F152" s="11">
        <f>F147/F151-1</f>
        <v>-0.019768234492160697</v>
      </c>
      <c r="G152" s="11">
        <f>G147/G151-1</f>
        <v>-0.08952380952380945</v>
      </c>
      <c r="H152" s="31">
        <f>H147/H151-1</f>
        <v>-0.12265782389311708</v>
      </c>
      <c r="I152" s="8" t="s">
        <v>255</v>
      </c>
    </row>
    <row r="153">
      <c r="B153" s="1" t="s">
        <v>256</v>
      </c>
      <c r="C153" s="34">
        <v>302.2</v>
      </c>
      <c r="D153" s="34">
        <v>285.7</v>
      </c>
      <c r="E153" s="34">
        <v>271.7</v>
      </c>
      <c r="F153" s="34">
        <v>287.6</v>
      </c>
      <c r="G153" s="34">
        <v>1147.2</v>
      </c>
      <c r="H153" s="49"/>
    </row>
    <row r="154">
      <c r="B154" s="1" t="s">
        <v>257</v>
      </c>
      <c r="C154" s="34">
        <v>96.3</v>
      </c>
      <c r="D154" s="34">
        <v>99.7</v>
      </c>
      <c r="E154" s="34">
        <v>98.9</v>
      </c>
      <c r="F154" s="34">
        <v>106</v>
      </c>
      <c r="G154" s="34">
        <v>400.9</v>
      </c>
      <c r="H154" s="68">
        <v>101.5</v>
      </c>
      <c r="I154" s="8" t="s">
        <v>258</v>
      </c>
    </row>
    <row r="155">
      <c r="B155" s="1" t="s">
        <v>123</v>
      </c>
      <c r="C155" s="15" t="s">
        <v>44</v>
      </c>
      <c r="D155" s="15" t="s">
        <v>44</v>
      </c>
      <c r="E155" s="15" t="s">
        <v>44</v>
      </c>
      <c r="F155" s="15" t="s">
        <v>44</v>
      </c>
      <c r="G155" s="15" t="s">
        <v>44</v>
      </c>
      <c r="H155" s="49">
        <f>H154-C154</f>
        <v>5.200000000000003</v>
      </c>
    </row>
    <row r="156">
      <c r="B156" s="1" t="s">
        <v>124</v>
      </c>
      <c r="C156" s="15" t="s">
        <v>44</v>
      </c>
      <c r="D156" s="15">
        <f>D154-C154</f>
        <v>3.4000000000000057</v>
      </c>
      <c r="E156" s="15">
        <f>E154-D154</f>
        <v>-0.7999999999999972</v>
      </c>
      <c r="F156" s="15">
        <f>F154-E154</f>
        <v>7.099999999999994</v>
      </c>
      <c r="G156" s="15"/>
      <c r="H156" s="49">
        <f>H154-F154</f>
        <v>-4.5</v>
      </c>
    </row>
    <row r="157">
      <c r="B157" s="20" t="s">
        <v>259</v>
      </c>
      <c r="C157" s="94" t="b">
        <f>AND(ABS(C116+C122+C154-C147)&lt;0.05,ABS(C147-C153)&lt;0.05)</f>
        <v>1</v>
      </c>
      <c r="D157" s="94" t="b">
        <f>AND(ABS(D116+D122+D154-D147)&lt;0.05,ABS(D147-D153)&lt;0.05)</f>
        <v>1</v>
      </c>
      <c r="E157" s="94" t="b">
        <f>AND(ABS(E116+E122+E154-E147)&lt;0.05,ABS(E147-E153)&lt;0.05)</f>
        <v>1</v>
      </c>
      <c r="F157" s="94" t="b">
        <f>AND(ABS(F116+F122+F154-F147)&lt;0.05,ABS(F147-F153)&lt;0.05)</f>
        <v>1</v>
      </c>
      <c r="G157" s="94" t="b">
        <f>AND(ABS(G116+G122+G154-G147)&lt;0.05,ABS(G147-G153)&lt;0.05)</f>
        <v>1</v>
      </c>
      <c r="H157" s="91" t="b">
        <f>ABS(H116+H122+H154-H147)&lt;0.001</f>
        <v>1</v>
      </c>
      <c r="I157" s="90" t="s">
        <v>260</v>
      </c>
    </row>
    <row r="158">
      <c r="B158" s="20" t="s">
        <v>261</v>
      </c>
      <c r="C158" s="29"/>
      <c r="D158" s="29"/>
      <c r="E158" s="29"/>
      <c r="F158" s="29"/>
      <c r="G158" s="94" t="b">
        <f>AND(ABS(G9-SUM(C9:F9))&lt;0.25,ABS(G130-SUM(C130:F130))&lt;0.25,ABS(G147-SUM(C147:F147))&lt;0.25,ABS(G11-SUM(C11:F11))&lt;0.25)</f>
        <v>1</v>
      </c>
      <c r="H158" s="41"/>
    </row>
    <row r="159">
      <c r="H159" s="35"/>
    </row>
    <row r="160">
      <c r="B160" s="20" t="s">
        <v>117</v>
      </c>
      <c r="C160" s="29"/>
      <c r="D160" s="29"/>
      <c r="E160" s="29"/>
      <c r="F160" s="29"/>
      <c r="G160" s="29"/>
      <c r="H160" s="111" t="b">
        <f>AND(G40,C50:G50,C120:G120,C132:G132,C135:F135,C157:G157,G158)</f>
        <v>1</v>
      </c>
      <c r="I160" s="90" t="s">
        <v>262</v>
      </c>
    </row>
  </sheetData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B1:I51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</cols>
  <sheetData>
    <row r="1">
      <c r="B1" s="23" t="s">
        <v>0</v>
      </c>
    </row>
    <row r="2">
      <c r="B2" s="21" t="s">
        <v>263</v>
      </c>
    </row>
    <row r="3">
      <c r="B3" s="20" t="s">
        <v>2</v>
      </c>
    </row>
    <row r="4">
      <c r="B4" s="17" t="s">
        <v>64</v>
      </c>
      <c r="C4" s="3" t="s">
        <v>65</v>
      </c>
      <c r="D4" s="3" t="s">
        <v>66</v>
      </c>
      <c r="E4" s="3" t="s">
        <v>67</v>
      </c>
      <c r="F4" s="3" t="s">
        <v>68</v>
      </c>
      <c r="G4" s="3" t="s">
        <v>69</v>
      </c>
      <c r="H4" s="30" t="s">
        <v>70</v>
      </c>
      <c r="I4" s="17" t="s">
        <v>71</v>
      </c>
    </row>
    <row r="5">
      <c r="B5" s="14" t="s">
        <v>72</v>
      </c>
      <c r="C5" s="19">
        <v>45893</v>
      </c>
      <c r="D5" s="19">
        <v>45984</v>
      </c>
      <c r="E5" s="19">
        <v>46075</v>
      </c>
      <c r="F5" s="19">
        <v>46173</v>
      </c>
      <c r="G5" s="19">
        <v>46173</v>
      </c>
      <c r="H5" s="16">
        <v>46264</v>
      </c>
      <c r="I5" s="14"/>
    </row>
    <row r="6">
      <c r="B6" s="10" t="s">
        <v>73</v>
      </c>
      <c r="C6" s="5">
        <v>91</v>
      </c>
      <c r="D6" s="5">
        <v>91</v>
      </c>
      <c r="E6" s="5">
        <v>91</v>
      </c>
      <c r="F6" s="5">
        <v>98</v>
      </c>
      <c r="G6" s="5">
        <v>371</v>
      </c>
      <c r="H6" s="26">
        <v>91</v>
      </c>
      <c r="I6" s="10"/>
    </row>
    <row r="8">
      <c r="B8" s="4" t="s">
        <v>264</v>
      </c>
      <c r="H8" s="35"/>
    </row>
    <row r="9">
      <c r="B9" s="1" t="s">
        <v>265</v>
      </c>
      <c r="C9" s="34">
        <v>98.6</v>
      </c>
      <c r="D9" s="34">
        <v>82.7</v>
      </c>
      <c r="E9" s="34">
        <v>57.5</v>
      </c>
      <c r="F9" s="34">
        <v>68.2</v>
      </c>
      <c r="G9" s="15">
        <f>F9</f>
        <v>68.2</v>
      </c>
      <c r="H9" s="40">
        <f>'Cash Flow Statement'!H101</f>
        <v>72.54255246604</v>
      </c>
    </row>
    <row r="10">
      <c r="B10" s="1" t="s">
        <v>266</v>
      </c>
      <c r="C10" s="34">
        <v>772.7</v>
      </c>
      <c r="D10" s="34">
        <v>742.2</v>
      </c>
      <c r="E10" s="34">
        <v>750.5</v>
      </c>
      <c r="F10" s="34">
        <v>779.1</v>
      </c>
      <c r="G10" s="15">
        <f>F10</f>
        <v>779.1</v>
      </c>
      <c r="H10" s="40">
        <f>F10-'Cash Flow Statement'!H35</f>
        <v>774.1</v>
      </c>
    </row>
    <row r="11">
      <c r="B11" s="1" t="s">
        <v>267</v>
      </c>
      <c r="C11" s="34">
        <v>906.8</v>
      </c>
      <c r="D11" s="34">
        <v>1117.8</v>
      </c>
      <c r="E11" s="34">
        <v>1093.6</v>
      </c>
      <c r="F11" s="34">
        <v>968.5</v>
      </c>
      <c r="G11" s="15">
        <f>F11</f>
        <v>968.5</v>
      </c>
      <c r="H11" s="40">
        <f>F11-'Cash Flow Statement'!H38-'Income Statement'!H104</f>
        <v>883.5</v>
      </c>
      <c r="I11" s="90" t="s">
        <v>268</v>
      </c>
    </row>
    <row r="12">
      <c r="B12" s="1" t="s">
        <v>269</v>
      </c>
      <c r="C12" s="34">
        <v>95.2</v>
      </c>
      <c r="D12" s="34">
        <v>68.3</v>
      </c>
      <c r="E12" s="34">
        <v>158.3</v>
      </c>
      <c r="F12" s="34">
        <v>198.6</v>
      </c>
      <c r="G12" s="15">
        <f>F12</f>
        <v>198.6</v>
      </c>
      <c r="H12" s="40">
        <f>F12-'Cash Flow Statement'!H44</f>
        <v>193.6</v>
      </c>
    </row>
    <row r="13">
      <c r="B13" s="4" t="s">
        <v>270</v>
      </c>
      <c r="C13" s="50">
        <f>SUM(C9:C12)</f>
        <v>1873.3</v>
      </c>
      <c r="D13" s="50">
        <f>SUM(D9:D12)</f>
        <v>2011</v>
      </c>
      <c r="E13" s="50">
        <f>SUM(E9:E12)</f>
        <v>2059.9</v>
      </c>
      <c r="F13" s="50">
        <f>SUM(F9:F12)</f>
        <v>2014.4</v>
      </c>
      <c r="G13" s="50">
        <f>SUM(G9:G12)</f>
        <v>2014.4</v>
      </c>
      <c r="H13" s="42">
        <f>SUM(H9:H12)</f>
        <v>1923.74255246604</v>
      </c>
    </row>
    <row r="14">
      <c r="B14" s="1" t="s">
        <v>271</v>
      </c>
      <c r="C14" s="34">
        <v>3686.7</v>
      </c>
      <c r="D14" s="34">
        <v>3652.9</v>
      </c>
      <c r="E14" s="34">
        <v>3652.6</v>
      </c>
      <c r="F14" s="34">
        <v>3690</v>
      </c>
      <c r="G14" s="15">
        <f>F14</f>
        <v>3690</v>
      </c>
      <c r="H14" s="40">
        <f>F14-'Cash Flow Statement'!H57-'Cash Flow Statement'!H11-('Cash Flow Statement'!H26-'Income Statement'!H104)-'Cash Flow Statement'!H63</f>
        <v>3662.7</v>
      </c>
      <c r="I14" s="8" t="s">
        <v>272</v>
      </c>
    </row>
    <row r="15">
      <c r="B15" s="1" t="s">
        <v>273</v>
      </c>
      <c r="C15" s="34">
        <v>117.7</v>
      </c>
      <c r="D15" s="34">
        <v>118.2</v>
      </c>
      <c r="E15" s="34">
        <v>116.8</v>
      </c>
      <c r="F15" s="34">
        <v>111.6</v>
      </c>
      <c r="G15" s="15">
        <f>F15</f>
        <v>111.6</v>
      </c>
      <c r="H15" s="49">
        <f>F15</f>
        <v>111.6</v>
      </c>
    </row>
    <row r="16">
      <c r="B16" s="1" t="s">
        <v>274</v>
      </c>
      <c r="C16" s="34">
        <v>1113.7</v>
      </c>
      <c r="D16" s="34">
        <v>1099.5</v>
      </c>
      <c r="E16" s="34">
        <v>1135</v>
      </c>
      <c r="F16" s="34">
        <v>1130.1</v>
      </c>
      <c r="G16" s="15">
        <f>F16</f>
        <v>1130.1</v>
      </c>
      <c r="H16" s="49">
        <f>F16</f>
        <v>1130.1</v>
      </c>
    </row>
    <row r="17">
      <c r="B17" s="1" t="s">
        <v>275</v>
      </c>
      <c r="C17" s="34">
        <v>114.5</v>
      </c>
      <c r="D17" s="34">
        <v>110.9</v>
      </c>
      <c r="E17" s="34">
        <v>109.7</v>
      </c>
      <c r="F17" s="34">
        <v>108.3</v>
      </c>
      <c r="G17" s="15">
        <f>F17</f>
        <v>108.3</v>
      </c>
      <c r="H17" s="49">
        <f>F17</f>
        <v>108.3</v>
      </c>
    </row>
    <row r="18">
      <c r="B18" s="1" t="s">
        <v>276</v>
      </c>
      <c r="C18" s="34">
        <v>330.8</v>
      </c>
      <c r="D18" s="34">
        <v>338.5</v>
      </c>
      <c r="E18" s="34">
        <v>319.5</v>
      </c>
      <c r="F18" s="34">
        <v>325.7</v>
      </c>
      <c r="G18" s="15">
        <f>F18</f>
        <v>325.7</v>
      </c>
      <c r="H18" s="40">
        <f>F18-'Cash Flow Statement'!H60-'Cash Flow Statement'!H69-'Cash Flow Statement'!H17-'Cash Flow Statement'!H29-'Cash Flow Statement'!H66</f>
        <v>325.7</v>
      </c>
    </row>
    <row r="19">
      <c r="B19" s="4" t="s">
        <v>277</v>
      </c>
      <c r="C19" s="50">
        <f>C13+SUM(C14:C18)</f>
        <v>7236.7</v>
      </c>
      <c r="D19" s="50">
        <f>D13+SUM(D14:D18)</f>
        <v>7331</v>
      </c>
      <c r="E19" s="50">
        <f>E13+SUM(E14:E18)</f>
        <v>7393.5</v>
      </c>
      <c r="F19" s="50">
        <f>F13+SUM(F14:F18)</f>
        <v>7380.1</v>
      </c>
      <c r="G19" s="50">
        <f>G13+SUM(G14:G18)</f>
        <v>7380.1</v>
      </c>
      <c r="H19" s="42">
        <f>H13+SUM(H14:H18)</f>
        <v>7262.14255246604</v>
      </c>
    </row>
    <row r="20">
      <c r="B20" s="1" t="s">
        <v>278</v>
      </c>
      <c r="C20" s="34">
        <v>7236.7</v>
      </c>
      <c r="D20" s="34">
        <v>7331</v>
      </c>
      <c r="E20" s="34">
        <v>7393.5</v>
      </c>
      <c r="F20" s="34">
        <v>7380.1</v>
      </c>
      <c r="G20" s="15">
        <f>F20</f>
        <v>7380.1</v>
      </c>
      <c r="H20" s="49"/>
    </row>
    <row r="21">
      <c r="H21" s="35"/>
    </row>
    <row r="22">
      <c r="B22" s="4" t="s">
        <v>279</v>
      </c>
      <c r="H22" s="35"/>
    </row>
    <row r="23">
      <c r="B23" s="1" t="s">
        <v>280</v>
      </c>
      <c r="C23" s="34">
        <v>215.4</v>
      </c>
      <c r="D23" s="34">
        <v>187</v>
      </c>
      <c r="E23" s="34">
        <v>269.2</v>
      </c>
      <c r="F23" s="34">
        <v>249.4</v>
      </c>
      <c r="G23" s="15">
        <f>F23</f>
        <v>249.4</v>
      </c>
      <c r="H23" s="40">
        <f>F23+'Cash Flow Statement'!H74+'Cash Flow Statement'!H77</f>
        <v>189.4</v>
      </c>
    </row>
    <row r="24">
      <c r="B24" s="1" t="s">
        <v>281</v>
      </c>
      <c r="C24" s="34">
        <v>81.8</v>
      </c>
      <c r="D24" s="34">
        <v>82.7</v>
      </c>
      <c r="E24" s="34">
        <v>80.6</v>
      </c>
      <c r="F24" s="34">
        <v>70.6</v>
      </c>
      <c r="G24" s="15">
        <f>F24</f>
        <v>70.6</v>
      </c>
      <c r="H24" s="49">
        <f>F24</f>
        <v>70.6</v>
      </c>
    </row>
    <row r="25">
      <c r="B25" s="1" t="s">
        <v>282</v>
      </c>
      <c r="C25" s="34">
        <v>544.9</v>
      </c>
      <c r="D25" s="34">
        <v>709.2</v>
      </c>
      <c r="E25" s="34">
        <v>599.7</v>
      </c>
      <c r="F25" s="34">
        <v>613.1</v>
      </c>
      <c r="G25" s="15">
        <f>F25</f>
        <v>613.1</v>
      </c>
      <c r="H25" s="40">
        <f>F25+'Cash Flow Statement'!H47</f>
        <v>583.1</v>
      </c>
    </row>
    <row r="26">
      <c r="B26" s="1" t="s">
        <v>283</v>
      </c>
      <c r="C26" s="34">
        <v>415.9</v>
      </c>
      <c r="D26" s="34">
        <v>424.2</v>
      </c>
      <c r="E26" s="34">
        <v>460</v>
      </c>
      <c r="F26" s="34">
        <v>482.4</v>
      </c>
      <c r="G26" s="15">
        <f>F26</f>
        <v>482.4</v>
      </c>
      <c r="H26" s="40">
        <f>F26+'Cash Flow Statement'!H50+'Cash Flow Statement'!H41</f>
        <v>472.4</v>
      </c>
    </row>
    <row r="27">
      <c r="B27" s="4" t="s">
        <v>284</v>
      </c>
      <c r="C27" s="50">
        <f>SUM(C23:C26)</f>
        <v>1258</v>
      </c>
      <c r="D27" s="50">
        <f>SUM(D23:D26)</f>
        <v>1403.1000000000001</v>
      </c>
      <c r="E27" s="50">
        <f>SUM(E23:E26)</f>
        <v>1409.5</v>
      </c>
      <c r="F27" s="50">
        <f>SUM(F23:F26)</f>
        <v>1415.5</v>
      </c>
      <c r="G27" s="50">
        <f>SUM(G23:G26)</f>
        <v>1415.5</v>
      </c>
      <c r="H27" s="42">
        <f>SUM(H23:H26)</f>
        <v>1315.5</v>
      </c>
    </row>
    <row r="28">
      <c r="B28" s="1" t="s">
        <v>285</v>
      </c>
      <c r="C28" s="34">
        <v>3670.9</v>
      </c>
      <c r="D28" s="34">
        <v>3648.9</v>
      </c>
      <c r="E28" s="34">
        <v>3642.9</v>
      </c>
      <c r="F28" s="34">
        <v>3595.2</v>
      </c>
      <c r="G28" s="15">
        <f>F28</f>
        <v>3595.2</v>
      </c>
      <c r="H28" s="40">
        <f>F28+'Cash Flow Statement'!H80+'Cash Flow Statement'!H83</f>
        <v>3595.2</v>
      </c>
    </row>
    <row r="29">
      <c r="B29" s="1" t="s">
        <v>286</v>
      </c>
      <c r="C29" s="34">
        <v>264</v>
      </c>
      <c r="D29" s="34">
        <v>273.3</v>
      </c>
      <c r="E29" s="34">
        <v>272.8</v>
      </c>
      <c r="F29" s="34">
        <v>297.5</v>
      </c>
      <c r="G29" s="15">
        <f>F29</f>
        <v>297.5</v>
      </c>
      <c r="H29" s="40">
        <f>F29+'Cash Flow Statement'!H20</f>
        <v>297.5</v>
      </c>
    </row>
    <row r="30">
      <c r="B30" s="1" t="s">
        <v>287</v>
      </c>
      <c r="C30" s="34">
        <v>254</v>
      </c>
      <c r="D30" s="34">
        <v>251.3</v>
      </c>
      <c r="E30" s="34">
        <v>241.2</v>
      </c>
      <c r="F30" s="34">
        <v>247</v>
      </c>
      <c r="G30" s="15">
        <f>F30</f>
        <v>247</v>
      </c>
      <c r="H30" s="40">
        <f>F30+'Cash Flow Statement'!H23+'Cash Flow Statement'!H32</f>
        <v>247</v>
      </c>
    </row>
    <row r="31">
      <c r="B31" s="4" t="s">
        <v>288</v>
      </c>
      <c r="C31" s="50">
        <f>SUM(C28:C30)</f>
        <v>4188.9</v>
      </c>
      <c r="D31" s="50">
        <f>SUM(D28:D30)</f>
        <v>4173.5</v>
      </c>
      <c r="E31" s="50">
        <f>SUM(E28:E30)</f>
        <v>4156.9</v>
      </c>
      <c r="F31" s="50">
        <f>SUM(F28:F30)</f>
        <v>4139.7</v>
      </c>
      <c r="G31" s="50">
        <f>SUM(G28:G30)</f>
        <v>4139.7</v>
      </c>
      <c r="H31" s="42">
        <f>SUM(H28:H30)</f>
        <v>4139.7</v>
      </c>
    </row>
    <row r="32">
      <c r="B32" s="4" t="s">
        <v>289</v>
      </c>
      <c r="C32" s="50">
        <f>C27+C31</f>
        <v>5446.9</v>
      </c>
      <c r="D32" s="50">
        <f>D27+D31</f>
        <v>5576.6</v>
      </c>
      <c r="E32" s="50">
        <f>E27+E31</f>
        <v>5566.4</v>
      </c>
      <c r="F32" s="50">
        <f>F27+F31</f>
        <v>5555.2</v>
      </c>
      <c r="G32" s="50">
        <f>G27+G31</f>
        <v>5555.2</v>
      </c>
      <c r="H32" s="42">
        <f>H27+H31</f>
        <v>5455.2</v>
      </c>
    </row>
    <row r="33">
      <c r="H33" s="35"/>
    </row>
    <row r="34">
      <c r="B34" s="4" t="s">
        <v>290</v>
      </c>
      <c r="H34" s="35"/>
    </row>
    <row r="35">
      <c r="B35" s="1" t="s">
        <v>291</v>
      </c>
      <c r="C35" s="34">
        <v>151.8</v>
      </c>
      <c r="D35" s="34">
        <v>152</v>
      </c>
      <c r="E35" s="34">
        <v>152.1</v>
      </c>
      <c r="F35" s="34">
        <v>152.1</v>
      </c>
      <c r="G35" s="15">
        <f>F35</f>
        <v>152.1</v>
      </c>
      <c r="H35" s="49">
        <f>F35</f>
        <v>152.1</v>
      </c>
    </row>
    <row r="36">
      <c r="B36" s="1" t="s">
        <v>292</v>
      </c>
      <c r="C36" s="34">
        <v>-856.7</v>
      </c>
      <c r="D36" s="34">
        <v>-897.4</v>
      </c>
      <c r="E36" s="34">
        <v>-897.5</v>
      </c>
      <c r="F36" s="34">
        <v>-961.8</v>
      </c>
      <c r="G36" s="15">
        <f>F36</f>
        <v>-961.8</v>
      </c>
      <c r="H36" s="40">
        <f>F36+'Cash Flow Statement'!H89</f>
        <v>-981.8</v>
      </c>
    </row>
    <row r="37">
      <c r="B37" s="1" t="s">
        <v>293</v>
      </c>
      <c r="C37" s="34">
        <v>-468.2</v>
      </c>
      <c r="D37" s="34">
        <v>-453.7</v>
      </c>
      <c r="E37" s="34">
        <v>-443.2</v>
      </c>
      <c r="F37" s="34">
        <v>-426.9</v>
      </c>
      <c r="G37" s="15">
        <f>F37</f>
        <v>-426.9</v>
      </c>
      <c r="H37" s="40">
        <f>F37+'Cash Flow Statement'!H14+'Cash Flow Statement'!H92</f>
        <v>-415.9</v>
      </c>
    </row>
    <row r="38">
      <c r="B38" s="1" t="s">
        <v>294</v>
      </c>
      <c r="C38" s="34">
        <v>2861.8</v>
      </c>
      <c r="D38" s="34">
        <v>2871.9</v>
      </c>
      <c r="E38" s="34">
        <v>2872.8</v>
      </c>
      <c r="F38" s="34">
        <v>2929.7</v>
      </c>
      <c r="G38" s="15">
        <f>F38</f>
        <v>2929.7</v>
      </c>
      <c r="H38" s="40">
        <f>F38+'Income Statement'!H34+'Cash Flow Statement'!H86</f>
        <v>2920.74255246604</v>
      </c>
      <c r="I38" s="8" t="s">
        <v>295</v>
      </c>
    </row>
    <row r="39">
      <c r="B39" s="1" t="s">
        <v>296</v>
      </c>
      <c r="C39" s="34">
        <v>101.1</v>
      </c>
      <c r="D39" s="34">
        <v>81.6</v>
      </c>
      <c r="E39" s="34">
        <v>142.9</v>
      </c>
      <c r="F39" s="34">
        <v>131.8</v>
      </c>
      <c r="G39" s="15">
        <f>F39</f>
        <v>131.8</v>
      </c>
      <c r="H39" s="40">
        <f>F39+'Cash Flow Statement'!H96</f>
        <v>131.8</v>
      </c>
    </row>
    <row r="40">
      <c r="B40" s="4" t="s">
        <v>297</v>
      </c>
      <c r="C40" s="50">
        <f>SUM(C35:C39)</f>
        <v>1789.8</v>
      </c>
      <c r="D40" s="50">
        <f>SUM(D35:D39)</f>
        <v>1754.4</v>
      </c>
      <c r="E40" s="50">
        <f>SUM(E35:E39)</f>
        <v>1827.1000000000004</v>
      </c>
      <c r="F40" s="50">
        <f>SUM(F35:F39)</f>
        <v>1824.8999999999999</v>
      </c>
      <c r="G40" s="50">
        <f>SUM(G35:G39)</f>
        <v>1824.8999999999999</v>
      </c>
      <c r="H40" s="42">
        <f>SUM(H35:H39)</f>
        <v>1806.9425524660398</v>
      </c>
    </row>
    <row r="41">
      <c r="B41" s="4" t="s">
        <v>298</v>
      </c>
      <c r="C41" s="50">
        <f>C32+C40</f>
        <v>7236.7</v>
      </c>
      <c r="D41" s="50">
        <f>D32+D40</f>
        <v>7331</v>
      </c>
      <c r="E41" s="50">
        <f>E32+E40</f>
        <v>7393.5</v>
      </c>
      <c r="F41" s="50">
        <f>F32+F40</f>
        <v>7380.099999999999</v>
      </c>
      <c r="G41" s="50">
        <f>G32+G40</f>
        <v>7380.099999999999</v>
      </c>
      <c r="H41" s="42">
        <f>H32+H40</f>
        <v>7262.14255246604</v>
      </c>
    </row>
    <row r="42">
      <c r="H42" s="35"/>
    </row>
    <row r="43">
      <c r="B43" s="20" t="s">
        <v>299</v>
      </c>
      <c r="C43" s="43">
        <f>C19-C32-C40</f>
        <v>0</v>
      </c>
      <c r="D43" s="43">
        <f>D19-D32-D40</f>
        <v>0</v>
      </c>
      <c r="E43" s="43">
        <f>E19-E32-E40</f>
        <v>0</v>
      </c>
      <c r="F43" s="43">
        <f>F19-F32-F40</f>
        <v>0</v>
      </c>
      <c r="G43" s="43">
        <f>G19-G32-G40</f>
        <v>0</v>
      </c>
      <c r="H43" s="56">
        <f>H19-H32-H40</f>
        <v>0</v>
      </c>
    </row>
    <row r="44">
      <c r="B44" s="20" t="s">
        <v>300</v>
      </c>
      <c r="C44" s="94" t="b">
        <f>AND(ABS(C43)&lt;0.05,ABS(C19-C20)&lt;0.05)</f>
        <v>1</v>
      </c>
      <c r="D44" s="94" t="b">
        <f>AND(ABS(D43)&lt;0.05,ABS(D19-D20)&lt;0.05)</f>
        <v>1</v>
      </c>
      <c r="E44" s="94" t="b">
        <f>AND(ABS(E43)&lt;0.05,ABS(E19-E20)&lt;0.05)</f>
        <v>1</v>
      </c>
      <c r="F44" s="94" t="b">
        <f>AND(ABS(F43)&lt;0.05,ABS(F19-F20)&lt;0.05)</f>
        <v>1</v>
      </c>
      <c r="G44" s="94" t="b">
        <f>AND(ABS(G43)&lt;0.05,ABS(G19-G20)&lt;0.05)</f>
        <v>1</v>
      </c>
      <c r="H44" s="91" t="b">
        <f>ABS(H43)&lt;0.05</f>
        <v>1</v>
      </c>
    </row>
    <row r="45">
      <c r="H45" s="35"/>
    </row>
    <row r="46">
      <c r="B46" s="4" t="s">
        <v>301</v>
      </c>
      <c r="H46" s="35"/>
    </row>
    <row r="47">
      <c r="B47" s="4" t="s">
        <v>302</v>
      </c>
      <c r="C47" s="50">
        <f>C23+C24+C28</f>
        <v>3968.1</v>
      </c>
      <c r="D47" s="50">
        <f>D23+D24+D28</f>
        <v>3918.6</v>
      </c>
      <c r="E47" s="50">
        <f>E23+E24+E28</f>
        <v>3992.7</v>
      </c>
      <c r="F47" s="50">
        <f>F23+F24+F28</f>
        <v>3915.2</v>
      </c>
      <c r="G47" s="50">
        <f>G23+G24+G28</f>
        <v>3915.2</v>
      </c>
      <c r="H47" s="42">
        <f>H23+H24+H28</f>
        <v>3855.2</v>
      </c>
    </row>
    <row r="48">
      <c r="B48" s="4" t="s">
        <v>303</v>
      </c>
      <c r="C48" s="50">
        <f>C47-C9</f>
        <v>3869.5</v>
      </c>
      <c r="D48" s="50">
        <f>D47-D9</f>
        <v>3835.9</v>
      </c>
      <c r="E48" s="50">
        <f>E47-E9</f>
        <v>3935.2</v>
      </c>
      <c r="F48" s="50">
        <f>F47-F9</f>
        <v>3847</v>
      </c>
      <c r="G48" s="50">
        <f>G47-G9</f>
        <v>3847</v>
      </c>
      <c r="H48" s="42">
        <f>H47-H9</f>
        <v>3782.65744753396</v>
      </c>
      <c r="I48" s="8" t="s">
        <v>304</v>
      </c>
    </row>
    <row r="49">
      <c r="B49" s="1" t="s">
        <v>305</v>
      </c>
      <c r="C49" s="6">
        <f>'Income Statement'!G151-'Income Statement'!C151+'Income Statement'!C147</f>
        <v>1262.8</v>
      </c>
      <c r="D49" s="6">
        <f>'Income Statement'!G151-SUM('Income Statement'!C151:D151)+SUM('Income Statement'!C147:D147)</f>
        <v>1254.3000000000002</v>
      </c>
      <c r="E49" s="6">
        <f>'Income Statement'!G151-SUM('Income Statement'!C151:E151)+SUM('Income Statement'!C147:E147)</f>
        <v>1153</v>
      </c>
      <c r="F49" s="6">
        <f>SUM('Income Statement'!C147:F147)</f>
        <v>1147.2</v>
      </c>
      <c r="G49" s="6">
        <f>'Income Statement'!G147</f>
        <v>1147.2</v>
      </c>
      <c r="H49" s="40">
        <f>'Income Statement'!G147-'Income Statement'!C147+'Income Statement'!H147</f>
        <v>1110.1328056195</v>
      </c>
    </row>
    <row r="50">
      <c r="B50" s="1" t="s">
        <v>306</v>
      </c>
      <c r="C50" s="74">
        <f>C48/C49</f>
        <v>3.064222363002851</v>
      </c>
      <c r="D50" s="74">
        <f>D48/D49</f>
        <v>3.058199792713067</v>
      </c>
      <c r="E50" s="74">
        <f>E48/E49</f>
        <v>3.413009540329575</v>
      </c>
      <c r="F50" s="74">
        <f>F48/F49</f>
        <v>3.353382147838215</v>
      </c>
      <c r="G50" s="74">
        <f>G48/G49</f>
        <v>3.353382147838215</v>
      </c>
      <c r="H50" s="73">
        <f>H48/H49</f>
        <v>3.40739182590238</v>
      </c>
    </row>
    <row r="51">
      <c r="B51" s="1" t="s">
        <v>307</v>
      </c>
      <c r="C51" s="74" t="s">
        <v>44</v>
      </c>
      <c r="D51" s="74">
        <f>D50-C50</f>
        <v>-0.006022570289784035</v>
      </c>
      <c r="E51" s="74">
        <f>E50-D50</f>
        <v>0.3548097476165082</v>
      </c>
      <c r="F51" s="74">
        <f>F50-E50</f>
        <v>-0.059627392491360176</v>
      </c>
      <c r="G51" s="74"/>
      <c r="H51" s="73">
        <f>H50-F50</f>
        <v>0.05400967806416501</v>
      </c>
    </row>
  </sheetData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B1:I14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</cols>
  <sheetData>
    <row r="1">
      <c r="B1" s="23" t="s">
        <v>0</v>
      </c>
    </row>
    <row r="2">
      <c r="B2" s="21" t="s">
        <v>308</v>
      </c>
    </row>
    <row r="3">
      <c r="B3" s="20" t="s">
        <v>2</v>
      </c>
    </row>
    <row r="4">
      <c r="B4" s="17" t="s">
        <v>64</v>
      </c>
      <c r="C4" s="3" t="s">
        <v>65</v>
      </c>
      <c r="D4" s="3" t="s">
        <v>66</v>
      </c>
      <c r="E4" s="3" t="s">
        <v>67</v>
      </c>
      <c r="F4" s="3" t="s">
        <v>68</v>
      </c>
      <c r="G4" s="3" t="s">
        <v>69</v>
      </c>
      <c r="H4" s="30" t="s">
        <v>70</v>
      </c>
      <c r="I4" s="17" t="s">
        <v>71</v>
      </c>
    </row>
    <row r="5">
      <c r="B5" s="14" t="s">
        <v>72</v>
      </c>
      <c r="C5" s="19">
        <v>45893</v>
      </c>
      <c r="D5" s="19">
        <v>45984</v>
      </c>
      <c r="E5" s="19">
        <v>46075</v>
      </c>
      <c r="F5" s="19">
        <v>46173</v>
      </c>
      <c r="G5" s="19">
        <v>46173</v>
      </c>
      <c r="H5" s="16">
        <v>46264</v>
      </c>
      <c r="I5" s="14"/>
    </row>
    <row r="6">
      <c r="B6" s="10" t="s">
        <v>73</v>
      </c>
      <c r="C6" s="5">
        <v>91</v>
      </c>
      <c r="D6" s="5">
        <v>91</v>
      </c>
      <c r="E6" s="5">
        <v>91</v>
      </c>
      <c r="F6" s="5">
        <v>98</v>
      </c>
      <c r="G6" s="5">
        <v>371</v>
      </c>
      <c r="H6" s="26">
        <v>91</v>
      </c>
      <c r="I6" s="10"/>
    </row>
    <row r="8">
      <c r="B8" s="52" t="s">
        <v>309</v>
      </c>
      <c r="H8" s="35"/>
    </row>
    <row r="9">
      <c r="B9" s="4" t="s">
        <v>310</v>
      </c>
      <c r="H9" s="35"/>
    </row>
    <row r="10">
      <c r="B10" s="1" t="s">
        <v>311</v>
      </c>
      <c r="C10" s="15">
        <f>N(C113)</f>
        <v>64.2999999999999</v>
      </c>
      <c r="D10" s="15">
        <f>N(D113)-N(C113)</f>
        <v>62.099999999999966</v>
      </c>
      <c r="E10" s="15">
        <f>N(E113)-N(D113)</f>
        <v>53.999999999999886</v>
      </c>
      <c r="F10" s="15">
        <f>N(F113)-N(E113)</f>
        <v>109.59999999999991</v>
      </c>
      <c r="G10" s="15">
        <f>N(F113)</f>
        <v>289.99999999999966</v>
      </c>
      <c r="H10" s="40">
        <f>'Income Statement'!H34</f>
        <v>43.275620046040004</v>
      </c>
    </row>
    <row r="11">
      <c r="B11" s="1" t="s">
        <v>312</v>
      </c>
      <c r="C11" s="15">
        <f>N(C114)</f>
        <v>95.3</v>
      </c>
      <c r="D11" s="15">
        <f>N(D114)-N(C114)</f>
        <v>96.2</v>
      </c>
      <c r="E11" s="15">
        <f>N(E114)-N(D114)</f>
        <v>100.30000000000001</v>
      </c>
      <c r="F11" s="15">
        <f>N(F114)-N(E114)</f>
        <v>104.89999999999998</v>
      </c>
      <c r="G11" s="15">
        <f>N(F114)</f>
        <v>396.7</v>
      </c>
      <c r="H11" s="40">
        <f>'Income Statement'!H154-H108</f>
        <v>99.3</v>
      </c>
      <c r="I11" s="8" t="s">
        <v>313</v>
      </c>
    </row>
    <row r="12">
      <c r="B12" s="1" t="s">
        <v>123</v>
      </c>
      <c r="C12" s="15" t="s">
        <v>44</v>
      </c>
      <c r="D12" s="15" t="s">
        <v>44</v>
      </c>
      <c r="E12" s="15" t="s">
        <v>44</v>
      </c>
      <c r="F12" s="15" t="s">
        <v>44</v>
      </c>
      <c r="G12" s="15" t="s">
        <v>44</v>
      </c>
      <c r="H12" s="49">
        <f>H11-C11</f>
        <v>4</v>
      </c>
    </row>
    <row r="13">
      <c r="B13" s="1" t="s">
        <v>124</v>
      </c>
      <c r="C13" s="15" t="s">
        <v>44</v>
      </c>
      <c r="D13" s="15">
        <f>D11-C11</f>
        <v>0.9000000000000057</v>
      </c>
      <c r="E13" s="15">
        <f>E11-D11</f>
        <v>4.1000000000000085</v>
      </c>
      <c r="F13" s="15">
        <f>F11-E11</f>
        <v>4.599999999999966</v>
      </c>
      <c r="G13" s="15"/>
      <c r="H13" s="49">
        <f>H11-F11</f>
        <v>-5.59999999999998</v>
      </c>
    </row>
    <row r="14">
      <c r="B14" s="1" t="s">
        <v>198</v>
      </c>
      <c r="C14" s="15">
        <f>N(C115)</f>
        <v>10.6</v>
      </c>
      <c r="D14" s="15">
        <f>N(D115)-N(C115)</f>
        <v>9.500000000000002</v>
      </c>
      <c r="E14" s="15">
        <f>N(E115)-N(D115)</f>
        <v>10.5</v>
      </c>
      <c r="F14" s="15">
        <f>N(F115)-N(E115)</f>
        <v>15.600000000000001</v>
      </c>
      <c r="G14" s="15">
        <f>N(F115)</f>
        <v>46.2</v>
      </c>
      <c r="H14" s="40">
        <f>'Income Statement'!H56</f>
        <v>11</v>
      </c>
    </row>
    <row r="15">
      <c r="B15" s="1" t="s">
        <v>123</v>
      </c>
      <c r="C15" s="15" t="s">
        <v>44</v>
      </c>
      <c r="D15" s="15" t="s">
        <v>44</v>
      </c>
      <c r="E15" s="15" t="s">
        <v>44</v>
      </c>
      <c r="F15" s="15" t="s">
        <v>44</v>
      </c>
      <c r="G15" s="15" t="s">
        <v>44</v>
      </c>
      <c r="H15" s="49">
        <f>H14-C14</f>
        <v>0.40000000000000036</v>
      </c>
    </row>
    <row r="16">
      <c r="B16" s="1" t="s">
        <v>124</v>
      </c>
      <c r="C16" s="15" t="s">
        <v>44</v>
      </c>
      <c r="D16" s="15">
        <f>D14-C14</f>
        <v>-1.0999999999999979</v>
      </c>
      <c r="E16" s="15">
        <f>E14-D14</f>
        <v>0.9999999999999982</v>
      </c>
      <c r="F16" s="15">
        <f>F14-E14</f>
        <v>5.100000000000001</v>
      </c>
      <c r="G16" s="15"/>
      <c r="H16" s="49">
        <f>H14-F14</f>
        <v>-4.600000000000001</v>
      </c>
    </row>
    <row r="17">
      <c r="B17" s="1" t="s">
        <v>314</v>
      </c>
      <c r="C17" s="15">
        <f>N(C116)</f>
        <v>0.2</v>
      </c>
      <c r="D17" s="15">
        <f>N(D116)-N(C116)</f>
        <v>-3</v>
      </c>
      <c r="E17" s="15">
        <f>N(E116)-N(D116)</f>
        <v>0.2999999999999998</v>
      </c>
      <c r="F17" s="15">
        <f>N(F116)-N(E116)</f>
        <v>0</v>
      </c>
      <c r="G17" s="15">
        <f>N(F116)</f>
        <v>-2.5</v>
      </c>
      <c r="H17" s="68">
        <v>0</v>
      </c>
    </row>
    <row r="18">
      <c r="B18" s="1" t="s">
        <v>123</v>
      </c>
      <c r="C18" s="15" t="s">
        <v>44</v>
      </c>
      <c r="D18" s="15" t="s">
        <v>44</v>
      </c>
      <c r="E18" s="15" t="s">
        <v>44</v>
      </c>
      <c r="F18" s="15" t="s">
        <v>44</v>
      </c>
      <c r="G18" s="15" t="s">
        <v>44</v>
      </c>
      <c r="H18" s="49">
        <f>H17-C17</f>
        <v>-0.2</v>
      </c>
    </row>
    <row r="19">
      <c r="B19" s="1" t="s">
        <v>124</v>
      </c>
      <c r="C19" s="15" t="s">
        <v>44</v>
      </c>
      <c r="D19" s="15">
        <f>D17-C17</f>
        <v>-3.2</v>
      </c>
      <c r="E19" s="15">
        <f>E17-D17</f>
        <v>3.3</v>
      </c>
      <c r="F19" s="15">
        <f>F17-E17</f>
        <v>-0.2999999999999998</v>
      </c>
      <c r="G19" s="15"/>
      <c r="H19" s="49">
        <f>H17-F17</f>
        <v>0</v>
      </c>
    </row>
    <row r="20">
      <c r="B20" s="1" t="s">
        <v>286</v>
      </c>
      <c r="C20" s="15">
        <f>N(C117)</f>
        <v>14.5</v>
      </c>
      <c r="D20" s="15">
        <f>N(D117)-N(C117)</f>
        <v>4.5</v>
      </c>
      <c r="E20" s="15">
        <f>N(E117)-N(D117)</f>
        <v>-3.9000000000000004</v>
      </c>
      <c r="F20" s="15">
        <f>N(F117)-N(E117)</f>
        <v>25.4</v>
      </c>
      <c r="G20" s="15">
        <f>N(F117)</f>
        <v>40.5</v>
      </c>
      <c r="H20" s="68">
        <v>0</v>
      </c>
    </row>
    <row r="21">
      <c r="B21" s="1" t="s">
        <v>123</v>
      </c>
      <c r="C21" s="15" t="s">
        <v>44</v>
      </c>
      <c r="D21" s="15" t="s">
        <v>44</v>
      </c>
      <c r="E21" s="15" t="s">
        <v>44</v>
      </c>
      <c r="F21" s="15" t="s">
        <v>44</v>
      </c>
      <c r="G21" s="15" t="s">
        <v>44</v>
      </c>
      <c r="H21" s="49">
        <f>H20-C20</f>
        <v>-14.5</v>
      </c>
    </row>
    <row r="22">
      <c r="B22" s="1" t="s">
        <v>124</v>
      </c>
      <c r="C22" s="15" t="s">
        <v>44</v>
      </c>
      <c r="D22" s="15">
        <f>D20-C20</f>
        <v>-10</v>
      </c>
      <c r="E22" s="15">
        <f>E20-D20</f>
        <v>-8.4</v>
      </c>
      <c r="F22" s="15">
        <f>F20-E20</f>
        <v>29.299999999999997</v>
      </c>
      <c r="G22" s="15"/>
      <c r="H22" s="49">
        <f>H20-F20</f>
        <v>-25.4</v>
      </c>
    </row>
    <row r="23">
      <c r="B23" s="1" t="s">
        <v>315</v>
      </c>
      <c r="C23" s="15">
        <f>N(C118)</f>
        <v>13.1</v>
      </c>
      <c r="D23" s="15">
        <f>N(D118)-N(C118)</f>
        <v>1.0999999999999996</v>
      </c>
      <c r="E23" s="15" t="s">
        <v>44</v>
      </c>
      <c r="F23" s="15" t="s">
        <v>44</v>
      </c>
      <c r="G23" s="15" t="s">
        <v>44</v>
      </c>
      <c r="H23" s="68">
        <v>0</v>
      </c>
      <c r="I23" s="8" t="s">
        <v>316</v>
      </c>
    </row>
    <row r="24">
      <c r="B24" s="1" t="s">
        <v>123</v>
      </c>
      <c r="C24" s="15" t="s">
        <v>44</v>
      </c>
      <c r="D24" s="15" t="s">
        <v>44</v>
      </c>
      <c r="E24" s="15" t="s">
        <v>44</v>
      </c>
      <c r="F24" s="15" t="s">
        <v>44</v>
      </c>
      <c r="G24" s="15" t="s">
        <v>44</v>
      </c>
      <c r="H24" s="49">
        <f>H23-C23</f>
        <v>-13.1</v>
      </c>
    </row>
    <row r="25">
      <c r="B25" s="1" t="s">
        <v>124</v>
      </c>
      <c r="C25" s="15" t="s">
        <v>44</v>
      </c>
      <c r="D25" s="15">
        <f>D23-C23</f>
        <v>-12</v>
      </c>
      <c r="E25" s="15" t="s">
        <v>44</v>
      </c>
      <c r="F25" s="15" t="s">
        <v>44</v>
      </c>
      <c r="G25" s="15"/>
      <c r="H25" s="49" t="s">
        <v>44</v>
      </c>
    </row>
    <row r="26">
      <c r="B26" s="1" t="s">
        <v>317</v>
      </c>
      <c r="C26" s="15" t="s">
        <v>44</v>
      </c>
      <c r="D26" s="15" t="s">
        <v>44</v>
      </c>
      <c r="E26" s="15" t="s">
        <v>44</v>
      </c>
      <c r="F26" s="15">
        <f>N(F119)-N(E119)</f>
        <v>-8.600000000000001</v>
      </c>
      <c r="G26" s="15">
        <f>N(F119)</f>
        <v>37.8</v>
      </c>
      <c r="H26" s="40">
        <f>'Income Statement'!H59*H105</f>
        <v>28</v>
      </c>
      <c r="I26" s="8" t="s">
        <v>318</v>
      </c>
    </row>
    <row r="27">
      <c r="B27" s="1" t="s">
        <v>123</v>
      </c>
      <c r="C27" s="15" t="s">
        <v>44</v>
      </c>
      <c r="D27" s="15" t="s">
        <v>44</v>
      </c>
      <c r="E27" s="15" t="s">
        <v>44</v>
      </c>
      <c r="F27" s="15" t="s">
        <v>44</v>
      </c>
      <c r="G27" s="15" t="s">
        <v>44</v>
      </c>
      <c r="H27" s="49" t="s">
        <v>44</v>
      </c>
    </row>
    <row r="28">
      <c r="B28" s="1" t="s">
        <v>124</v>
      </c>
      <c r="C28" s="15" t="s">
        <v>44</v>
      </c>
      <c r="D28" s="15" t="s">
        <v>44</v>
      </c>
      <c r="E28" s="15" t="s">
        <v>44</v>
      </c>
      <c r="F28" s="15" t="s">
        <v>44</v>
      </c>
      <c r="G28" s="15"/>
      <c r="H28" s="49">
        <f>H26-F26</f>
        <v>36.6</v>
      </c>
    </row>
    <row r="29">
      <c r="B29" s="1" t="s">
        <v>196</v>
      </c>
      <c r="C29" s="15">
        <f>N(C120)</f>
        <v>0</v>
      </c>
      <c r="D29" s="15">
        <f>N(D120)-N(C120)</f>
        <v>0</v>
      </c>
      <c r="E29" s="15">
        <f>N(E120)-N(D120)</f>
        <v>0</v>
      </c>
      <c r="F29" s="15">
        <f>N(F120)-N(E120)</f>
        <v>0</v>
      </c>
      <c r="G29" s="15">
        <f>N(F120)</f>
        <v>0</v>
      </c>
      <c r="H29" s="68">
        <v>0</v>
      </c>
    </row>
    <row r="30">
      <c r="B30" s="1" t="s">
        <v>123</v>
      </c>
      <c r="C30" s="15" t="s">
        <v>44</v>
      </c>
      <c r="D30" s="15" t="s">
        <v>44</v>
      </c>
      <c r="E30" s="15" t="s">
        <v>44</v>
      </c>
      <c r="F30" s="15" t="s">
        <v>44</v>
      </c>
      <c r="G30" s="15" t="s">
        <v>44</v>
      </c>
      <c r="H30" s="49">
        <f>H29-C29</f>
        <v>0</v>
      </c>
    </row>
    <row r="31">
      <c r="B31" s="1" t="s">
        <v>124</v>
      </c>
      <c r="C31" s="15" t="s">
        <v>44</v>
      </c>
      <c r="D31" s="15">
        <f>D29-C29</f>
        <v>0</v>
      </c>
      <c r="E31" s="15">
        <f>E29-D29</f>
        <v>0</v>
      </c>
      <c r="F31" s="15">
        <f>F29-E29</f>
        <v>0</v>
      </c>
      <c r="G31" s="15"/>
      <c r="H31" s="49">
        <f>H29-F29</f>
        <v>0</v>
      </c>
    </row>
    <row r="32">
      <c r="B32" s="1" t="s">
        <v>319</v>
      </c>
      <c r="C32" s="15">
        <f>N(C121)</f>
        <v>-1.5</v>
      </c>
      <c r="D32" s="15">
        <f>N(D121)-N(C121)</f>
        <v>13.3</v>
      </c>
      <c r="E32" s="15">
        <f>(N(E118)+N(E119)+N(E121))-(N(D118)+N(D119)+N(D121))</f>
        <v>12.399999999999999</v>
      </c>
      <c r="F32" s="15">
        <f>N(F121)-N(E121)</f>
        <v>9</v>
      </c>
      <c r="G32" s="15">
        <f>N(F121)</f>
        <v>1</v>
      </c>
      <c r="H32" s="68">
        <v>0</v>
      </c>
      <c r="I32" s="90" t="s">
        <v>320</v>
      </c>
    </row>
    <row r="33">
      <c r="B33" s="1" t="s">
        <v>123</v>
      </c>
      <c r="C33" s="15" t="s">
        <v>44</v>
      </c>
      <c r="D33" s="15" t="s">
        <v>44</v>
      </c>
      <c r="E33" s="15" t="s">
        <v>44</v>
      </c>
      <c r="F33" s="15" t="s">
        <v>44</v>
      </c>
      <c r="G33" s="15" t="s">
        <v>44</v>
      </c>
      <c r="H33" s="49" t="s">
        <v>44</v>
      </c>
    </row>
    <row r="34">
      <c r="B34" s="1" t="s">
        <v>124</v>
      </c>
      <c r="C34" s="15" t="s">
        <v>44</v>
      </c>
      <c r="D34" s="15">
        <f>D32-C32</f>
        <v>14.8</v>
      </c>
      <c r="E34" s="15" t="s">
        <v>44</v>
      </c>
      <c r="F34" s="15" t="s">
        <v>44</v>
      </c>
      <c r="G34" s="15"/>
      <c r="H34" s="49">
        <f>H32-F32</f>
        <v>-9</v>
      </c>
    </row>
    <row r="35">
      <c r="B35" s="1" t="s">
        <v>321</v>
      </c>
      <c r="C35" s="15">
        <f>N(C122)</f>
        <v>17.6</v>
      </c>
      <c r="D35" s="15">
        <f>N(D122)-N(C122)</f>
        <v>26.199999999999996</v>
      </c>
      <c r="E35" s="15">
        <f>N(E122)-N(D122)</f>
        <v>9.800000000000004</v>
      </c>
      <c r="F35" s="15">
        <f>N(F122)-N(E122)</f>
        <v>-33.3</v>
      </c>
      <c r="G35" s="15">
        <f>N(F122)</f>
        <v>20.3</v>
      </c>
      <c r="H35" s="68">
        <v>5</v>
      </c>
    </row>
    <row r="36">
      <c r="B36" s="1" t="s">
        <v>123</v>
      </c>
      <c r="C36" s="15" t="s">
        <v>44</v>
      </c>
      <c r="D36" s="15" t="s">
        <v>44</v>
      </c>
      <c r="E36" s="15" t="s">
        <v>44</v>
      </c>
      <c r="F36" s="15" t="s">
        <v>44</v>
      </c>
      <c r="G36" s="15" t="s">
        <v>44</v>
      </c>
      <c r="H36" s="49">
        <f>H35-C35</f>
        <v>-12.600000000000001</v>
      </c>
    </row>
    <row r="37">
      <c r="B37" s="1" t="s">
        <v>124</v>
      </c>
      <c r="C37" s="15" t="s">
        <v>44</v>
      </c>
      <c r="D37" s="15">
        <f>D35-C35</f>
        <v>8.599999999999994</v>
      </c>
      <c r="E37" s="15">
        <f>E35-D35</f>
        <v>-16.39999999999999</v>
      </c>
      <c r="F37" s="15">
        <f>F35-E35</f>
        <v>-43.1</v>
      </c>
      <c r="G37" s="15"/>
      <c r="H37" s="49">
        <f>H35-F35</f>
        <v>38.3</v>
      </c>
    </row>
    <row r="38">
      <c r="B38" s="1" t="s">
        <v>267</v>
      </c>
      <c r="C38" s="15">
        <f>N(C123)</f>
        <v>136.3</v>
      </c>
      <c r="D38" s="15">
        <f>N(D123)-N(C123)</f>
        <v>-215.8</v>
      </c>
      <c r="E38" s="15">
        <f>N(E123)-N(D123)</f>
        <v>34.3</v>
      </c>
      <c r="F38" s="15">
        <f>N(F123)-N(E123)</f>
        <v>123</v>
      </c>
      <c r="G38" s="15">
        <f>N(F123)</f>
        <v>77.8</v>
      </c>
      <c r="H38" s="68">
        <v>80</v>
      </c>
      <c r="I38" s="8" t="s">
        <v>322</v>
      </c>
    </row>
    <row r="39">
      <c r="B39" s="1" t="s">
        <v>123</v>
      </c>
      <c r="C39" s="15" t="s">
        <v>44</v>
      </c>
      <c r="D39" s="15" t="s">
        <v>44</v>
      </c>
      <c r="E39" s="15" t="s">
        <v>44</v>
      </c>
      <c r="F39" s="15" t="s">
        <v>44</v>
      </c>
      <c r="G39" s="15" t="s">
        <v>44</v>
      </c>
      <c r="H39" s="49">
        <f>H38-C38</f>
        <v>-56.30000000000001</v>
      </c>
    </row>
    <row r="40">
      <c r="B40" s="1" t="s">
        <v>124</v>
      </c>
      <c r="C40" s="15" t="s">
        <v>44</v>
      </c>
      <c r="D40" s="15">
        <f>D38-C38</f>
        <v>-352.1</v>
      </c>
      <c r="E40" s="15">
        <f>E38-D38</f>
        <v>250.10000000000002</v>
      </c>
      <c r="F40" s="15">
        <f>F38-E38</f>
        <v>88.7</v>
      </c>
      <c r="G40" s="15"/>
      <c r="H40" s="49">
        <f>H38-F38</f>
        <v>-43</v>
      </c>
    </row>
    <row r="41">
      <c r="B41" s="1" t="s">
        <v>323</v>
      </c>
      <c r="C41" s="15">
        <f>N(C124)</f>
        <v>22.8</v>
      </c>
      <c r="D41" s="15">
        <f>N(D124)-N(C124)</f>
        <v>-29.3</v>
      </c>
      <c r="E41" s="15">
        <f>N(E124)-N(D124)</f>
        <v>4.8</v>
      </c>
      <c r="F41" s="15">
        <f>N(F124)-N(E124)</f>
        <v>-40.199999999999996</v>
      </c>
      <c r="G41" s="15">
        <f>N(F124)</f>
        <v>-41.9</v>
      </c>
      <c r="H41" s="68">
        <v>0</v>
      </c>
    </row>
    <row r="42">
      <c r="B42" s="1" t="s">
        <v>123</v>
      </c>
      <c r="C42" s="15" t="s">
        <v>44</v>
      </c>
      <c r="D42" s="15" t="s">
        <v>44</v>
      </c>
      <c r="E42" s="15" t="s">
        <v>44</v>
      </c>
      <c r="F42" s="15" t="s">
        <v>44</v>
      </c>
      <c r="G42" s="15" t="s">
        <v>44</v>
      </c>
      <c r="H42" s="49">
        <f>H41-C41</f>
        <v>-22.8</v>
      </c>
    </row>
    <row r="43">
      <c r="B43" s="1" t="s">
        <v>124</v>
      </c>
      <c r="C43" s="15" t="s">
        <v>44</v>
      </c>
      <c r="D43" s="15">
        <f>D41-C41</f>
        <v>-52.1</v>
      </c>
      <c r="E43" s="15">
        <f>E41-D41</f>
        <v>34.1</v>
      </c>
      <c r="F43" s="15">
        <f>F41-E41</f>
        <v>-44.99999999999999</v>
      </c>
      <c r="G43" s="15"/>
      <c r="H43" s="49">
        <f>H41-F41</f>
        <v>40.199999999999996</v>
      </c>
    </row>
    <row r="44">
      <c r="B44" s="1" t="s">
        <v>269</v>
      </c>
      <c r="C44" s="15">
        <f>N(C125)</f>
        <v>40.2</v>
      </c>
      <c r="D44" s="15">
        <f>N(D125)-N(C125)</f>
        <v>27.299999999999997</v>
      </c>
      <c r="E44" s="15">
        <f>N(E125)-N(D125)</f>
        <v>-81.3</v>
      </c>
      <c r="F44" s="15">
        <f>N(F125)-N(E125)</f>
        <v>11.200000000000001</v>
      </c>
      <c r="G44" s="15">
        <f>N(F125)</f>
        <v>-2.6</v>
      </c>
      <c r="H44" s="68">
        <v>5</v>
      </c>
    </row>
    <row r="45">
      <c r="B45" s="1" t="s">
        <v>123</v>
      </c>
      <c r="C45" s="15" t="s">
        <v>44</v>
      </c>
      <c r="D45" s="15" t="s">
        <v>44</v>
      </c>
      <c r="E45" s="15" t="s">
        <v>44</v>
      </c>
      <c r="F45" s="15" t="s">
        <v>44</v>
      </c>
      <c r="G45" s="15" t="s">
        <v>44</v>
      </c>
      <c r="H45" s="49">
        <f>H44-C44</f>
        <v>-35.2</v>
      </c>
    </row>
    <row r="46">
      <c r="B46" s="1" t="s">
        <v>124</v>
      </c>
      <c r="C46" s="15" t="s">
        <v>44</v>
      </c>
      <c r="D46" s="15">
        <f>D44-C44</f>
        <v>-12.900000000000006</v>
      </c>
      <c r="E46" s="15">
        <f>E44-D44</f>
        <v>-108.6</v>
      </c>
      <c r="F46" s="15">
        <f>F44-E44</f>
        <v>92.5</v>
      </c>
      <c r="G46" s="15"/>
      <c r="H46" s="49">
        <f>H44-F44</f>
        <v>-6.200000000000001</v>
      </c>
    </row>
    <row r="47">
      <c r="B47" s="1" t="s">
        <v>282</v>
      </c>
      <c r="C47" s="15">
        <f>N(C126)</f>
        <v>-47.7</v>
      </c>
      <c r="D47" s="15">
        <f>N(D126)-N(C126)</f>
        <v>165</v>
      </c>
      <c r="E47" s="15">
        <f>N(E126)-N(D126)</f>
        <v>-125.39999999999999</v>
      </c>
      <c r="F47" s="15">
        <f>N(F126)-N(E126)</f>
        <v>6.6</v>
      </c>
      <c r="G47" s="15">
        <f>N(F126)</f>
        <v>-1.5</v>
      </c>
      <c r="H47" s="68">
        <v>-30</v>
      </c>
    </row>
    <row r="48">
      <c r="B48" s="1" t="s">
        <v>123</v>
      </c>
      <c r="C48" s="15" t="s">
        <v>44</v>
      </c>
      <c r="D48" s="15" t="s">
        <v>44</v>
      </c>
      <c r="E48" s="15" t="s">
        <v>44</v>
      </c>
      <c r="F48" s="15" t="s">
        <v>44</v>
      </c>
      <c r="G48" s="15" t="s">
        <v>44</v>
      </c>
      <c r="H48" s="49">
        <f>H47-C47</f>
        <v>17.700000000000003</v>
      </c>
    </row>
    <row r="49">
      <c r="B49" s="1" t="s">
        <v>124</v>
      </c>
      <c r="C49" s="15" t="s">
        <v>44</v>
      </c>
      <c r="D49" s="15">
        <f>D47-C47</f>
        <v>212.7</v>
      </c>
      <c r="E49" s="15">
        <f>E47-D47</f>
        <v>-290.4</v>
      </c>
      <c r="F49" s="15">
        <f>F47-E47</f>
        <v>132</v>
      </c>
      <c r="G49" s="15"/>
      <c r="H49" s="49">
        <f>H47-F47</f>
        <v>-36.6</v>
      </c>
    </row>
    <row r="50">
      <c r="B50" s="1" t="s">
        <v>283</v>
      </c>
      <c r="C50" s="15">
        <f>N(C127)</f>
        <v>-13.7</v>
      </c>
      <c r="D50" s="15">
        <f>N(D127)-N(C127)</f>
        <v>21.299999999999997</v>
      </c>
      <c r="E50" s="15">
        <f>N(E127)-N(D127)</f>
        <v>49.4</v>
      </c>
      <c r="F50" s="15">
        <f>N(F127)-N(E127)</f>
        <v>24.099999999999994</v>
      </c>
      <c r="G50" s="15">
        <f>N(F127)</f>
        <v>81.1</v>
      </c>
      <c r="H50" s="68">
        <v>-10</v>
      </c>
    </row>
    <row r="51">
      <c r="B51" s="1" t="s">
        <v>123</v>
      </c>
      <c r="C51" s="15" t="s">
        <v>44</v>
      </c>
      <c r="D51" s="15" t="s">
        <v>44</v>
      </c>
      <c r="E51" s="15" t="s">
        <v>44</v>
      </c>
      <c r="F51" s="15" t="s">
        <v>44</v>
      </c>
      <c r="G51" s="15" t="s">
        <v>44</v>
      </c>
      <c r="H51" s="49">
        <f>H50-C50</f>
        <v>3.6999999999999993</v>
      </c>
    </row>
    <row r="52">
      <c r="B52" s="1" t="s">
        <v>124</v>
      </c>
      <c r="C52" s="15" t="s">
        <v>44</v>
      </c>
      <c r="D52" s="15">
        <f>D50-C50</f>
        <v>35</v>
      </c>
      <c r="E52" s="15">
        <f>E50-D50</f>
        <v>28.1</v>
      </c>
      <c r="F52" s="15">
        <f>F50-E50</f>
        <v>-25.300000000000004</v>
      </c>
      <c r="G52" s="15"/>
      <c r="H52" s="49">
        <f>H50-F50</f>
        <v>-34.099999999999994</v>
      </c>
    </row>
    <row r="53">
      <c r="B53" s="4" t="s">
        <v>324</v>
      </c>
      <c r="C53" s="50">
        <f>C35+C38+C41+C44+C47+C50</f>
        <v>155.50000000000006</v>
      </c>
      <c r="D53" s="50">
        <f>D35+D38+D41+D44+D47+D50</f>
        <v>-5.300000000000026</v>
      </c>
      <c r="E53" s="50">
        <f>E35+E38+E41+E44+E47+E50</f>
        <v>-108.39999999999998</v>
      </c>
      <c r="F53" s="50">
        <f>F35+F38+F41+F44+F47+F50</f>
        <v>91.4</v>
      </c>
      <c r="G53" s="50">
        <f>G35+G38+G41+G44+G47+G50</f>
        <v>133.2</v>
      </c>
      <c r="H53" s="42">
        <f>H35+H38+H41+H44+H47+H50</f>
        <v>50</v>
      </c>
    </row>
    <row r="54">
      <c r="B54" s="4" t="s">
        <v>325</v>
      </c>
      <c r="C54" s="50">
        <f>SUM(C10,C11,C14,C17,C20,C23,C26,C29,C32,C53)</f>
        <v>351.99999999999994</v>
      </c>
      <c r="D54" s="50">
        <f>SUM(D10,D11,D14,D17,D20,D23,D26,D29,D32,D53)</f>
        <v>178.39999999999995</v>
      </c>
      <c r="E54" s="50">
        <f>SUM(E10,E11,E14,E17,E20,E23,E26,E29,E32,E53)</f>
        <v>65.19999999999992</v>
      </c>
      <c r="F54" s="50">
        <f>SUM(F10,F11,F14,F17,F20,F23,F26,F29,F32,F53)</f>
        <v>347.2999999999999</v>
      </c>
      <c r="G54" s="50">
        <f>SUM(G10,G11,G14,G17,G20,G23,G26,G29,G32,G53)</f>
        <v>942.8999999999996</v>
      </c>
      <c r="H54" s="42">
        <f>SUM(H10,H11,H14,H17,H20,H23,H26,H29,H32,H53)</f>
        <v>231.57562004604</v>
      </c>
    </row>
    <row r="55">
      <c r="B55" s="1" t="s">
        <v>326</v>
      </c>
      <c r="C55" s="74">
        <f>C54/C10</f>
        <v>5.4743390357698365</v>
      </c>
      <c r="D55" s="74">
        <f>D54/D10</f>
        <v>2.872785829307569</v>
      </c>
      <c r="E55" s="74">
        <f>E54/E10</f>
        <v>1.2074074074074084</v>
      </c>
      <c r="F55" s="74">
        <f>F54/F10</f>
        <v>3.1687956204379577</v>
      </c>
      <c r="G55" s="74">
        <f>G54/G10</f>
        <v>3.2513793103448303</v>
      </c>
      <c r="H55" s="73">
        <f>H54/H10</f>
        <v>5.351179712726743</v>
      </c>
    </row>
    <row r="56">
      <c r="B56" s="4" t="s">
        <v>327</v>
      </c>
      <c r="H56" s="35"/>
    </row>
    <row r="57">
      <c r="B57" s="1" t="s">
        <v>328</v>
      </c>
      <c r="C57" s="15">
        <f>N(C129)</f>
        <v>-77.6</v>
      </c>
      <c r="D57" s="15">
        <f>N(D129)-N(C129)</f>
        <v>-77.4</v>
      </c>
      <c r="E57" s="15">
        <f>N(E129)-N(D129)</f>
        <v>-101.5</v>
      </c>
      <c r="F57" s="15">
        <f>N(F129)-N(E129)</f>
        <v>-146.2</v>
      </c>
      <c r="G57" s="15">
        <f>N(F129)</f>
        <v>-402.7</v>
      </c>
      <c r="H57" s="68">
        <v>-95</v>
      </c>
      <c r="I57" s="8" t="s">
        <v>329</v>
      </c>
    </row>
    <row r="58">
      <c r="B58" s="1" t="s">
        <v>123</v>
      </c>
      <c r="C58" s="15" t="s">
        <v>44</v>
      </c>
      <c r="D58" s="15" t="s">
        <v>44</v>
      </c>
      <c r="E58" s="15" t="s">
        <v>44</v>
      </c>
      <c r="F58" s="15" t="s">
        <v>44</v>
      </c>
      <c r="G58" s="15" t="s">
        <v>44</v>
      </c>
      <c r="H58" s="49">
        <f>H57-C57</f>
        <v>-17.400000000000006</v>
      </c>
    </row>
    <row r="59">
      <c r="B59" s="1" t="s">
        <v>124</v>
      </c>
      <c r="C59" s="15" t="s">
        <v>44</v>
      </c>
      <c r="D59" s="15">
        <f>D57-C57</f>
        <v>0.19999999999998863</v>
      </c>
      <c r="E59" s="15">
        <f>E57-D57</f>
        <v>-24.099999999999994</v>
      </c>
      <c r="F59" s="15">
        <f>F57-E57</f>
        <v>-44.69999999999999</v>
      </c>
      <c r="G59" s="15"/>
      <c r="H59" s="49">
        <f>H57-F57</f>
        <v>51.19999999999999</v>
      </c>
    </row>
    <row r="60">
      <c r="B60" s="1" t="s">
        <v>330</v>
      </c>
      <c r="C60" s="15">
        <f>N(C130)</f>
        <v>-1.6</v>
      </c>
      <c r="D60" s="15">
        <f>N(D130)-N(C130)</f>
        <v>0.9000000000000001</v>
      </c>
      <c r="E60" s="15">
        <f>N(E130)-N(D130)</f>
        <v>0.6</v>
      </c>
      <c r="F60" s="15">
        <f>N(F130)-N(E130)</f>
        <v>-7.300000000000001</v>
      </c>
      <c r="G60" s="15">
        <f>N(F130)</f>
        <v>-7.4</v>
      </c>
      <c r="H60" s="68">
        <v>0</v>
      </c>
    </row>
    <row r="61">
      <c r="B61" s="1" t="s">
        <v>123</v>
      </c>
      <c r="C61" s="15" t="s">
        <v>44</v>
      </c>
      <c r="D61" s="15" t="s">
        <v>44</v>
      </c>
      <c r="E61" s="15" t="s">
        <v>44</v>
      </c>
      <c r="F61" s="15" t="s">
        <v>44</v>
      </c>
      <c r="G61" s="15" t="s">
        <v>44</v>
      </c>
      <c r="H61" s="49">
        <f>H60-C60</f>
        <v>1.6</v>
      </c>
    </row>
    <row r="62">
      <c r="B62" s="1" t="s">
        <v>124</v>
      </c>
      <c r="C62" s="15" t="s">
        <v>44</v>
      </c>
      <c r="D62" s="15">
        <f>D60-C60</f>
        <v>2.5</v>
      </c>
      <c r="E62" s="15">
        <f>E60-D60</f>
        <v>-0.30000000000000016</v>
      </c>
      <c r="F62" s="15">
        <f>F60-E60</f>
        <v>-7.9</v>
      </c>
      <c r="G62" s="15"/>
      <c r="H62" s="49">
        <f>H60-F60</f>
        <v>7.300000000000001</v>
      </c>
    </row>
    <row r="63">
      <c r="B63" s="1" t="s">
        <v>331</v>
      </c>
      <c r="C63" s="15" t="s">
        <v>44</v>
      </c>
      <c r="D63" s="15" t="s">
        <v>44</v>
      </c>
      <c r="E63" s="15">
        <f>N(E131)-N(D131)</f>
        <v>0.20000000000000107</v>
      </c>
      <c r="F63" s="15">
        <f>N(F131)-N(E131)</f>
        <v>11.1</v>
      </c>
      <c r="G63" s="15">
        <f>N(F131)</f>
        <v>26</v>
      </c>
      <c r="H63" s="68">
        <v>0</v>
      </c>
      <c r="I63" s="90" t="s">
        <v>332</v>
      </c>
    </row>
    <row r="64">
      <c r="B64" s="1" t="s">
        <v>123</v>
      </c>
      <c r="C64" s="15" t="s">
        <v>44</v>
      </c>
      <c r="D64" s="15" t="s">
        <v>44</v>
      </c>
      <c r="E64" s="15" t="s">
        <v>44</v>
      </c>
      <c r="F64" s="15" t="s">
        <v>44</v>
      </c>
      <c r="G64" s="15" t="s">
        <v>44</v>
      </c>
      <c r="H64" s="49" t="s">
        <v>44</v>
      </c>
    </row>
    <row r="65">
      <c r="B65" s="1" t="s">
        <v>124</v>
      </c>
      <c r="C65" s="15" t="s">
        <v>44</v>
      </c>
      <c r="D65" s="15" t="s">
        <v>44</v>
      </c>
      <c r="E65" s="15" t="s">
        <v>44</v>
      </c>
      <c r="F65" s="15">
        <f>F63-E63</f>
        <v>10.899999999999999</v>
      </c>
      <c r="G65" s="15"/>
      <c r="H65" s="49">
        <f>H63-F63</f>
        <v>-11.1</v>
      </c>
    </row>
    <row r="66">
      <c r="B66" s="1" t="s">
        <v>333</v>
      </c>
      <c r="C66" s="15">
        <f>N(C132)</f>
        <v>0</v>
      </c>
      <c r="D66" s="15">
        <f>N(D132)-N(C132)</f>
        <v>0</v>
      </c>
      <c r="E66" s="15">
        <f>N(E132)-N(D132)</f>
        <v>0</v>
      </c>
      <c r="F66" s="15">
        <f>N(F132)-N(E132)</f>
        <v>0</v>
      </c>
      <c r="G66" s="15">
        <f>N(F132)</f>
        <v>0</v>
      </c>
      <c r="H66" s="68">
        <v>0</v>
      </c>
    </row>
    <row r="67">
      <c r="B67" s="1" t="s">
        <v>123</v>
      </c>
      <c r="C67" s="15" t="s">
        <v>44</v>
      </c>
      <c r="D67" s="15" t="s">
        <v>44</v>
      </c>
      <c r="E67" s="15" t="s">
        <v>44</v>
      </c>
      <c r="F67" s="15" t="s">
        <v>44</v>
      </c>
      <c r="G67" s="15" t="s">
        <v>44</v>
      </c>
      <c r="H67" s="49">
        <f>H66-C66</f>
        <v>0</v>
      </c>
    </row>
    <row r="68">
      <c r="B68" s="1" t="s">
        <v>124</v>
      </c>
      <c r="C68" s="15" t="s">
        <v>44</v>
      </c>
      <c r="D68" s="15">
        <f>D66-C66</f>
        <v>0</v>
      </c>
      <c r="E68" s="15">
        <f>E66-D66</f>
        <v>0</v>
      </c>
      <c r="F68" s="15">
        <f>F66-E66</f>
        <v>0</v>
      </c>
      <c r="G68" s="15"/>
      <c r="H68" s="49">
        <f>H66-F66</f>
        <v>0</v>
      </c>
    </row>
    <row r="69">
      <c r="B69" s="1" t="s">
        <v>334</v>
      </c>
      <c r="C69" s="15">
        <f>N(C133)</f>
        <v>2.9</v>
      </c>
      <c r="D69" s="15">
        <f>(N(D131)+N(D133))-(N(C131)+N(C133))</f>
        <v>15.499999999999998</v>
      </c>
      <c r="E69" s="15">
        <f>N(E133)-N(D133)</f>
        <v>0</v>
      </c>
      <c r="F69" s="15">
        <f>N(F133)-N(E133)</f>
        <v>0.19999999999999973</v>
      </c>
      <c r="G69" s="15">
        <f>N(F133)</f>
        <v>3.9</v>
      </c>
      <c r="H69" s="68">
        <v>0</v>
      </c>
      <c r="I69" s="90" t="s">
        <v>335</v>
      </c>
    </row>
    <row r="70">
      <c r="B70" s="1" t="s">
        <v>123</v>
      </c>
      <c r="C70" s="15" t="s">
        <v>44</v>
      </c>
      <c r="D70" s="15" t="s">
        <v>44</v>
      </c>
      <c r="E70" s="15" t="s">
        <v>44</v>
      </c>
      <c r="F70" s="15" t="s">
        <v>44</v>
      </c>
      <c r="G70" s="15" t="s">
        <v>44</v>
      </c>
      <c r="H70" s="49" t="s">
        <v>44</v>
      </c>
    </row>
    <row r="71">
      <c r="B71" s="1" t="s">
        <v>124</v>
      </c>
      <c r="C71" s="15" t="s">
        <v>44</v>
      </c>
      <c r="D71" s="15" t="s">
        <v>44</v>
      </c>
      <c r="E71" s="15" t="s">
        <v>44</v>
      </c>
      <c r="F71" s="15">
        <f>F69-E69</f>
        <v>0.19999999999999973</v>
      </c>
      <c r="G71" s="15"/>
      <c r="H71" s="49">
        <f>H69-F69</f>
        <v>-0.19999999999999973</v>
      </c>
    </row>
    <row r="72">
      <c r="B72" s="4" t="s">
        <v>336</v>
      </c>
      <c r="C72" s="50">
        <f>SUM(C57,C60,C63,C66,C69)</f>
        <v>-76.3</v>
      </c>
      <c r="D72" s="50">
        <f>SUM(D57,D60,D63,D66,D69)</f>
        <v>-61.00000000000001</v>
      </c>
      <c r="E72" s="50">
        <f>SUM(E57,E60,E63,E66,E69)</f>
        <v>-100.7</v>
      </c>
      <c r="F72" s="50">
        <f>SUM(F57,F60,F63,F66,F69)</f>
        <v>-142.2</v>
      </c>
      <c r="G72" s="50">
        <f>SUM(G57,G60,G63,G66,G69)</f>
        <v>-380.2</v>
      </c>
      <c r="H72" s="42">
        <f>SUM(H57,H60,H63,H66,H69)</f>
        <v>-95</v>
      </c>
    </row>
    <row r="73">
      <c r="B73" s="4" t="s">
        <v>337</v>
      </c>
      <c r="H73" s="35"/>
    </row>
    <row r="74">
      <c r="B74" s="1" t="s">
        <v>338</v>
      </c>
      <c r="C74" s="15">
        <f>N(C135)</f>
        <v>305</v>
      </c>
      <c r="D74" s="15">
        <f>N(D135)-N(C135)</f>
        <v>69.80000000000001</v>
      </c>
      <c r="E74" s="15">
        <f>N(E135)-N(D135)</f>
        <v>378.99999999999994</v>
      </c>
      <c r="F74" s="15">
        <f>N(F135)-N(E135)</f>
        <v>416</v>
      </c>
      <c r="G74" s="15">
        <f>N(F135)</f>
        <v>1169.8</v>
      </c>
      <c r="H74" s="68">
        <v>0</v>
      </c>
    </row>
    <row r="75">
      <c r="B75" s="1" t="s">
        <v>123</v>
      </c>
      <c r="C75" s="15" t="s">
        <v>44</v>
      </c>
      <c r="D75" s="15" t="s">
        <v>44</v>
      </c>
      <c r="E75" s="15" t="s">
        <v>44</v>
      </c>
      <c r="F75" s="15" t="s">
        <v>44</v>
      </c>
      <c r="G75" s="15" t="s">
        <v>44</v>
      </c>
      <c r="H75" s="49">
        <f>H74-C74</f>
        <v>-305</v>
      </c>
    </row>
    <row r="76">
      <c r="B76" s="1" t="s">
        <v>124</v>
      </c>
      <c r="C76" s="15" t="s">
        <v>44</v>
      </c>
      <c r="D76" s="15">
        <f>D74-C74</f>
        <v>-235.2</v>
      </c>
      <c r="E76" s="15">
        <f>E74-D74</f>
        <v>309.19999999999993</v>
      </c>
      <c r="F76" s="15">
        <f>F74-E74</f>
        <v>37.00000000000006</v>
      </c>
      <c r="G76" s="15"/>
      <c r="H76" s="49">
        <f>H74-F74</f>
        <v>-416</v>
      </c>
    </row>
    <row r="77">
      <c r="B77" s="1" t="s">
        <v>339</v>
      </c>
      <c r="C77" s="15">
        <f>N(C136)</f>
        <v>-466.9</v>
      </c>
      <c r="D77" s="15">
        <f>N(D136)-N(C136)</f>
        <v>-95.5</v>
      </c>
      <c r="E77" s="15">
        <f>N(E136)-N(D136)</f>
        <v>-300.20000000000005</v>
      </c>
      <c r="F77" s="15">
        <f>N(F136)-N(E136)</f>
        <v>-434.30000000000007</v>
      </c>
      <c r="G77" s="15">
        <f>N(F136)</f>
        <v>-1296.9</v>
      </c>
      <c r="H77" s="68">
        <v>-60</v>
      </c>
      <c r="I77" s="8" t="s">
        <v>340</v>
      </c>
    </row>
    <row r="78">
      <c r="B78" s="1" t="s">
        <v>123</v>
      </c>
      <c r="C78" s="15" t="s">
        <v>44</v>
      </c>
      <c r="D78" s="15" t="s">
        <v>44</v>
      </c>
      <c r="E78" s="15" t="s">
        <v>44</v>
      </c>
      <c r="F78" s="15" t="s">
        <v>44</v>
      </c>
      <c r="G78" s="15" t="s">
        <v>44</v>
      </c>
      <c r="H78" s="49">
        <f>H77-C77</f>
        <v>406.9</v>
      </c>
    </row>
    <row r="79">
      <c r="B79" s="1" t="s">
        <v>124</v>
      </c>
      <c r="C79" s="15" t="s">
        <v>44</v>
      </c>
      <c r="D79" s="15">
        <f>D77-C77</f>
        <v>371.4</v>
      </c>
      <c r="E79" s="15">
        <f>E77-D77</f>
        <v>-204.70000000000005</v>
      </c>
      <c r="F79" s="15">
        <f>F77-E77</f>
        <v>-134.10000000000002</v>
      </c>
      <c r="G79" s="15"/>
      <c r="H79" s="49">
        <f>H77-F77</f>
        <v>374.30000000000007</v>
      </c>
    </row>
    <row r="80">
      <c r="B80" s="1" t="s">
        <v>341</v>
      </c>
      <c r="C80" s="15">
        <f>N(C137)</f>
        <v>0</v>
      </c>
      <c r="D80" s="15">
        <f>N(D137)-N(C137)</f>
        <v>0</v>
      </c>
      <c r="E80" s="15">
        <f>N(E137)-N(D137)</f>
        <v>0</v>
      </c>
      <c r="F80" s="15">
        <f>N(F137)-N(E137)</f>
        <v>103.5</v>
      </c>
      <c r="G80" s="15">
        <f>N(F137)</f>
        <v>103.5</v>
      </c>
      <c r="H80" s="68">
        <v>0</v>
      </c>
    </row>
    <row r="81">
      <c r="B81" s="1" t="s">
        <v>123</v>
      </c>
      <c r="C81" s="15" t="s">
        <v>44</v>
      </c>
      <c r="D81" s="15" t="s">
        <v>44</v>
      </c>
      <c r="E81" s="15" t="s">
        <v>44</v>
      </c>
      <c r="F81" s="15" t="s">
        <v>44</v>
      </c>
      <c r="G81" s="15" t="s">
        <v>44</v>
      </c>
      <c r="H81" s="49">
        <f>H80-C80</f>
        <v>0</v>
      </c>
    </row>
    <row r="82">
      <c r="B82" s="1" t="s">
        <v>124</v>
      </c>
      <c r="C82" s="15" t="s">
        <v>44</v>
      </c>
      <c r="D82" s="15">
        <f>D80-C80</f>
        <v>0</v>
      </c>
      <c r="E82" s="15">
        <f>E80-D80</f>
        <v>0</v>
      </c>
      <c r="F82" s="15">
        <f>F80-E80</f>
        <v>103.5</v>
      </c>
      <c r="G82" s="15"/>
      <c r="H82" s="49">
        <f>H80-F80</f>
        <v>-103.5</v>
      </c>
    </row>
    <row r="83">
      <c r="B83" s="1" t="s">
        <v>342</v>
      </c>
      <c r="C83" s="15">
        <f>N(C138)</f>
        <v>-16.2</v>
      </c>
      <c r="D83" s="15">
        <f>N(D138)-N(C138)</f>
        <v>-19.500000000000004</v>
      </c>
      <c r="E83" s="15">
        <f>N(E138)-N(D138)</f>
        <v>-19.199999999999996</v>
      </c>
      <c r="F83" s="15">
        <f>N(F138)-N(E138)</f>
        <v>-162.2</v>
      </c>
      <c r="G83" s="15">
        <f>N(F138)</f>
        <v>-217.1</v>
      </c>
      <c r="H83" s="68">
        <v>0</v>
      </c>
    </row>
    <row r="84">
      <c r="B84" s="1" t="s">
        <v>123</v>
      </c>
      <c r="C84" s="15" t="s">
        <v>44</v>
      </c>
      <c r="D84" s="15" t="s">
        <v>44</v>
      </c>
      <c r="E84" s="15" t="s">
        <v>44</v>
      </c>
      <c r="F84" s="15" t="s">
        <v>44</v>
      </c>
      <c r="G84" s="15" t="s">
        <v>44</v>
      </c>
      <c r="H84" s="49">
        <f>H83-C83</f>
        <v>16.2</v>
      </c>
    </row>
    <row r="85">
      <c r="B85" s="1" t="s">
        <v>124</v>
      </c>
      <c r="C85" s="15" t="s">
        <v>44</v>
      </c>
      <c r="D85" s="15">
        <f>D83-C83</f>
        <v>-3.3000000000000043</v>
      </c>
      <c r="E85" s="15">
        <f>E83-D83</f>
        <v>0.3000000000000078</v>
      </c>
      <c r="F85" s="15">
        <f>F83-E83</f>
        <v>-143</v>
      </c>
      <c r="G85" s="15"/>
      <c r="H85" s="49">
        <f>H83-F83</f>
        <v>162.2</v>
      </c>
    </row>
    <row r="86">
      <c r="B86" s="1" t="s">
        <v>343</v>
      </c>
      <c r="C86" s="15">
        <f>N(C139)</f>
        <v>-51.7</v>
      </c>
      <c r="D86" s="15">
        <f>N(D139)-N(C139)</f>
        <v>-51.599999999999994</v>
      </c>
      <c r="E86" s="15">
        <f>N(E139)-N(D139)</f>
        <v>-51.39999999999999</v>
      </c>
      <c r="F86" s="15">
        <f>N(F139)-N(E139)</f>
        <v>-52.80000000000001</v>
      </c>
      <c r="G86" s="15">
        <f>N(F139)</f>
        <v>-207.5</v>
      </c>
      <c r="H86" s="40">
        <f>-'Share Count'!H43</f>
        <v>-52.233067580000004</v>
      </c>
      <c r="I86" s="8" t="s">
        <v>344</v>
      </c>
    </row>
    <row r="87">
      <c r="B87" s="1" t="s">
        <v>123</v>
      </c>
      <c r="C87" s="15" t="s">
        <v>44</v>
      </c>
      <c r="D87" s="15" t="s">
        <v>44</v>
      </c>
      <c r="E87" s="15" t="s">
        <v>44</v>
      </c>
      <c r="F87" s="15" t="s">
        <v>44</v>
      </c>
      <c r="G87" s="15" t="s">
        <v>44</v>
      </c>
      <c r="H87" s="49">
        <f>H86-C86</f>
        <v>-0.5330675800000009</v>
      </c>
    </row>
    <row r="88">
      <c r="B88" s="1" t="s">
        <v>124</v>
      </c>
      <c r="C88" s="15" t="s">
        <v>44</v>
      </c>
      <c r="D88" s="15">
        <f>D86-C86</f>
        <v>0.10000000000000853</v>
      </c>
      <c r="E88" s="15">
        <f>E86-D86</f>
        <v>0.20000000000000284</v>
      </c>
      <c r="F88" s="15">
        <f>F86-E86</f>
        <v>-1.40000000000002</v>
      </c>
      <c r="G88" s="15"/>
      <c r="H88" s="49">
        <f>H86-F86</f>
        <v>0.5669324200000077</v>
      </c>
    </row>
    <row r="89">
      <c r="B89" s="1" t="s">
        <v>345</v>
      </c>
      <c r="C89" s="15">
        <f>N(C140)</f>
        <v>-18.7</v>
      </c>
      <c r="D89" s="15">
        <f>N(D140)-N(C140)</f>
        <v>-40.400000000000006</v>
      </c>
      <c r="E89" s="15">
        <f>N(E140)-N(D140)</f>
        <v>-0.10000000000000142</v>
      </c>
      <c r="F89" s="15">
        <f>N(F140)-N(E140)</f>
        <v>-63.599999999999994</v>
      </c>
      <c r="G89" s="15">
        <f>N(F140)</f>
        <v>-122.8</v>
      </c>
      <c r="H89" s="40">
        <f>-'Share Count'!H23</f>
        <v>-20</v>
      </c>
      <c r="I89" s="8" t="s">
        <v>346</v>
      </c>
    </row>
    <row r="90">
      <c r="B90" s="1" t="s">
        <v>123</v>
      </c>
      <c r="C90" s="15" t="s">
        <v>44</v>
      </c>
      <c r="D90" s="15" t="s">
        <v>44</v>
      </c>
      <c r="E90" s="15" t="s">
        <v>44</v>
      </c>
      <c r="F90" s="15" t="s">
        <v>44</v>
      </c>
      <c r="G90" s="15" t="s">
        <v>44</v>
      </c>
      <c r="H90" s="49">
        <f>H89-C89</f>
        <v>-1.3000000000000007</v>
      </c>
    </row>
    <row r="91">
      <c r="B91" s="1" t="s">
        <v>124</v>
      </c>
      <c r="C91" s="15" t="s">
        <v>44</v>
      </c>
      <c r="D91" s="15">
        <f>D89-C89</f>
        <v>-21.700000000000006</v>
      </c>
      <c r="E91" s="15">
        <f>E89-D89</f>
        <v>40.300000000000004</v>
      </c>
      <c r="F91" s="15">
        <f>F89-E89</f>
        <v>-63.49999999999999</v>
      </c>
      <c r="G91" s="15"/>
      <c r="H91" s="49">
        <f>H89-F89</f>
        <v>43.599999999999994</v>
      </c>
    </row>
    <row r="92">
      <c r="B92" s="1" t="s">
        <v>347</v>
      </c>
      <c r="C92" s="15">
        <f>N(C141)</f>
        <v>0</v>
      </c>
      <c r="D92" s="15">
        <f>N(D141)-N(C141)</f>
        <v>3.9</v>
      </c>
      <c r="E92" s="15">
        <f>N(E141)-N(D141)</f>
        <v>-0.3999999999999999</v>
      </c>
      <c r="F92" s="15">
        <f>N(F141)-N(E141)</f>
        <v>-1.6</v>
      </c>
      <c r="G92" s="15">
        <f>N(F141)</f>
        <v>1.9</v>
      </c>
      <c r="H92" s="68">
        <v>0</v>
      </c>
    </row>
    <row r="93">
      <c r="B93" s="1" t="s">
        <v>123</v>
      </c>
      <c r="C93" s="15" t="s">
        <v>44</v>
      </c>
      <c r="D93" s="15" t="s">
        <v>44</v>
      </c>
      <c r="E93" s="15" t="s">
        <v>44</v>
      </c>
      <c r="F93" s="15" t="s">
        <v>44</v>
      </c>
      <c r="G93" s="15" t="s">
        <v>44</v>
      </c>
      <c r="H93" s="49">
        <f>H92-C92</f>
        <v>0</v>
      </c>
    </row>
    <row r="94">
      <c r="B94" s="1" t="s">
        <v>124</v>
      </c>
      <c r="C94" s="15" t="s">
        <v>44</v>
      </c>
      <c r="D94" s="15">
        <f>D92-C92</f>
        <v>3.9</v>
      </c>
      <c r="E94" s="15">
        <f>E92-D92</f>
        <v>-4.3</v>
      </c>
      <c r="F94" s="15">
        <f>F92-E92</f>
        <v>-1.2000000000000002</v>
      </c>
      <c r="G94" s="15"/>
      <c r="H94" s="49">
        <f>H92-F92</f>
        <v>1.6</v>
      </c>
    </row>
    <row r="95">
      <c r="B95" s="4" t="s">
        <v>348</v>
      </c>
      <c r="C95" s="50">
        <f>C74+C77+C80+C83+C86+C89+C92</f>
        <v>-248.49999999999994</v>
      </c>
      <c r="D95" s="50">
        <f>D74+D77+D80+D83+D86+D89+D92</f>
        <v>-133.29999999999998</v>
      </c>
      <c r="E95" s="50">
        <f>E74+E77+E80+E83+E86+E89+E92</f>
        <v>7.699999999999909</v>
      </c>
      <c r="F95" s="50">
        <f>F74+F77+F80+F83+F86+F89+F92</f>
        <v>-195.00000000000006</v>
      </c>
      <c r="G95" s="50">
        <f>G74+G77+G80+G83+G86+G89+G92</f>
        <v>-569.1000000000001</v>
      </c>
      <c r="H95" s="42">
        <f>H74+H77+H80+H83+H86+H89+H92</f>
        <v>-132.23306758</v>
      </c>
    </row>
    <row r="96">
      <c r="B96" s="1" t="s">
        <v>349</v>
      </c>
      <c r="C96" s="15">
        <f>N(C143)</f>
        <v>0.7</v>
      </c>
      <c r="D96" s="15">
        <f>N(D143)-N(C143)</f>
        <v>0</v>
      </c>
      <c r="E96" s="15">
        <f>N(E143)-N(D143)</f>
        <v>2.5999999999999996</v>
      </c>
      <c r="F96" s="15">
        <f>N(F143)-N(E143)</f>
        <v>0.6000000000000001</v>
      </c>
      <c r="G96" s="15">
        <f>N(F143)</f>
        <v>3.9</v>
      </c>
      <c r="H96" s="68">
        <v>0</v>
      </c>
    </row>
    <row r="97">
      <c r="B97" s="1" t="s">
        <v>123</v>
      </c>
      <c r="C97" s="15" t="s">
        <v>44</v>
      </c>
      <c r="D97" s="15" t="s">
        <v>44</v>
      </c>
      <c r="E97" s="15" t="s">
        <v>44</v>
      </c>
      <c r="F97" s="15" t="s">
        <v>44</v>
      </c>
      <c r="G97" s="15" t="s">
        <v>44</v>
      </c>
      <c r="H97" s="49">
        <f>H96-C96</f>
        <v>-0.7</v>
      </c>
    </row>
    <row r="98">
      <c r="B98" s="1" t="s">
        <v>124</v>
      </c>
      <c r="C98" s="15" t="s">
        <v>44</v>
      </c>
      <c r="D98" s="15">
        <f>D96-C96</f>
        <v>-0.7</v>
      </c>
      <c r="E98" s="15">
        <f>E96-D96</f>
        <v>2.5999999999999996</v>
      </c>
      <c r="F98" s="15">
        <f>F96-E96</f>
        <v>-1.9999999999999996</v>
      </c>
      <c r="G98" s="15"/>
      <c r="H98" s="49">
        <f>H96-F96</f>
        <v>-0.6000000000000001</v>
      </c>
    </row>
    <row r="99">
      <c r="B99" s="4" t="s">
        <v>350</v>
      </c>
      <c r="C99" s="50">
        <f>C54+C72+C95+C96</f>
        <v>27.899999999999988</v>
      </c>
      <c r="D99" s="50">
        <f>D54+D72+D95+D96</f>
        <v>-15.900000000000034</v>
      </c>
      <c r="E99" s="50">
        <f>E54+E72+E95+E96</f>
        <v>-25.200000000000173</v>
      </c>
      <c r="F99" s="50">
        <f>F54+F72+F95+F96</f>
        <v>10.699999999999852</v>
      </c>
      <c r="G99" s="50">
        <f>G54+G72+G95+G96</f>
        <v>-2.500000000000546</v>
      </c>
      <c r="H99" s="42">
        <f>H54+H72+H95+H96</f>
        <v>4.34255246603999</v>
      </c>
    </row>
    <row r="100">
      <c r="B100" s="1" t="s">
        <v>351</v>
      </c>
      <c r="C100" s="34">
        <v>70.7</v>
      </c>
      <c r="D100" s="15">
        <f>C101</f>
        <v>98.6</v>
      </c>
      <c r="E100" s="15">
        <f>D101</f>
        <v>82.69999999999996</v>
      </c>
      <c r="F100" s="15">
        <f>E101</f>
        <v>57.49999999999979</v>
      </c>
      <c r="G100" s="15">
        <f>C100</f>
        <v>70.7</v>
      </c>
      <c r="H100" s="40">
        <f>'Balance Sheet'!F9</f>
        <v>68.2</v>
      </c>
    </row>
    <row r="101">
      <c r="B101" s="4" t="s">
        <v>352</v>
      </c>
      <c r="C101" s="50">
        <f>C100+C99</f>
        <v>98.6</v>
      </c>
      <c r="D101" s="50">
        <f>D100+D99</f>
        <v>82.69999999999996</v>
      </c>
      <c r="E101" s="50">
        <f>E100+E99</f>
        <v>57.49999999999979</v>
      </c>
      <c r="F101" s="50">
        <f>F100+F99</f>
        <v>68.19999999999963</v>
      </c>
      <c r="G101" s="50">
        <f>G100+G99</f>
        <v>68.19999999999946</v>
      </c>
      <c r="H101" s="42">
        <f>H100+H99</f>
        <v>72.54255246604</v>
      </c>
    </row>
    <row r="102">
      <c r="B102" s="20" t="s">
        <v>353</v>
      </c>
      <c r="C102" s="39">
        <f>C101-'Balance Sheet'!C9</f>
        <v>0</v>
      </c>
      <c r="D102" s="39">
        <f>D101-'Balance Sheet'!D9</f>
        <v>0</v>
      </c>
      <c r="E102" s="39">
        <f>E101-'Balance Sheet'!E9</f>
        <v>0</v>
      </c>
      <c r="F102" s="39">
        <f>F101-'Balance Sheet'!F9</f>
        <v>0</v>
      </c>
      <c r="G102" s="39">
        <f>G101-'Balance Sheet'!G9</f>
        <v>0</v>
      </c>
      <c r="H102" s="33">
        <f>H101-'Balance Sheet'!H9</f>
        <v>0</v>
      </c>
    </row>
    <row r="103">
      <c r="B103" s="20" t="s">
        <v>354</v>
      </c>
      <c r="C103" s="94" t="b">
        <f>AND(ABS(C102)&lt;0.05,ABS(C54-C128)&lt;0.05,ABS(C72-C134)&lt;0.05,ABS(C95-C142)&lt;0.05)</f>
        <v>1</v>
      </c>
      <c r="D103" s="94" t="b">
        <f>AND(ABS(D102)&lt;0.05,ABS(D54-(N(D128)-N(C128)))&lt;0.05,ABS(D72-(N(D134)-N(C134)))&lt;0.05,ABS(D95-(N(D142)-N(C142)))&lt;0.05)</f>
        <v>1</v>
      </c>
      <c r="E103" s="94" t="b">
        <f>AND(ABS(E102)&lt;0.05,ABS(E54-(N(E128)-N(D128)))&lt;0.05,ABS(E72-(N(E134)-N(D134)))&lt;0.05,ABS(E95-(N(E142)-N(D142)))&lt;0.05)</f>
        <v>1</v>
      </c>
      <c r="F103" s="94" t="b">
        <f>AND(ABS(F102)&lt;0.05,ABS(F54-(N(F128)-N(E128)))&lt;0.05,ABS(F72-(N(F134)-N(E134)))&lt;0.05,ABS(F95-(N(F142)-N(E142)))&lt;0.05)</f>
        <v>1</v>
      </c>
      <c r="G103" s="94" t="b">
        <f>AND(ABS(G102)&lt;0.05,ABS(G54-F128)&lt;0.05,ABS(G72-F134)&lt;0.05,ABS(G95-F142)&lt;0.05)</f>
        <v>1</v>
      </c>
      <c r="H103" s="91" t="b">
        <f>ABS(H102)&lt;0.05</f>
        <v>1</v>
      </c>
      <c r="I103" s="90" t="s">
        <v>355</v>
      </c>
    </row>
    <row r="104">
      <c r="B104" s="4" t="s">
        <v>356</v>
      </c>
      <c r="C104" s="50">
        <f>C54+C57+C60</f>
        <v>272.79999999999995</v>
      </c>
      <c r="D104" s="50">
        <f>D54+D57+D60</f>
        <v>101.89999999999995</v>
      </c>
      <c r="E104" s="50">
        <f>E54+E57+E60</f>
        <v>-35.70000000000008</v>
      </c>
      <c r="F104" s="50">
        <f>F54+F57+F60</f>
        <v>193.7999999999999</v>
      </c>
      <c r="G104" s="50">
        <f>G54+G57+G60</f>
        <v>532.7999999999996</v>
      </c>
      <c r="H104" s="42">
        <f>H54+H57+H60</f>
        <v>136.57562004604</v>
      </c>
      <c r="I104" s="8" t="s">
        <v>357</v>
      </c>
    </row>
    <row r="105">
      <c r="B105" s="20" t="s">
        <v>358</v>
      </c>
      <c r="C105" s="11"/>
      <c r="D105" s="11"/>
      <c r="E105" s="11"/>
      <c r="F105" s="11"/>
      <c r="G105" s="11"/>
      <c r="H105" s="69">
        <v>0.8</v>
      </c>
    </row>
    <row r="106">
      <c r="B106" s="20" t="s">
        <v>359</v>
      </c>
      <c r="C106" s="11" t="s">
        <v>44</v>
      </c>
      <c r="D106" s="11" t="s">
        <v>44</v>
      </c>
      <c r="E106" s="11" t="s">
        <v>44</v>
      </c>
      <c r="F106" s="11" t="s">
        <v>44</v>
      </c>
      <c r="G106" s="11" t="s">
        <v>44</v>
      </c>
      <c r="H106" s="31" t="s">
        <v>44</v>
      </c>
      <c r="I106" s="8" t="s">
        <v>360</v>
      </c>
    </row>
    <row r="107">
      <c r="B107" s="20" t="s">
        <v>361</v>
      </c>
      <c r="C107" s="11" t="s">
        <v>44</v>
      </c>
      <c r="D107" s="11" t="s">
        <v>44</v>
      </c>
      <c r="E107" s="11" t="s">
        <v>44</v>
      </c>
      <c r="F107" s="11" t="s">
        <v>44</v>
      </c>
      <c r="G107" s="11" t="s">
        <v>44</v>
      </c>
      <c r="H107" s="31" t="s">
        <v>44</v>
      </c>
    </row>
    <row r="108">
      <c r="B108" s="1" t="s">
        <v>362</v>
      </c>
      <c r="C108" s="15"/>
      <c r="D108" s="15"/>
      <c r="E108" s="15"/>
      <c r="F108" s="15"/>
      <c r="G108" s="15"/>
      <c r="H108" s="68">
        <v>2.2</v>
      </c>
      <c r="I108" s="8" t="s">
        <v>363</v>
      </c>
    </row>
    <row r="109">
      <c r="B109" s="1" t="s">
        <v>123</v>
      </c>
      <c r="C109" s="15" t="s">
        <v>44</v>
      </c>
      <c r="D109" s="15" t="s">
        <v>44</v>
      </c>
      <c r="E109" s="15" t="s">
        <v>44</v>
      </c>
      <c r="F109" s="15" t="s">
        <v>44</v>
      </c>
      <c r="G109" s="15" t="s">
        <v>44</v>
      </c>
      <c r="H109" s="49" t="s">
        <v>44</v>
      </c>
      <c r="I109" s="8" t="s">
        <v>364</v>
      </c>
    </row>
    <row r="110">
      <c r="B110" s="1" t="s">
        <v>124</v>
      </c>
      <c r="C110" s="15" t="s">
        <v>44</v>
      </c>
      <c r="D110" s="15" t="s">
        <v>44</v>
      </c>
      <c r="E110" s="15" t="s">
        <v>44</v>
      </c>
      <c r="F110" s="15" t="s">
        <v>44</v>
      </c>
      <c r="G110" s="15" t="s">
        <v>44</v>
      </c>
      <c r="H110" s="49" t="s">
        <v>44</v>
      </c>
    </row>
    <row r="111">
      <c r="H111" s="35"/>
    </row>
    <row r="112">
      <c r="B112" s="4" t="s">
        <v>365</v>
      </c>
      <c r="H112" s="35"/>
    </row>
    <row r="113">
      <c r="B113" s="1" t="s">
        <v>311</v>
      </c>
      <c r="C113" s="6">
        <f>'Income Statement'!C34</f>
        <v>64.2999999999999</v>
      </c>
      <c r="D113" s="6">
        <f>SUM('Income Statement'!C34:D34)</f>
        <v>126.39999999999986</v>
      </c>
      <c r="E113" s="6">
        <f>SUM('Income Statement'!C34:E34)</f>
        <v>180.39999999999975</v>
      </c>
      <c r="F113" s="6">
        <f>SUM('Income Statement'!C34:F34)</f>
        <v>289.99999999999966</v>
      </c>
      <c r="G113" s="15"/>
      <c r="H113" s="49"/>
      <c r="I113" s="8" t="s">
        <v>366</v>
      </c>
    </row>
    <row r="114">
      <c r="B114" s="1" t="s">
        <v>312</v>
      </c>
      <c r="C114" s="34">
        <v>95.3</v>
      </c>
      <c r="D114" s="34">
        <v>191.5</v>
      </c>
      <c r="E114" s="34">
        <v>291.8</v>
      </c>
      <c r="F114" s="34">
        <v>396.7</v>
      </c>
      <c r="G114" s="15"/>
      <c r="H114" s="49"/>
    </row>
    <row r="115">
      <c r="B115" s="1" t="s">
        <v>198</v>
      </c>
      <c r="C115" s="6">
        <f>'Income Statement'!C56</f>
        <v>10.6</v>
      </c>
      <c r="D115" s="6">
        <f>SUM('Income Statement'!C56:D56)</f>
        <v>20.1</v>
      </c>
      <c r="E115" s="6">
        <f>SUM('Income Statement'!C56:E56)</f>
        <v>30.6</v>
      </c>
      <c r="F115" s="6">
        <f>SUM('Income Statement'!C56:F56)</f>
        <v>46.2</v>
      </c>
      <c r="G115" s="15"/>
      <c r="H115" s="49"/>
      <c r="I115" s="8" t="s">
        <v>367</v>
      </c>
    </row>
    <row r="116">
      <c r="B116" s="1" t="s">
        <v>314</v>
      </c>
      <c r="C116" s="34">
        <v>0.2</v>
      </c>
      <c r="D116" s="34">
        <v>-2.8</v>
      </c>
      <c r="E116" s="34">
        <v>-2.5</v>
      </c>
      <c r="F116" s="34">
        <v>-2.5</v>
      </c>
      <c r="G116" s="15"/>
      <c r="H116" s="49"/>
    </row>
    <row r="117">
      <c r="B117" s="1" t="s">
        <v>286</v>
      </c>
      <c r="C117" s="34">
        <v>14.5</v>
      </c>
      <c r="D117" s="34">
        <v>19</v>
      </c>
      <c r="E117" s="34">
        <v>15.1</v>
      </c>
      <c r="F117" s="34">
        <v>40.5</v>
      </c>
      <c r="G117" s="15"/>
      <c r="H117" s="49"/>
    </row>
    <row r="118">
      <c r="B118" s="1" t="s">
        <v>315</v>
      </c>
      <c r="C118" s="6">
        <f>'Income Statement'!C63</f>
        <v>13.1</v>
      </c>
      <c r="D118" s="6">
        <f>SUM('Income Statement'!C63:D63)</f>
        <v>14.2</v>
      </c>
      <c r="G118" s="15"/>
      <c r="H118" s="49"/>
      <c r="I118" s="8" t="s">
        <v>368</v>
      </c>
    </row>
    <row r="119">
      <c r="B119" s="1" t="s">
        <v>317</v>
      </c>
      <c r="E119" s="34">
        <v>46.4</v>
      </c>
      <c r="F119" s="34">
        <v>37.8</v>
      </c>
      <c r="G119" s="15"/>
      <c r="H119" s="49"/>
    </row>
    <row r="120">
      <c r="B120" s="1" t="s">
        <v>196</v>
      </c>
      <c r="C120" s="34">
        <v>0</v>
      </c>
      <c r="D120" s="34">
        <v>0</v>
      </c>
      <c r="E120" s="34">
        <v>0</v>
      </c>
      <c r="F120" s="34">
        <v>0</v>
      </c>
      <c r="G120" s="15"/>
      <c r="H120" s="49"/>
    </row>
    <row r="121">
      <c r="B121" s="1" t="s">
        <v>319</v>
      </c>
      <c r="C121" s="34">
        <v>-1.5</v>
      </c>
      <c r="D121" s="34">
        <v>11.8</v>
      </c>
      <c r="E121" s="34">
        <v>-8</v>
      </c>
      <c r="F121" s="34">
        <v>1</v>
      </c>
      <c r="G121" s="15"/>
      <c r="H121" s="49"/>
    </row>
    <row r="122">
      <c r="B122" s="1" t="s">
        <v>321</v>
      </c>
      <c r="C122" s="34">
        <v>17.6</v>
      </c>
      <c r="D122" s="34">
        <v>43.8</v>
      </c>
      <c r="E122" s="34">
        <v>53.6</v>
      </c>
      <c r="F122" s="34">
        <v>20.3</v>
      </c>
      <c r="G122" s="15"/>
      <c r="H122" s="49"/>
    </row>
    <row r="123">
      <c r="B123" s="1" t="s">
        <v>267</v>
      </c>
      <c r="C123" s="34">
        <v>136.3</v>
      </c>
      <c r="D123" s="34">
        <v>-79.5</v>
      </c>
      <c r="E123" s="34">
        <v>-45.2</v>
      </c>
      <c r="F123" s="34">
        <v>77.8</v>
      </c>
      <c r="G123" s="15"/>
      <c r="H123" s="49"/>
    </row>
    <row r="124">
      <c r="B124" s="1" t="s">
        <v>323</v>
      </c>
      <c r="C124" s="34">
        <v>22.8</v>
      </c>
      <c r="D124" s="34">
        <v>-6.5</v>
      </c>
      <c r="E124" s="34">
        <v>-1.7</v>
      </c>
      <c r="F124" s="34">
        <v>-41.9</v>
      </c>
      <c r="G124" s="15"/>
      <c r="H124" s="49"/>
    </row>
    <row r="125">
      <c r="B125" s="1" t="s">
        <v>269</v>
      </c>
      <c r="C125" s="34">
        <v>40.2</v>
      </c>
      <c r="D125" s="34">
        <v>67.5</v>
      </c>
      <c r="E125" s="34">
        <v>-13.8</v>
      </c>
      <c r="F125" s="34">
        <v>-2.6</v>
      </c>
      <c r="G125" s="15"/>
      <c r="H125" s="49"/>
    </row>
    <row r="126">
      <c r="B126" s="1" t="s">
        <v>282</v>
      </c>
      <c r="C126" s="34">
        <v>-47.7</v>
      </c>
      <c r="D126" s="34">
        <v>117.3</v>
      </c>
      <c r="E126" s="34">
        <v>-8.1</v>
      </c>
      <c r="F126" s="34">
        <v>-1.5</v>
      </c>
      <c r="G126" s="15"/>
      <c r="H126" s="49"/>
    </row>
    <row r="127">
      <c r="B127" s="1" t="s">
        <v>283</v>
      </c>
      <c r="C127" s="34">
        <v>-13.7</v>
      </c>
      <c r="D127" s="34">
        <v>7.6</v>
      </c>
      <c r="E127" s="34">
        <v>57</v>
      </c>
      <c r="F127" s="34">
        <v>81.1</v>
      </c>
      <c r="G127" s="15"/>
      <c r="H127" s="49"/>
    </row>
    <row r="128">
      <c r="B128" s="4" t="s">
        <v>325</v>
      </c>
      <c r="C128" s="44">
        <v>352</v>
      </c>
      <c r="D128" s="44">
        <v>530.4</v>
      </c>
      <c r="E128" s="44">
        <v>595.6</v>
      </c>
      <c r="F128" s="44">
        <v>942.9</v>
      </c>
      <c r="G128" s="50"/>
      <c r="H128" s="42"/>
    </row>
    <row r="129">
      <c r="B129" s="1" t="s">
        <v>328</v>
      </c>
      <c r="C129" s="34">
        <v>-77.6</v>
      </c>
      <c r="D129" s="34">
        <v>-155</v>
      </c>
      <c r="E129" s="34">
        <v>-256.5</v>
      </c>
      <c r="F129" s="34">
        <v>-402.7</v>
      </c>
      <c r="G129" s="15"/>
      <c r="H129" s="49"/>
    </row>
    <row r="130">
      <c r="B130" s="1" t="s">
        <v>330</v>
      </c>
      <c r="C130" s="34">
        <v>-1.6</v>
      </c>
      <c r="D130" s="34">
        <v>-0.7</v>
      </c>
      <c r="E130" s="34">
        <v>-0.1</v>
      </c>
      <c r="F130" s="34">
        <v>-7.4</v>
      </c>
      <c r="G130" s="15"/>
      <c r="H130" s="49"/>
    </row>
    <row r="131">
      <c r="B131" s="1" t="s">
        <v>331</v>
      </c>
      <c r="D131" s="34">
        <v>14.7</v>
      </c>
      <c r="E131" s="34">
        <v>14.9</v>
      </c>
      <c r="F131" s="34">
        <v>26</v>
      </c>
      <c r="G131" s="15"/>
      <c r="H131" s="49"/>
    </row>
    <row r="132">
      <c r="B132" s="1" t="s">
        <v>333</v>
      </c>
      <c r="C132" s="34">
        <v>0</v>
      </c>
      <c r="D132" s="34">
        <v>0</v>
      </c>
      <c r="E132" s="34">
        <v>0</v>
      </c>
      <c r="F132" s="34">
        <v>0</v>
      </c>
      <c r="G132" s="15"/>
      <c r="H132" s="49"/>
    </row>
    <row r="133">
      <c r="B133" s="1" t="s">
        <v>334</v>
      </c>
      <c r="C133" s="34">
        <v>2.9</v>
      </c>
      <c r="D133" s="34">
        <v>3.7</v>
      </c>
      <c r="E133" s="34">
        <v>3.7</v>
      </c>
      <c r="F133" s="34">
        <v>3.9</v>
      </c>
      <c r="G133" s="15"/>
      <c r="H133" s="49"/>
    </row>
    <row r="134">
      <c r="B134" s="4" t="s">
        <v>336</v>
      </c>
      <c r="C134" s="44">
        <v>-76.3</v>
      </c>
      <c r="D134" s="44">
        <v>-137.3</v>
      </c>
      <c r="E134" s="44">
        <v>-238</v>
      </c>
      <c r="F134" s="44">
        <v>-380.2</v>
      </c>
      <c r="G134" s="50"/>
      <c r="H134" s="42"/>
    </row>
    <row r="135">
      <c r="B135" s="1" t="s">
        <v>338</v>
      </c>
      <c r="C135" s="34">
        <v>305</v>
      </c>
      <c r="D135" s="34">
        <v>374.8</v>
      </c>
      <c r="E135" s="34">
        <v>753.8</v>
      </c>
      <c r="F135" s="34">
        <v>1169.8</v>
      </c>
      <c r="G135" s="15"/>
      <c r="H135" s="49"/>
    </row>
    <row r="136">
      <c r="B136" s="1" t="s">
        <v>339</v>
      </c>
      <c r="C136" s="34">
        <v>-466.9</v>
      </c>
      <c r="D136" s="34">
        <v>-562.4</v>
      </c>
      <c r="E136" s="34">
        <v>-862.6</v>
      </c>
      <c r="F136" s="34">
        <v>-1296.9</v>
      </c>
      <c r="G136" s="15"/>
      <c r="H136" s="49"/>
    </row>
    <row r="137">
      <c r="B137" s="1" t="s">
        <v>341</v>
      </c>
      <c r="C137" s="34">
        <v>0</v>
      </c>
      <c r="D137" s="34">
        <v>0</v>
      </c>
      <c r="E137" s="34">
        <v>0</v>
      </c>
      <c r="F137" s="34">
        <v>103.5</v>
      </c>
      <c r="G137" s="15"/>
      <c r="H137" s="49"/>
    </row>
    <row r="138">
      <c r="B138" s="1" t="s">
        <v>342</v>
      </c>
      <c r="C138" s="34">
        <v>-16.2</v>
      </c>
      <c r="D138" s="34">
        <v>-35.7</v>
      </c>
      <c r="E138" s="34">
        <v>-54.9</v>
      </c>
      <c r="F138" s="34">
        <v>-217.1</v>
      </c>
      <c r="G138" s="15"/>
      <c r="H138" s="49"/>
    </row>
    <row r="139">
      <c r="B139" s="1" t="s">
        <v>343</v>
      </c>
      <c r="C139" s="34">
        <v>-51.7</v>
      </c>
      <c r="D139" s="34">
        <v>-103.3</v>
      </c>
      <c r="E139" s="34">
        <v>-154.7</v>
      </c>
      <c r="F139" s="34">
        <v>-207.5</v>
      </c>
      <c r="G139" s="15"/>
      <c r="H139" s="49"/>
    </row>
    <row r="140">
      <c r="B140" s="1" t="s">
        <v>345</v>
      </c>
      <c r="C140" s="34">
        <v>-18.7</v>
      </c>
      <c r="D140" s="34">
        <v>-59.1</v>
      </c>
      <c r="E140" s="34">
        <v>-59.2</v>
      </c>
      <c r="F140" s="34">
        <v>-122.8</v>
      </c>
      <c r="G140" s="15"/>
      <c r="H140" s="49"/>
    </row>
    <row r="141">
      <c r="B141" s="1" t="s">
        <v>347</v>
      </c>
      <c r="C141" s="34">
        <v>0</v>
      </c>
      <c r="D141" s="34">
        <v>3.9</v>
      </c>
      <c r="E141" s="34">
        <v>3.5</v>
      </c>
      <c r="F141" s="34">
        <v>1.9</v>
      </c>
      <c r="G141" s="15"/>
      <c r="H141" s="49"/>
    </row>
    <row r="142">
      <c r="B142" s="4" t="s">
        <v>348</v>
      </c>
      <c r="C142" s="44">
        <v>-248.5</v>
      </c>
      <c r="D142" s="44">
        <v>-381.8</v>
      </c>
      <c r="E142" s="44">
        <v>-374.1</v>
      </c>
      <c r="F142" s="44">
        <v>-569.1</v>
      </c>
      <c r="G142" s="50"/>
      <c r="H142" s="42"/>
    </row>
    <row r="143">
      <c r="B143" s="1" t="s">
        <v>349</v>
      </c>
      <c r="C143" s="34">
        <v>0.7</v>
      </c>
      <c r="D143" s="34">
        <v>0.7</v>
      </c>
      <c r="E143" s="34">
        <v>3.3</v>
      </c>
      <c r="F143" s="34">
        <v>3.9</v>
      </c>
      <c r="G143" s="15"/>
      <c r="H143" s="49"/>
    </row>
    <row r="144">
      <c r="B144" s="20" t="s">
        <v>369</v>
      </c>
      <c r="C144" s="94" t="b">
        <f>AND(ABS(SUM(C113:C127)-C128)&lt;0.05,ABS(SUM(C129:C133)-C134)&lt;0.05,ABS(SUM(C135:C141)-C142)&lt;0.05)</f>
        <v>1</v>
      </c>
      <c r="D144" s="94" t="b">
        <f>AND(ABS(SUM(D113:D127)-D128)&lt;0.05,ABS(SUM(D129:D133)-D134)&lt;0.05,ABS(SUM(D135:D141)-D142)&lt;0.05)</f>
        <v>1</v>
      </c>
      <c r="E144" s="94" t="b">
        <f>AND(ABS(SUM(E113:E127)-E128)&lt;0.05,ABS(SUM(E129:E133)-E134)&lt;0.05,ABS(SUM(E135:E141)-E142)&lt;0.05)</f>
        <v>1</v>
      </c>
      <c r="F144" s="94" t="b">
        <f>AND(ABS(SUM(F113:F127)-F128)&lt;0.05,ABS(SUM(F129:F133)-F134)&lt;0.05,ABS(SUM(F135:F141)-F142)&lt;0.05)</f>
        <v>1</v>
      </c>
      <c r="G144" s="29"/>
      <c r="H144" s="41"/>
    </row>
    <row r="145">
      <c r="H145" s="35"/>
    </row>
    <row r="146">
      <c r="B146" s="20" t="s">
        <v>117</v>
      </c>
      <c r="C146" s="29"/>
      <c r="D146" s="29"/>
      <c r="E146" s="29"/>
      <c r="F146" s="29"/>
      <c r="G146" s="29"/>
      <c r="H146" s="41" t="b">
        <f>AND(C103:G103,C144:F144)</f>
        <v>1</v>
      </c>
    </row>
  </sheetData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B1:I39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</cols>
  <sheetData>
    <row r="1">
      <c r="B1" s="23" t="s">
        <v>0</v>
      </c>
    </row>
    <row r="2">
      <c r="B2" s="21" t="s">
        <v>370</v>
      </c>
    </row>
    <row r="3">
      <c r="B3" s="20" t="s">
        <v>2</v>
      </c>
    </row>
    <row r="4">
      <c r="B4" s="17" t="s">
        <v>64</v>
      </c>
      <c r="C4" s="3" t="s">
        <v>65</v>
      </c>
      <c r="D4" s="3" t="s">
        <v>66</v>
      </c>
      <c r="E4" s="3" t="s">
        <v>67</v>
      </c>
      <c r="F4" s="3" t="s">
        <v>68</v>
      </c>
      <c r="G4" s="3" t="s">
        <v>69</v>
      </c>
      <c r="H4" s="30" t="s">
        <v>70</v>
      </c>
      <c r="I4" s="17" t="s">
        <v>71</v>
      </c>
    </row>
    <row r="5">
      <c r="B5" s="14" t="s">
        <v>72</v>
      </c>
      <c r="C5" s="19">
        <v>45893</v>
      </c>
      <c r="D5" s="19">
        <v>45984</v>
      </c>
      <c r="E5" s="19">
        <v>46075</v>
      </c>
      <c r="F5" s="19">
        <v>46173</v>
      </c>
      <c r="G5" s="19">
        <v>46173</v>
      </c>
      <c r="H5" s="16">
        <v>46264</v>
      </c>
      <c r="I5" s="14"/>
    </row>
    <row r="6">
      <c r="B6" s="10" t="s">
        <v>73</v>
      </c>
      <c r="C6" s="5">
        <v>91</v>
      </c>
      <c r="D6" s="5">
        <v>91</v>
      </c>
      <c r="E6" s="5">
        <v>91</v>
      </c>
      <c r="F6" s="5">
        <v>98</v>
      </c>
      <c r="G6" s="5">
        <v>371</v>
      </c>
      <c r="H6" s="26">
        <v>91</v>
      </c>
      <c r="I6" s="10"/>
    </row>
    <row r="8">
      <c r="B8" s="52" t="s">
        <v>371</v>
      </c>
      <c r="H8" s="35"/>
    </row>
    <row r="9">
      <c r="B9" s="4" t="s">
        <v>372</v>
      </c>
      <c r="H9" s="35"/>
    </row>
    <row r="10">
      <c r="B10" s="1" t="s">
        <v>373</v>
      </c>
      <c r="C10" s="15" t="s">
        <v>44</v>
      </c>
      <c r="D10" s="15" t="s">
        <v>44</v>
      </c>
      <c r="E10" s="15" t="s">
        <v>44</v>
      </c>
      <c r="F10" s="15" t="s">
        <v>44</v>
      </c>
      <c r="G10" s="34">
        <v>4289.6</v>
      </c>
      <c r="H10" s="40">
        <f>'Segment - North America'!H33*H22</f>
        <v>1073.6783109501275</v>
      </c>
    </row>
    <row r="11">
      <c r="B11" s="20" t="s">
        <v>91</v>
      </c>
      <c r="C11" s="11" t="s">
        <v>44</v>
      </c>
      <c r="D11" s="11" t="s">
        <v>44</v>
      </c>
      <c r="E11" s="11" t="s">
        <v>44</v>
      </c>
      <c r="F11" s="11" t="s">
        <v>44</v>
      </c>
      <c r="G11" s="11">
        <f>G10/G16</f>
        <v>0.6487303963824993</v>
      </c>
      <c r="H11" s="31">
        <f>H10/H16</f>
        <v>0.6509823677371176</v>
      </c>
    </row>
    <row r="12">
      <c r="B12" s="20" t="s">
        <v>88</v>
      </c>
      <c r="C12" s="11" t="s">
        <v>44</v>
      </c>
      <c r="D12" s="11" t="s">
        <v>44</v>
      </c>
      <c r="E12" s="11" t="s">
        <v>44</v>
      </c>
      <c r="F12" s="11" t="s">
        <v>44</v>
      </c>
      <c r="G12" s="11">
        <f>G10/G28-1</f>
        <v>0.027572164331057802</v>
      </c>
      <c r="H12" s="31" t="s">
        <v>44</v>
      </c>
      <c r="I12" s="8" t="s">
        <v>374</v>
      </c>
    </row>
    <row r="13">
      <c r="B13" s="1" t="s">
        <v>375</v>
      </c>
      <c r="C13" s="15" t="s">
        <v>44</v>
      </c>
      <c r="D13" s="15" t="s">
        <v>44</v>
      </c>
      <c r="E13" s="15" t="s">
        <v>44</v>
      </c>
      <c r="F13" s="15" t="s">
        <v>44</v>
      </c>
      <c r="G13" s="34">
        <v>2322.7</v>
      </c>
      <c r="H13" s="40">
        <f>'Revenue summary'!H11-H10</f>
        <v>575.6417999498726</v>
      </c>
    </row>
    <row r="14">
      <c r="B14" s="20" t="s">
        <v>91</v>
      </c>
      <c r="C14" s="11" t="s">
        <v>44</v>
      </c>
      <c r="D14" s="11" t="s">
        <v>44</v>
      </c>
      <c r="E14" s="11" t="s">
        <v>44</v>
      </c>
      <c r="F14" s="11" t="s">
        <v>44</v>
      </c>
      <c r="G14" s="11">
        <f>G13/G16</f>
        <v>0.3512696036175007</v>
      </c>
      <c r="H14" s="31">
        <f>H13/H16</f>
        <v>0.34901763226288235</v>
      </c>
    </row>
    <row r="15">
      <c r="B15" s="20" t="s">
        <v>88</v>
      </c>
      <c r="C15" s="11" t="s">
        <v>44</v>
      </c>
      <c r="D15" s="11" t="s">
        <v>44</v>
      </c>
      <c r="E15" s="11" t="s">
        <v>44</v>
      </c>
      <c r="F15" s="11" t="s">
        <v>44</v>
      </c>
      <c r="G15" s="11">
        <f>G13/G29-1</f>
        <v>0.020159873506675918</v>
      </c>
      <c r="H15" s="31" t="s">
        <v>44</v>
      </c>
    </row>
    <row r="16">
      <c r="B16" s="4" t="s">
        <v>77</v>
      </c>
      <c r="C16" s="50" t="s">
        <v>44</v>
      </c>
      <c r="D16" s="50" t="s">
        <v>44</v>
      </c>
      <c r="E16" s="50" t="s">
        <v>44</v>
      </c>
      <c r="F16" s="50" t="s">
        <v>44</v>
      </c>
      <c r="G16" s="50">
        <f>G10+G13</f>
        <v>6612.3</v>
      </c>
      <c r="H16" s="42">
        <f>H10+H13</f>
        <v>1649.3201109000001</v>
      </c>
    </row>
    <row r="17">
      <c r="B17" s="20" t="s">
        <v>376</v>
      </c>
      <c r="C17" s="29"/>
      <c r="D17" s="29"/>
      <c r="E17" s="29"/>
      <c r="F17" s="29"/>
      <c r="G17" s="93" t="b">
        <f>ABS(G16-'Revenue summary'!G11)&lt;0.05</f>
        <v>1</v>
      </c>
      <c r="H17" s="92" t="b">
        <f>ABS(H16-'Revenue summary'!H11)&lt;0.05</f>
        <v>1</v>
      </c>
      <c r="I17" s="90" t="s">
        <v>377</v>
      </c>
    </row>
    <row r="18">
      <c r="B18" s="1" t="s">
        <v>378</v>
      </c>
      <c r="C18" s="54" t="s">
        <v>44</v>
      </c>
      <c r="D18" s="54" t="s">
        <v>44</v>
      </c>
      <c r="E18" s="54" t="s">
        <v>44</v>
      </c>
      <c r="F18" s="54" t="s">
        <v>44</v>
      </c>
      <c r="G18" s="54" t="s">
        <v>44</v>
      </c>
      <c r="H18" s="53" t="s">
        <v>44</v>
      </c>
      <c r="I18" s="8" t="s">
        <v>379</v>
      </c>
    </row>
    <row r="19">
      <c r="H19" s="35"/>
    </row>
    <row r="20">
      <c r="B20" s="4" t="s">
        <v>380</v>
      </c>
      <c r="H20" s="35"/>
    </row>
    <row r="21">
      <c r="B21" s="1" t="s">
        <v>381</v>
      </c>
      <c r="C21" s="15" t="s">
        <v>44</v>
      </c>
      <c r="D21" s="15" t="s">
        <v>44</v>
      </c>
      <c r="E21" s="15" t="s">
        <v>44</v>
      </c>
      <c r="F21" s="15" t="s">
        <v>44</v>
      </c>
      <c r="G21" s="6">
        <f>'Segment - North America'!G33-G10</f>
        <v>105.59999999999945</v>
      </c>
      <c r="H21" s="40">
        <f>'Segment - North America'!H33-H10</f>
        <v>26.431469049872476</v>
      </c>
    </row>
    <row r="22">
      <c r="B22" s="20" t="s">
        <v>382</v>
      </c>
      <c r="C22" s="11" t="s">
        <v>44</v>
      </c>
      <c r="D22" s="11" t="s">
        <v>44</v>
      </c>
      <c r="E22" s="11" t="s">
        <v>44</v>
      </c>
      <c r="F22" s="11" t="s">
        <v>44</v>
      </c>
      <c r="G22" s="51">
        <f>G10/'Segment - North America'!G33</f>
        <v>0.9759737895886422</v>
      </c>
      <c r="H22" s="31">
        <f>G22</f>
        <v>0.9759737895886422</v>
      </c>
      <c r="I22" s="8" t="s">
        <v>383</v>
      </c>
    </row>
    <row r="23">
      <c r="B23" s="20" t="s">
        <v>143</v>
      </c>
      <c r="C23" s="32" t="s">
        <v>44</v>
      </c>
      <c r="D23" s="32" t="s">
        <v>44</v>
      </c>
      <c r="E23" s="32" t="s">
        <v>44</v>
      </c>
      <c r="F23" s="32" t="s">
        <v>44</v>
      </c>
      <c r="G23" s="32" t="s">
        <v>44</v>
      </c>
      <c r="H23" s="38" t="s">
        <v>44</v>
      </c>
      <c r="I23" s="8" t="s">
        <v>384</v>
      </c>
    </row>
    <row r="24">
      <c r="B24" s="20" t="s">
        <v>94</v>
      </c>
      <c r="C24" s="32" t="s">
        <v>44</v>
      </c>
      <c r="D24" s="32" t="s">
        <v>44</v>
      </c>
      <c r="E24" s="32" t="s">
        <v>44</v>
      </c>
      <c r="F24" s="32" t="s">
        <v>44</v>
      </c>
      <c r="G24" s="32" t="s">
        <v>44</v>
      </c>
      <c r="H24" s="38" t="s">
        <v>44</v>
      </c>
    </row>
    <row r="25">
      <c r="B25" s="20" t="s">
        <v>385</v>
      </c>
      <c r="C25" s="29"/>
      <c r="D25" s="29"/>
      <c r="E25" s="29"/>
      <c r="F25" s="29"/>
      <c r="G25" s="93" t="b">
        <f>ABS(G13-'Segment - International'!G33-G21)&lt;0.05</f>
        <v>1</v>
      </c>
      <c r="H25" s="92" t="b">
        <f>ABS(H13-'Segment - International'!H33-H21)&lt;0.05</f>
        <v>1</v>
      </c>
      <c r="I25" s="90" t="s">
        <v>386</v>
      </c>
    </row>
    <row r="26">
      <c r="H26" s="35"/>
    </row>
    <row r="27">
      <c r="B27" s="4" t="s">
        <v>387</v>
      </c>
      <c r="H27" s="35"/>
    </row>
    <row r="28">
      <c r="B28" s="1" t="s">
        <v>388</v>
      </c>
      <c r="C28" s="15"/>
      <c r="D28" s="15"/>
      <c r="E28" s="15"/>
      <c r="F28" s="15"/>
      <c r="G28" s="34">
        <v>4174.5</v>
      </c>
      <c r="H28" s="49"/>
    </row>
    <row r="29">
      <c r="B29" s="1" t="s">
        <v>389</v>
      </c>
      <c r="C29" s="15"/>
      <c r="D29" s="15"/>
      <c r="E29" s="15"/>
      <c r="F29" s="15"/>
      <c r="G29" s="34">
        <v>2276.8</v>
      </c>
      <c r="H29" s="49"/>
    </row>
    <row r="30">
      <c r="H30" s="35"/>
    </row>
    <row r="31">
      <c r="B31" s="4" t="s">
        <v>390</v>
      </c>
      <c r="H31" s="35"/>
    </row>
    <row r="32">
      <c r="B32" s="1" t="s">
        <v>373</v>
      </c>
      <c r="C32" s="15" t="s">
        <v>44</v>
      </c>
      <c r="D32" s="15" t="s">
        <v>44</v>
      </c>
      <c r="E32" s="15" t="s">
        <v>44</v>
      </c>
      <c r="F32" s="15" t="s">
        <v>44</v>
      </c>
      <c r="G32" s="34">
        <v>2357.1</v>
      </c>
      <c r="H32" s="49" t="s">
        <v>44</v>
      </c>
    </row>
    <row r="33">
      <c r="B33" s="1" t="s">
        <v>391</v>
      </c>
      <c r="C33" s="15" t="s">
        <v>44</v>
      </c>
      <c r="D33" s="15" t="s">
        <v>44</v>
      </c>
      <c r="E33" s="15" t="s">
        <v>44</v>
      </c>
      <c r="F33" s="15" t="s">
        <v>44</v>
      </c>
      <c r="G33" s="34">
        <v>838</v>
      </c>
      <c r="H33" s="49" t="s">
        <v>44</v>
      </c>
    </row>
    <row r="34">
      <c r="B34" s="1" t="s">
        <v>319</v>
      </c>
      <c r="C34" s="15" t="s">
        <v>44</v>
      </c>
      <c r="D34" s="15" t="s">
        <v>44</v>
      </c>
      <c r="E34" s="15" t="s">
        <v>44</v>
      </c>
      <c r="F34" s="15" t="s">
        <v>44</v>
      </c>
      <c r="G34" s="34">
        <v>782.3</v>
      </c>
      <c r="H34" s="49" t="s">
        <v>44</v>
      </c>
    </row>
    <row r="35">
      <c r="B35" s="4" t="s">
        <v>392</v>
      </c>
      <c r="C35" s="50" t="s">
        <v>44</v>
      </c>
      <c r="D35" s="50" t="s">
        <v>44</v>
      </c>
      <c r="E35" s="50" t="s">
        <v>44</v>
      </c>
      <c r="F35" s="50" t="s">
        <v>44</v>
      </c>
      <c r="G35" s="50">
        <f>SUM(G32:G34)</f>
        <v>3977.3999999999996</v>
      </c>
      <c r="H35" s="42" t="s">
        <v>44</v>
      </c>
    </row>
    <row r="36">
      <c r="B36" s="1" t="s">
        <v>393</v>
      </c>
      <c r="C36" s="15"/>
      <c r="D36" s="15"/>
      <c r="E36" s="15"/>
      <c r="F36" s="15"/>
      <c r="G36" s="34">
        <v>3977.4</v>
      </c>
      <c r="H36" s="49"/>
    </row>
    <row r="37">
      <c r="B37" s="20" t="s">
        <v>394</v>
      </c>
      <c r="C37" s="29"/>
      <c r="D37" s="29"/>
      <c r="E37" s="29"/>
      <c r="F37" s="29"/>
      <c r="G37" s="94" t="b">
        <f>ABS(G35-G36)&lt;0.05</f>
        <v>1</v>
      </c>
      <c r="H37" s="41"/>
    </row>
    <row r="38">
      <c r="H38" s="35"/>
    </row>
    <row r="39">
      <c r="B39" s="20" t="s">
        <v>117</v>
      </c>
      <c r="C39" s="29"/>
      <c r="D39" s="29"/>
      <c r="E39" s="29"/>
      <c r="F39" s="29"/>
      <c r="G39" s="29"/>
      <c r="H39" s="91" t="b">
        <f>AND(G17,G25,G37)</f>
        <v>1</v>
      </c>
    </row>
  </sheetData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B1:I4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60" customWidth="1"/>
  </cols>
  <sheetData>
    <row r="1">
      <c r="B1" s="23" t="s">
        <v>0</v>
      </c>
    </row>
    <row r="2">
      <c r="B2" s="21" t="s">
        <v>395</v>
      </c>
    </row>
    <row r="3">
      <c r="B3" s="20" t="s">
        <v>396</v>
      </c>
    </row>
    <row r="4">
      <c r="B4" s="17" t="s">
        <v>64</v>
      </c>
      <c r="C4" s="3" t="s">
        <v>65</v>
      </c>
      <c r="D4" s="3" t="s">
        <v>66</v>
      </c>
      <c r="E4" s="3" t="s">
        <v>67</v>
      </c>
      <c r="F4" s="3" t="s">
        <v>68</v>
      </c>
      <c r="G4" s="3" t="s">
        <v>69</v>
      </c>
      <c r="H4" s="30" t="s">
        <v>70</v>
      </c>
      <c r="I4" s="17" t="s">
        <v>71</v>
      </c>
    </row>
    <row r="5">
      <c r="B5" s="14" t="s">
        <v>72</v>
      </c>
      <c r="C5" s="19">
        <v>45893</v>
      </c>
      <c r="D5" s="19">
        <v>45984</v>
      </c>
      <c r="E5" s="19">
        <v>46075</v>
      </c>
      <c r="F5" s="19">
        <v>46173</v>
      </c>
      <c r="G5" s="19">
        <v>46173</v>
      </c>
      <c r="H5" s="16">
        <v>46264</v>
      </c>
      <c r="I5" s="14"/>
    </row>
    <row r="6">
      <c r="B6" s="10" t="s">
        <v>73</v>
      </c>
      <c r="C6" s="5">
        <v>91</v>
      </c>
      <c r="D6" s="5">
        <v>91</v>
      </c>
      <c r="E6" s="5">
        <v>91</v>
      </c>
      <c r="F6" s="5">
        <v>98</v>
      </c>
      <c r="G6" s="5">
        <v>371</v>
      </c>
      <c r="H6" s="26">
        <v>91</v>
      </c>
      <c r="I6" s="10"/>
    </row>
    <row r="8">
      <c r="B8" s="4" t="s">
        <v>397</v>
      </c>
      <c r="H8" s="35"/>
    </row>
    <row r="9">
      <c r="B9" s="1" t="s">
        <v>398</v>
      </c>
      <c r="C9" s="34">
        <v>139.5</v>
      </c>
      <c r="D9" s="34">
        <v>139.4</v>
      </c>
      <c r="E9" s="34">
        <v>139</v>
      </c>
      <c r="F9" s="34">
        <v>137.7</v>
      </c>
      <c r="G9" s="34">
        <v>138.9</v>
      </c>
      <c r="H9" s="49">
        <f>AVERAGE(H21,H34)</f>
        <v>137.405441</v>
      </c>
      <c r="I9" s="8" t="s">
        <v>399</v>
      </c>
    </row>
    <row r="10">
      <c r="B10" s="1" t="s">
        <v>400</v>
      </c>
      <c r="C10" s="15">
        <f>C13-C9</f>
        <v>0.30000000000001137</v>
      </c>
      <c r="D10" s="15">
        <f>D13-D9</f>
        <v>0.19999999999998863</v>
      </c>
      <c r="E10" s="15">
        <f>E13-E9</f>
        <v>0.30000000000001137</v>
      </c>
      <c r="F10" s="15">
        <f>F13-F9</f>
        <v>0.30000000000001137</v>
      </c>
      <c r="G10" s="15">
        <f>G13-G9</f>
        <v>0.19999999999998863</v>
      </c>
      <c r="H10" s="68">
        <v>0.3</v>
      </c>
      <c r="I10" s="8" t="s">
        <v>401</v>
      </c>
    </row>
    <row r="11">
      <c r="B11" s="1" t="s">
        <v>402</v>
      </c>
      <c r="C11" s="15" t="s">
        <v>44</v>
      </c>
      <c r="D11" s="15" t="s">
        <v>44</v>
      </c>
      <c r="E11" s="15" t="s">
        <v>44</v>
      </c>
      <c r="F11" s="15" t="s">
        <v>44</v>
      </c>
      <c r="G11" s="15" t="s">
        <v>44</v>
      </c>
      <c r="H11" s="49">
        <f>H10-C10</f>
        <v>0</v>
      </c>
    </row>
    <row r="12">
      <c r="B12" s="1" t="s">
        <v>403</v>
      </c>
      <c r="C12" s="15" t="s">
        <v>44</v>
      </c>
      <c r="D12" s="15">
        <f>D10-C10</f>
        <v>-0.10000000000002274</v>
      </c>
      <c r="E12" s="15">
        <f>E10-D10</f>
        <v>0.10000000000002274</v>
      </c>
      <c r="F12" s="15">
        <f>F10-E10</f>
        <v>0</v>
      </c>
      <c r="G12" s="15"/>
      <c r="H12" s="49">
        <f>H10-F10</f>
        <v>0</v>
      </c>
    </row>
    <row r="13">
      <c r="B13" s="4" t="s">
        <v>404</v>
      </c>
      <c r="C13" s="44">
        <v>139.8</v>
      </c>
      <c r="D13" s="44">
        <v>139.6</v>
      </c>
      <c r="E13" s="44">
        <v>139.3</v>
      </c>
      <c r="F13" s="44">
        <v>138</v>
      </c>
      <c r="G13" s="44">
        <v>139.1</v>
      </c>
      <c r="H13" s="42">
        <f>H9+H10</f>
        <v>137.705441</v>
      </c>
      <c r="I13" s="8" t="s">
        <v>405</v>
      </c>
    </row>
    <row r="14">
      <c r="B14" s="1" t="s">
        <v>402</v>
      </c>
      <c r="C14" s="15">
        <f>C13-C16</f>
        <v>-4.399999999999977</v>
      </c>
      <c r="D14" s="15">
        <f>D13-D16</f>
        <v>-3.5999999999999943</v>
      </c>
      <c r="E14" s="15">
        <f>E13-E16</f>
        <v>-3.0999999999999943</v>
      </c>
      <c r="F14" s="15">
        <f>F13-F16</f>
        <v>-3</v>
      </c>
      <c r="G14" s="15">
        <f>G13-G16</f>
        <v>-3.5999999999999943</v>
      </c>
      <c r="H14" s="49">
        <f>H13-H16</f>
        <v>-2.094559000000004</v>
      </c>
    </row>
    <row r="15">
      <c r="B15" s="1" t="s">
        <v>403</v>
      </c>
      <c r="C15" s="15">
        <f>C13-F16</f>
        <v>-1.1999999999999886</v>
      </c>
      <c r="D15" s="15">
        <f>D13-C13</f>
        <v>-0.20000000000001705</v>
      </c>
      <c r="E15" s="15">
        <f>E13-D13</f>
        <v>-0.29999999999998295</v>
      </c>
      <c r="F15" s="15">
        <f>F13-E13</f>
        <v>-1.3000000000000114</v>
      </c>
      <c r="G15" s="15"/>
      <c r="H15" s="49">
        <f>H13-F13</f>
        <v>-0.29455899999999247</v>
      </c>
    </row>
    <row r="16">
      <c r="B16" s="1" t="s">
        <v>406</v>
      </c>
      <c r="C16" s="34">
        <v>144.2</v>
      </c>
      <c r="D16" s="34">
        <v>143.2</v>
      </c>
      <c r="E16" s="34">
        <v>142.4</v>
      </c>
      <c r="F16" s="34">
        <v>141</v>
      </c>
      <c r="G16" s="34">
        <v>142.7</v>
      </c>
      <c r="H16" s="49">
        <f>C13</f>
        <v>139.8</v>
      </c>
    </row>
    <row r="17">
      <c r="H17" s="35"/>
    </row>
    <row r="18">
      <c r="B18" s="4" t="s">
        <v>407</v>
      </c>
      <c r="H18" s="35"/>
    </row>
    <row r="19">
      <c r="B19" s="1" t="s">
        <v>408</v>
      </c>
      <c r="C19" s="47">
        <v>151.390267</v>
      </c>
      <c r="D19" s="46"/>
      <c r="E19" s="46"/>
      <c r="F19" s="46"/>
      <c r="G19" s="46"/>
      <c r="H19" s="45"/>
    </row>
    <row r="20">
      <c r="B20" s="1" t="s">
        <v>409</v>
      </c>
      <c r="C20" s="47">
        <v>12.152507</v>
      </c>
      <c r="D20" s="46"/>
      <c r="E20" s="46"/>
      <c r="F20" s="46"/>
      <c r="G20" s="46"/>
      <c r="H20" s="45"/>
    </row>
    <row r="21">
      <c r="B21" s="1" t="s">
        <v>410</v>
      </c>
      <c r="C21" s="46">
        <f>C19-C20</f>
        <v>139.23775999999998</v>
      </c>
      <c r="D21" s="46">
        <f>C34</f>
        <v>139.335411</v>
      </c>
      <c r="E21" s="46">
        <f>D34</f>
        <v>138.879465</v>
      </c>
      <c r="F21" s="46">
        <f>E34</f>
        <v>138.979545</v>
      </c>
      <c r="G21" s="46">
        <f>C21</f>
        <v>139.23775999999998</v>
      </c>
      <c r="H21" s="45">
        <f>F34</f>
        <v>137.455441</v>
      </c>
    </row>
    <row r="22">
      <c r="B22" s="1" t="s">
        <v>411</v>
      </c>
      <c r="C22" s="47">
        <v>0.187259</v>
      </c>
      <c r="D22" s="47">
        <v>0.617623</v>
      </c>
      <c r="E22" s="47">
        <v>0</v>
      </c>
      <c r="F22" s="46">
        <f>G22-C22-D22-E22</f>
        <v>1.539586</v>
      </c>
      <c r="G22" s="47">
        <v>2.344468</v>
      </c>
      <c r="H22" s="45">
        <f>H23/H26</f>
        <v>0.4</v>
      </c>
      <c r="I22" s="8" t="s">
        <v>412</v>
      </c>
    </row>
    <row r="23">
      <c r="B23" s="1" t="s">
        <v>413</v>
      </c>
      <c r="C23" s="34">
        <v>10.4</v>
      </c>
      <c r="D23" s="34">
        <v>39.6</v>
      </c>
      <c r="E23" s="34">
        <v>0</v>
      </c>
      <c r="F23" s="15">
        <f>G23-C23-D23-E23</f>
        <v>63.199999999999996</v>
      </c>
      <c r="G23" s="34">
        <v>113.2</v>
      </c>
      <c r="H23" s="68">
        <v>20</v>
      </c>
      <c r="I23" s="8" t="s">
        <v>414</v>
      </c>
    </row>
    <row r="24">
      <c r="B24" s="1" t="s">
        <v>123</v>
      </c>
      <c r="C24" s="15" t="s">
        <v>44</v>
      </c>
      <c r="D24" s="15" t="s">
        <v>44</v>
      </c>
      <c r="E24" s="15" t="s">
        <v>44</v>
      </c>
      <c r="F24" s="15" t="s">
        <v>44</v>
      </c>
      <c r="G24" s="15" t="s">
        <v>44</v>
      </c>
      <c r="H24" s="49">
        <f>H23-C23</f>
        <v>9.6</v>
      </c>
    </row>
    <row r="25">
      <c r="B25" s="1" t="s">
        <v>124</v>
      </c>
      <c r="C25" s="15" t="s">
        <v>44</v>
      </c>
      <c r="D25" s="15">
        <f>D23-C23</f>
        <v>29.200000000000003</v>
      </c>
      <c r="E25" s="15">
        <f>E23-D23</f>
        <v>-39.6</v>
      </c>
      <c r="F25" s="15">
        <f>F23-E23</f>
        <v>63.199999999999996</v>
      </c>
      <c r="G25" s="15"/>
      <c r="H25" s="49">
        <f>H23-F23</f>
        <v>-43.199999999999996</v>
      </c>
    </row>
    <row r="26">
      <c r="B26" s="1" t="s">
        <v>415</v>
      </c>
      <c r="C26" s="2">
        <f>IF(C22=0,"n/a",C23/C22)</f>
        <v>55.538051575625204</v>
      </c>
      <c r="D26" s="2">
        <f>IF(D22=0,"n/a",D23/D22)</f>
        <v>64.11678321565097</v>
      </c>
      <c r="E26" s="2" t="str">
        <f>IF(E22=0,"n/a",E23/E22)</f>
        <v>n/a</v>
      </c>
      <c r="F26" s="2">
        <f>IF(F22=0,"n/a",F23/F22)</f>
        <v>41.04999655751611</v>
      </c>
      <c r="G26" s="2">
        <f>IF(G22=0,"n/a",G23/G22)</f>
        <v>48.283875062487525</v>
      </c>
      <c r="H26" s="77">
        <v>50</v>
      </c>
      <c r="I26" s="8" t="s">
        <v>416</v>
      </c>
    </row>
    <row r="27">
      <c r="B27" s="1" t="s">
        <v>417</v>
      </c>
      <c r="C27" s="2" t="s">
        <v>44</v>
      </c>
      <c r="D27" s="2" t="s">
        <v>44</v>
      </c>
      <c r="E27" s="2" t="s">
        <v>44</v>
      </c>
      <c r="F27" s="2" t="s">
        <v>44</v>
      </c>
      <c r="G27" s="2" t="s">
        <v>44</v>
      </c>
      <c r="H27" s="76">
        <f>IFERROR(H26-C26,"n/a")</f>
        <v>-5.538051575625204</v>
      </c>
    </row>
    <row r="28">
      <c r="B28" s="1" t="s">
        <v>418</v>
      </c>
      <c r="C28" s="2" t="s">
        <v>44</v>
      </c>
      <c r="D28" s="2">
        <f>IFERROR(D26-C26,"n/a")</f>
        <v>8.578731640025765</v>
      </c>
      <c r="E28" s="2" t="str">
        <f>IFERROR(E26-D26,"n/a")</f>
        <v>n/a</v>
      </c>
      <c r="F28" s="2" t="str">
        <f>IFERROR(F26-E26,"n/a")</f>
        <v>n/a</v>
      </c>
      <c r="G28" s="2"/>
      <c r="H28" s="76">
        <f>IFERROR(H26-F26,"n/a")</f>
        <v>8.95000344248389</v>
      </c>
    </row>
    <row r="29">
      <c r="B29" s="1" t="s">
        <v>419</v>
      </c>
      <c r="C29" s="46">
        <f>C34-C21+C22</f>
        <v>0.28491000000001326</v>
      </c>
      <c r="D29" s="46">
        <f>D34-D21+D22</f>
        <v>0.16167700000001695</v>
      </c>
      <c r="E29" s="46">
        <f>E34-E21+E22</f>
        <v>0.10007999999999129</v>
      </c>
      <c r="F29" s="46">
        <f>F34-F21+F22</f>
        <v>0.015482000000005769</v>
      </c>
      <c r="G29" s="46">
        <f>G34-G21+G22</f>
        <v>0.5621490000000273</v>
      </c>
      <c r="H29" s="75">
        <v>0.3</v>
      </c>
      <c r="I29" s="8" t="s">
        <v>420</v>
      </c>
    </row>
    <row r="30">
      <c r="B30" s="1" t="s">
        <v>402</v>
      </c>
      <c r="C30" s="46" t="s">
        <v>44</v>
      </c>
      <c r="D30" s="46" t="s">
        <v>44</v>
      </c>
      <c r="E30" s="46" t="s">
        <v>44</v>
      </c>
      <c r="F30" s="46" t="s">
        <v>44</v>
      </c>
      <c r="G30" s="46" t="s">
        <v>44</v>
      </c>
      <c r="H30" s="45">
        <f>H29-C29</f>
        <v>0.015089999999986725</v>
      </c>
    </row>
    <row r="31">
      <c r="B31" s="1" t="s">
        <v>403</v>
      </c>
      <c r="C31" s="46" t="s">
        <v>44</v>
      </c>
      <c r="D31" s="46">
        <f>D29-C29</f>
        <v>-0.12323299999999632</v>
      </c>
      <c r="E31" s="46">
        <f>E29-D29</f>
        <v>-0.06159700000002566</v>
      </c>
      <c r="F31" s="46">
        <f>F29-E29</f>
        <v>-0.08459799999998552</v>
      </c>
      <c r="G31" s="46"/>
      <c r="H31" s="45">
        <f>H29-F29</f>
        <v>0.2845179999999942</v>
      </c>
    </row>
    <row r="32">
      <c r="B32" s="1" t="s">
        <v>421</v>
      </c>
      <c r="C32" s="47">
        <v>151.832842</v>
      </c>
      <c r="D32" s="47">
        <v>152.006164</v>
      </c>
      <c r="E32" s="47">
        <v>152.108953</v>
      </c>
      <c r="F32" s="47">
        <v>152.134757</v>
      </c>
      <c r="G32" s="46">
        <f>F32</f>
        <v>152.134757</v>
      </c>
      <c r="H32" s="45">
        <f>F32+H29</f>
        <v>152.43475700000002</v>
      </c>
    </row>
    <row r="33">
      <c r="B33" s="1" t="s">
        <v>422</v>
      </c>
      <c r="C33" s="47">
        <v>12.497431</v>
      </c>
      <c r="D33" s="47">
        <v>13.126699</v>
      </c>
      <c r="E33" s="47">
        <v>13.129408</v>
      </c>
      <c r="F33" s="47">
        <v>14.679316</v>
      </c>
      <c r="G33" s="46">
        <f>F33</f>
        <v>14.679316</v>
      </c>
      <c r="H33" s="45">
        <f>F33+H22</f>
        <v>15.079316</v>
      </c>
    </row>
    <row r="34">
      <c r="B34" s="4" t="s">
        <v>423</v>
      </c>
      <c r="C34" s="78">
        <f>C32-C33</f>
        <v>139.335411</v>
      </c>
      <c r="D34" s="78">
        <f>D32-D33</f>
        <v>138.879465</v>
      </c>
      <c r="E34" s="78">
        <f>E32-E33</f>
        <v>138.979545</v>
      </c>
      <c r="F34" s="78">
        <f>F32-F33</f>
        <v>137.455441</v>
      </c>
      <c r="G34" s="78">
        <f>G32-G33</f>
        <v>137.455441</v>
      </c>
      <c r="H34" s="79">
        <f>H32-H33</f>
        <v>137.355441</v>
      </c>
    </row>
    <row r="35">
      <c r="B35" s="1" t="s">
        <v>403</v>
      </c>
      <c r="C35" s="46" t="s">
        <v>44</v>
      </c>
      <c r="D35" s="46">
        <f>D34-C34</f>
        <v>-0.4559459999999831</v>
      </c>
      <c r="E35" s="46">
        <f>E34-D34</f>
        <v>0.10007999999999129</v>
      </c>
      <c r="F35" s="46">
        <f>F34-E34</f>
        <v>-1.5241039999999941</v>
      </c>
      <c r="G35" s="46"/>
      <c r="H35" s="45">
        <f>H34-F34</f>
        <v>-0.09999999999999432</v>
      </c>
    </row>
    <row r="36">
      <c r="B36" s="1" t="s">
        <v>424</v>
      </c>
      <c r="C36" s="46"/>
      <c r="D36" s="46"/>
      <c r="E36" s="46"/>
      <c r="F36" s="46"/>
      <c r="G36" s="46"/>
      <c r="H36" s="75">
        <v>137.481011</v>
      </c>
    </row>
    <row r="37">
      <c r="B37" s="20" t="s">
        <v>425</v>
      </c>
      <c r="C37" s="94" t="b">
        <f>ABS(C21-C22+C29-C34)&lt;0.000001</f>
        <v>1</v>
      </c>
      <c r="D37" s="94" t="b">
        <f>ABS(D21-D22+D29-D34)&lt;0.000001</f>
        <v>1</v>
      </c>
      <c r="E37" s="94" t="b">
        <f>ABS(E21-E22+E29-E34)&lt;0.000001</f>
        <v>1</v>
      </c>
      <c r="F37" s="94" t="b">
        <f>ABS(F21-F22+F29-F34)&lt;0.000001</f>
        <v>1</v>
      </c>
      <c r="G37" s="94" t="b">
        <f>ABS(G21-G22+G29-G34)&lt;0.000001</f>
        <v>1</v>
      </c>
      <c r="H37" s="91" t="b">
        <f>ABS(H21-H22+H29-H34)&lt;0.000001</f>
        <v>1</v>
      </c>
      <c r="I37" s="90" t="s">
        <v>426</v>
      </c>
    </row>
    <row r="38">
      <c r="H38" s="35"/>
    </row>
    <row r="39">
      <c r="B39" s="4" t="s">
        <v>427</v>
      </c>
      <c r="H39" s="35"/>
    </row>
    <row r="40">
      <c r="B40" s="1" t="s">
        <v>428</v>
      </c>
      <c r="C40" s="55">
        <v>0.37</v>
      </c>
      <c r="D40" s="55">
        <v>0.37</v>
      </c>
      <c r="E40" s="55">
        <v>0.38</v>
      </c>
      <c r="F40" s="55">
        <v>0.38</v>
      </c>
      <c r="G40" s="55">
        <v>1.5</v>
      </c>
      <c r="H40" s="77">
        <v>0.38</v>
      </c>
      <c r="I40" s="8" t="s">
        <v>429</v>
      </c>
    </row>
    <row r="41">
      <c r="B41" s="1" t="s">
        <v>123</v>
      </c>
      <c r="C41" s="2" t="s">
        <v>44</v>
      </c>
      <c r="D41" s="2" t="s">
        <v>44</v>
      </c>
      <c r="E41" s="2" t="s">
        <v>44</v>
      </c>
      <c r="F41" s="2" t="s">
        <v>44</v>
      </c>
      <c r="G41" s="2" t="s">
        <v>44</v>
      </c>
      <c r="H41" s="76">
        <f>H40-C40</f>
        <v>0.010000000000000009</v>
      </c>
    </row>
    <row r="42">
      <c r="B42" s="1" t="s">
        <v>124</v>
      </c>
      <c r="C42" s="2" t="s">
        <v>44</v>
      </c>
      <c r="D42" s="2">
        <f>D40-C40</f>
        <v>0</v>
      </c>
      <c r="E42" s="2">
        <f>E40-D40</f>
        <v>0.010000000000000009</v>
      </c>
      <c r="F42" s="2">
        <f>F40-E40</f>
        <v>0</v>
      </c>
      <c r="G42" s="2"/>
      <c r="H42" s="76">
        <f>H40-F40</f>
        <v>0</v>
      </c>
    </row>
    <row r="43">
      <c r="B43" s="1" t="s">
        <v>430</v>
      </c>
      <c r="C43" s="6">
        <f>-'Cash Flow Statement'!C86</f>
        <v>51.7</v>
      </c>
      <c r="D43" s="6">
        <f>-'Cash Flow Statement'!D86</f>
        <v>51.599999999999994</v>
      </c>
      <c r="E43" s="6">
        <f>-'Cash Flow Statement'!E86</f>
        <v>51.39999999999999</v>
      </c>
      <c r="F43" s="6">
        <f>-'Cash Flow Statement'!F86</f>
        <v>52.80000000000001</v>
      </c>
      <c r="G43" s="6">
        <f>-'Cash Flow Statement'!G86</f>
        <v>207.5</v>
      </c>
      <c r="H43" s="49">
        <f>H40*H21</f>
        <v>52.233067580000004</v>
      </c>
      <c r="I43" s="90" t="s">
        <v>431</v>
      </c>
    </row>
    <row r="44">
      <c r="H44" s="35"/>
    </row>
    <row r="45">
      <c r="B45" s="4" t="s">
        <v>432</v>
      </c>
      <c r="H45" s="35"/>
    </row>
    <row r="46">
      <c r="B46" s="4" t="s">
        <v>433</v>
      </c>
      <c r="C46" s="50"/>
      <c r="D46" s="50"/>
      <c r="E46" s="50"/>
      <c r="F46" s="50"/>
      <c r="G46" s="50"/>
      <c r="H46" s="42">
        <f>H13</f>
        <v>137.705441</v>
      </c>
    </row>
  </sheetData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B1:K44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8" width="12" customWidth="1"/>
    <col min="9" max="9" width="20" customWidth="1"/>
    <col min="10" max="10" width="12" customWidth="1"/>
    <col min="11" max="11" width="70" customWidth="1"/>
  </cols>
  <sheetData>
    <row r="1">
      <c r="B1" s="23" t="s">
        <v>0</v>
      </c>
    </row>
    <row r="2">
      <c r="B2" s="21" t="s">
        <v>434</v>
      </c>
    </row>
    <row r="3">
      <c r="B3" s="20" t="s">
        <v>2</v>
      </c>
    </row>
    <row r="4">
      <c r="B4" s="102"/>
      <c r="C4" s="106"/>
      <c r="D4" s="106"/>
      <c r="E4" s="106"/>
      <c r="F4" s="106"/>
      <c r="G4" s="106"/>
      <c r="H4" s="106"/>
      <c r="I4" s="102"/>
      <c r="J4" s="102"/>
      <c r="K4" s="102"/>
    </row>
    <row r="5">
      <c r="B5" s="105"/>
      <c r="C5" s="101"/>
      <c r="D5" s="101"/>
      <c r="E5" s="101"/>
      <c r="F5" s="101"/>
      <c r="G5" s="101"/>
      <c r="H5" s="101"/>
      <c r="I5" s="105"/>
      <c r="J5" s="105"/>
      <c r="K5" s="105"/>
    </row>
    <row r="6">
      <c r="B6" s="103"/>
      <c r="C6" s="104"/>
      <c r="D6" s="104"/>
      <c r="E6" s="104"/>
      <c r="F6" s="104"/>
      <c r="G6" s="104"/>
      <c r="H6" s="104"/>
      <c r="I6" s="103"/>
      <c r="J6" s="103"/>
      <c r="K6" s="103"/>
    </row>
    <row r="8" ht="14.624267578125">
      <c r="B8" s="27" t="s">
        <v>29</v>
      </c>
      <c r="C8" s="13" t="s">
        <v>435</v>
      </c>
      <c r="D8" s="13" t="s">
        <v>64</v>
      </c>
      <c r="E8" s="13" t="s">
        <v>436</v>
      </c>
      <c r="F8" s="13" t="s">
        <v>437</v>
      </c>
      <c r="G8" s="13" t="s">
        <v>438</v>
      </c>
      <c r="H8" s="13" t="s">
        <v>439</v>
      </c>
      <c r="I8" s="95" t="s">
        <v>440</v>
      </c>
      <c r="J8" s="95" t="s">
        <v>30</v>
      </c>
      <c r="K8" s="27" t="s">
        <v>441</v>
      </c>
    </row>
    <row r="9" ht="14.624267578125">
      <c r="B9" s="60" t="s">
        <v>442</v>
      </c>
      <c r="C9" s="24">
        <v>45930</v>
      </c>
      <c r="D9" s="54" t="s">
        <v>443</v>
      </c>
      <c r="E9" s="34">
        <v>6350</v>
      </c>
      <c r="F9" s="34">
        <v>6550</v>
      </c>
      <c r="G9" s="15">
        <f>AVERAGE(E9:F9)</f>
        <v>6450</v>
      </c>
      <c r="H9" s="6">
        <f>'Revenue summary'!G38</f>
        <v>6489.199999999999</v>
      </c>
      <c r="I9" s="15" t="str">
        <f>IF(H9="","pending",IF(H9&gt;F9,"Beat (above high)",IF(H9&lt;E9,"Miss (below low)",IF(H9&gt;=G9,"Within, above mid","Within, below mid"))))</f>
        <v>Within, above mid</v>
      </c>
      <c r="K9" s="59" t="s">
        <v>444</v>
      </c>
    </row>
    <row r="10" ht="14.624267578125">
      <c r="B10" s="60" t="s">
        <v>37</v>
      </c>
      <c r="C10" s="24">
        <v>46010</v>
      </c>
      <c r="D10" s="54" t="s">
        <v>443</v>
      </c>
      <c r="E10" s="34">
        <v>6350</v>
      </c>
      <c r="F10" s="34">
        <v>6550</v>
      </c>
      <c r="G10" s="15">
        <f>AVERAGE(E10:F10)</f>
        <v>6450</v>
      </c>
      <c r="H10" s="6">
        <f>'Revenue summary'!G11</f>
        <v>6612.299999999999</v>
      </c>
      <c r="I10" s="15" t="str">
        <f>IF(H10="","pending",IF(H10&gt;F10,"Beat (above high)",IF(H10&lt;E10,"Miss (below low)",IF(H10&gt;=G10,"Within, above mid","Within, below mid"))))</f>
        <v>Beat (above high)</v>
      </c>
      <c r="K10" s="59" t="s">
        <v>445</v>
      </c>
    </row>
    <row r="11" ht="14.624267578125">
      <c r="B11" s="60" t="s">
        <v>446</v>
      </c>
      <c r="C11" s="24">
        <v>46113</v>
      </c>
      <c r="D11" s="54" t="s">
        <v>443</v>
      </c>
      <c r="E11" s="34">
        <v>6450</v>
      </c>
      <c r="F11" s="34">
        <v>6550</v>
      </c>
      <c r="G11" s="15">
        <f>AVERAGE(E11:F11)</f>
        <v>6500</v>
      </c>
      <c r="H11" s="6">
        <f>'Revenue summary'!G11</f>
        <v>6612.299999999999</v>
      </c>
      <c r="I11" s="15" t="str">
        <f>IF(H11="","pending",IF(H11&gt;F11,"Beat (above high)",IF(H11&lt;E11,"Miss (below low)",IF(H11&gt;=G11,"Within, above mid","Within, below mid"))))</f>
        <v>Beat (above high)</v>
      </c>
      <c r="K11" s="59" t="s">
        <v>447</v>
      </c>
    </row>
    <row r="12" ht="14.624267578125">
      <c r="B12" s="60" t="s">
        <v>48</v>
      </c>
      <c r="C12" s="24">
        <v>45930</v>
      </c>
      <c r="D12" s="54" t="s">
        <v>443</v>
      </c>
      <c r="E12" s="34">
        <v>1000</v>
      </c>
      <c r="F12" s="34">
        <v>1200</v>
      </c>
      <c r="G12" s="15">
        <f>AVERAGE(E12:F12)</f>
        <v>1100</v>
      </c>
      <c r="H12" s="6">
        <f>'Income Statement'!G147</f>
        <v>1147.2</v>
      </c>
      <c r="I12" s="15" t="str">
        <f>IF(H12="","pending",IF(H12&gt;F12,"Beat (above high)",IF(H12&lt;E12,"Miss (below low)",IF(H12&gt;=G12,"Within, above mid","Within, below mid"))))</f>
        <v>Within, above mid</v>
      </c>
      <c r="K12" s="59" t="s">
        <v>448</v>
      </c>
    </row>
    <row r="13" ht="14.624267578125">
      <c r="B13" s="60" t="s">
        <v>48</v>
      </c>
      <c r="C13" s="24">
        <v>46010</v>
      </c>
      <c r="D13" s="54" t="s">
        <v>443</v>
      </c>
      <c r="E13" s="34">
        <v>1000</v>
      </c>
      <c r="F13" s="34">
        <v>1200</v>
      </c>
      <c r="G13" s="15">
        <f>AVERAGE(E13:F13)</f>
        <v>1100</v>
      </c>
      <c r="H13" s="6">
        <f>'Income Statement'!G147</f>
        <v>1147.2</v>
      </c>
      <c r="I13" s="15" t="str">
        <f>IF(H13="","pending",IF(H13&gt;F13,"Beat (above high)",IF(H13&lt;E13,"Miss (below low)",IF(H13&gt;=G13,"Within, above mid","Within, below mid"))))</f>
        <v>Within, above mid</v>
      </c>
      <c r="K13" s="59" t="s">
        <v>449</v>
      </c>
    </row>
    <row r="14" ht="14.624267578125">
      <c r="B14" s="60" t="s">
        <v>48</v>
      </c>
      <c r="C14" s="24">
        <v>46113</v>
      </c>
      <c r="D14" s="54" t="s">
        <v>443</v>
      </c>
      <c r="E14" s="34">
        <v>1080</v>
      </c>
      <c r="F14" s="34">
        <v>1140</v>
      </c>
      <c r="G14" s="15">
        <f>AVERAGE(E14:F14)</f>
        <v>1110</v>
      </c>
      <c r="H14" s="6">
        <f>'Income Statement'!G147</f>
        <v>1147.2</v>
      </c>
      <c r="I14" s="15" t="str">
        <f>IF(H14="","pending",IF(H14&gt;F14,"Beat (above high)",IF(H14&lt;E14,"Miss (below low)",IF(H14&gt;=G14,"Within, above mid","Within, below mid"))))</f>
        <v>Beat (above high)</v>
      </c>
      <c r="K14" s="59" t="s">
        <v>450</v>
      </c>
    </row>
    <row r="15" ht="14.624267578125">
      <c r="B15" s="60" t="s">
        <v>451</v>
      </c>
      <c r="C15" s="24">
        <v>45930</v>
      </c>
      <c r="D15" s="54" t="s">
        <v>443</v>
      </c>
      <c r="E15" s="34">
        <v>500</v>
      </c>
      <c r="F15" s="34">
        <v>500</v>
      </c>
      <c r="G15" s="15">
        <f>AVERAGE(E15:F15)</f>
        <v>500</v>
      </c>
      <c r="H15" s="6">
        <f>-('Cash Flow Statement'!G57+'Cash Flow Statement'!G60)</f>
        <v>410.09999999999997</v>
      </c>
      <c r="I15" s="15" t="str">
        <f>IF(H15="","pending",IF(H15&lt;E15,"Below range (favourable)",IF(H15&gt;F15,"Above range","Within range")))</f>
        <v>Below range (favourable)</v>
      </c>
      <c r="K15" s="59" t="s">
        <v>452</v>
      </c>
    </row>
    <row r="16" ht="14.624267578125">
      <c r="B16" s="60" t="s">
        <v>451</v>
      </c>
      <c r="C16" s="24">
        <v>46113</v>
      </c>
      <c r="D16" s="54" t="s">
        <v>443</v>
      </c>
      <c r="E16" s="34">
        <v>400</v>
      </c>
      <c r="F16" s="34">
        <v>400</v>
      </c>
      <c r="G16" s="15">
        <f>AVERAGE(E16:F16)</f>
        <v>400</v>
      </c>
      <c r="H16" s="6">
        <f>-('Cash Flow Statement'!G57+'Cash Flow Statement'!G60)</f>
        <v>410.09999999999997</v>
      </c>
      <c r="I16" s="15" t="str">
        <f>IF(H16="","pending",IF(H16&lt;E16,"Below range (favourable)",IF(H16&gt;F16,"Above range","Within range")))</f>
        <v>Above range</v>
      </c>
      <c r="K16" s="59" t="s">
        <v>453</v>
      </c>
    </row>
    <row r="17" ht="23.24853515625">
      <c r="B17" s="60" t="s">
        <v>454</v>
      </c>
      <c r="C17" s="24">
        <v>46113</v>
      </c>
      <c r="D17" s="54" t="s">
        <v>455</v>
      </c>
      <c r="E17" s="6">
        <f>E11-SUM('Revenue summary'!C11:E11)</f>
        <v>1607.8000000000002</v>
      </c>
      <c r="F17" s="6">
        <f>F11-SUM('Revenue summary'!C11:E11)</f>
        <v>1707.8000000000002</v>
      </c>
      <c r="G17" s="15">
        <f>AVERAGE(E17:F17)</f>
        <v>1657.8000000000002</v>
      </c>
      <c r="H17" s="6">
        <f>'Revenue summary'!F11</f>
        <v>1770.1</v>
      </c>
      <c r="I17" s="15" t="str">
        <f>IF(H17="","pending",IF(H17&gt;F17,"Beat (above high)",IF(H17&lt;E17,"Miss (below low)",IF(H17&gt;=G17,"Within, above mid","Within, below mid"))))</f>
        <v>Beat (above high)</v>
      </c>
      <c r="K17" s="59" t="s">
        <v>456</v>
      </c>
    </row>
    <row r="18" ht="23.24853515625">
      <c r="B18" s="60" t="s">
        <v>457</v>
      </c>
      <c r="C18" s="24">
        <v>46113</v>
      </c>
      <c r="D18" s="54" t="s">
        <v>455</v>
      </c>
      <c r="E18" s="6">
        <f>E14-SUM('Income Statement'!C147:E147)</f>
        <v>220.4000000000001</v>
      </c>
      <c r="F18" s="6">
        <f>F14-SUM('Income Statement'!C147:E147)</f>
        <v>280.4000000000001</v>
      </c>
      <c r="G18" s="15">
        <f>AVERAGE(E18:F18)</f>
        <v>250.4000000000001</v>
      </c>
      <c r="H18" s="6">
        <f>'Income Statement'!F147</f>
        <v>287.6</v>
      </c>
      <c r="I18" s="15" t="str">
        <f>IF(H18="","pending",IF(H18&gt;F18,"Beat (above high)",IF(H18&lt;E18,"Miss (below low)",IF(H18&gt;=G18,"Within, above mid","Within, below mid"))))</f>
        <v>Beat (above high)</v>
      </c>
      <c r="K18" s="59" t="s">
        <v>456</v>
      </c>
    </row>
    <row r="19" ht="14.624267578125">
      <c r="B19" s="60" t="s">
        <v>458</v>
      </c>
      <c r="C19" s="24">
        <v>46227</v>
      </c>
      <c r="D19" s="54" t="s">
        <v>459</v>
      </c>
      <c r="E19" s="96">
        <v>0</v>
      </c>
      <c r="F19" s="58">
        <v>0.01</v>
      </c>
      <c r="G19" s="11">
        <f>AVERAGE(E19:F19)</f>
        <v>0.005</v>
      </c>
      <c r="I19" s="66" t="str">
        <f>IF(H19="","pending",IF(H19&gt;F19,"Beat (above high)",IF(H19&lt;E19,"Miss (below low)",IF(H19&gt;=G19,"Within, above mid","Within, below mid"))))</f>
        <v>pending</v>
      </c>
      <c r="K19" s="59" t="s">
        <v>460</v>
      </c>
    </row>
    <row r="20" ht="14.624267578125">
      <c r="B20" s="60" t="s">
        <v>461</v>
      </c>
      <c r="C20" s="24">
        <v>46227</v>
      </c>
      <c r="D20" s="54" t="s">
        <v>462</v>
      </c>
      <c r="E20" s="34">
        <v>6500</v>
      </c>
      <c r="F20" s="34">
        <v>6500</v>
      </c>
      <c r="G20" s="15">
        <f>AVERAGE(E20:F20)</f>
        <v>6500</v>
      </c>
      <c r="I20" s="15" t="str">
        <f>IF(H20="","pending",IF(H20&gt;G20,"Above midpoint",IF(H20&lt;G20,"Below midpoint","At midpoint")))</f>
        <v>pending</v>
      </c>
      <c r="K20" s="59" t="s">
        <v>463</v>
      </c>
    </row>
    <row r="21" ht="14.624267578125">
      <c r="B21" s="60" t="s">
        <v>464</v>
      </c>
      <c r="C21" s="24">
        <v>46227</v>
      </c>
      <c r="D21" s="54" t="s">
        <v>459</v>
      </c>
      <c r="E21" s="15">
        <f>E20*(1+E19)</f>
        <v>6500</v>
      </c>
      <c r="F21" s="15">
        <f>F20*(1+F19)</f>
        <v>6565</v>
      </c>
      <c r="G21" s="15">
        <f>AVERAGE(E21:F21)</f>
        <v>6532.5</v>
      </c>
      <c r="I21" s="15" t="str">
        <f>IF(H21="","pending",IF(H21&gt;F21,"Beat (above high)",IF(H21&lt;E21,"Miss (below low)",IF(H21&gt;=G21,"Within, above mid","Within, below mid"))))</f>
        <v>pending</v>
      </c>
      <c r="K21" s="59" t="s">
        <v>465</v>
      </c>
    </row>
    <row r="22" ht="14.624267578125">
      <c r="B22" s="60" t="s">
        <v>48</v>
      </c>
      <c r="C22" s="24">
        <v>46227</v>
      </c>
      <c r="D22" s="54" t="s">
        <v>459</v>
      </c>
      <c r="E22" s="34">
        <v>1100</v>
      </c>
      <c r="F22" s="34">
        <v>1200</v>
      </c>
      <c r="G22" s="15">
        <f>AVERAGE(E22:F22)</f>
        <v>1150</v>
      </c>
      <c r="I22" s="15" t="str">
        <f>IF(H22="","pending",IF(H22&gt;F22,"Beat (above high)",IF(H22&lt;E22,"Miss (below low)",IF(H22&gt;=G22,"Within, above mid","Within, below mid"))))</f>
        <v>pending</v>
      </c>
      <c r="K22" s="59" t="s">
        <v>466</v>
      </c>
    </row>
    <row r="23" ht="14.624267578125">
      <c r="B23" s="60" t="s">
        <v>467</v>
      </c>
      <c r="C23" s="24">
        <v>46227</v>
      </c>
      <c r="D23" s="54" t="s">
        <v>459</v>
      </c>
      <c r="E23" s="55">
        <v>2.95</v>
      </c>
      <c r="F23" s="55">
        <v>3.25</v>
      </c>
      <c r="G23" s="2">
        <f>AVERAGE(E23:F23)</f>
        <v>3.1</v>
      </c>
      <c r="I23" s="2" t="str">
        <f>IF(H23="","pending",IF(H23&gt;F23,"Beat (above high)",IF(H23&lt;E23,"Miss (below low)",IF(H23&gt;=G23,"Within, above mid","Within, below mid"))))</f>
        <v>pending</v>
      </c>
      <c r="K23" s="59" t="s">
        <v>468</v>
      </c>
    </row>
    <row r="24" ht="14.624267578125">
      <c r="B24" s="60" t="s">
        <v>469</v>
      </c>
      <c r="C24" s="24">
        <v>46227</v>
      </c>
      <c r="D24" s="54" t="s">
        <v>459</v>
      </c>
      <c r="E24" s="34">
        <v>720</v>
      </c>
      <c r="F24" s="34">
        <v>800</v>
      </c>
      <c r="G24" s="15">
        <f>AVERAGE(E24:F24)</f>
        <v>760</v>
      </c>
      <c r="I24" s="15" t="str">
        <f>IF(H24="","pending",IF(H24&gt;F24,"Beat (above high)",IF(H24&lt;E24,"Miss (below low)",IF(H24&gt;=G24,"Within, above mid","Within, below mid"))))</f>
        <v>pending</v>
      </c>
      <c r="K24" s="59" t="s">
        <v>470</v>
      </c>
    </row>
    <row r="25" ht="14.624267578125">
      <c r="B25" s="60" t="s">
        <v>471</v>
      </c>
      <c r="C25" s="24">
        <v>46227</v>
      </c>
      <c r="D25" s="54" t="s">
        <v>459</v>
      </c>
      <c r="E25" s="34">
        <v>410</v>
      </c>
      <c r="F25" s="34">
        <v>410</v>
      </c>
      <c r="G25" s="15">
        <f>AVERAGE(E25:F25)</f>
        <v>410</v>
      </c>
      <c r="I25" s="15" t="str">
        <f>IF(H25="","pending",IF(H25&gt;G25,"Above midpoint",IF(H25&lt;G25,"Below midpoint","At midpoint")))</f>
        <v>pending</v>
      </c>
      <c r="K25" s="59" t="s">
        <v>472</v>
      </c>
    </row>
    <row r="26" ht="14.624267578125">
      <c r="B26" s="60" t="s">
        <v>473</v>
      </c>
      <c r="C26" s="24">
        <v>46227</v>
      </c>
      <c r="D26" s="54" t="s">
        <v>459</v>
      </c>
      <c r="E26" s="34">
        <v>190</v>
      </c>
      <c r="F26" s="34">
        <v>190</v>
      </c>
      <c r="G26" s="15">
        <f>AVERAGE(E26:F26)</f>
        <v>190</v>
      </c>
      <c r="I26" s="15" t="str">
        <f>IF(H26="","pending",IF(H26&gt;G26,"Above midpoint",IF(H26&lt;G26,"Below midpoint","At midpoint")))</f>
        <v>pending</v>
      </c>
      <c r="K26" s="59" t="s">
        <v>470</v>
      </c>
    </row>
    <row r="27" ht="14.624267578125">
      <c r="B27" s="60" t="s">
        <v>232</v>
      </c>
      <c r="C27" s="24">
        <v>46227</v>
      </c>
      <c r="D27" s="54" t="s">
        <v>459</v>
      </c>
      <c r="E27" s="58">
        <v>0.255</v>
      </c>
      <c r="F27" s="58">
        <v>0.275</v>
      </c>
      <c r="G27" s="11">
        <f>AVERAGE(E27:F27)</f>
        <v>0.265</v>
      </c>
      <c r="I27" s="66" t="str">
        <f>IF(H27="","pending",IF(H27&gt;F27,"Beat (above high)",IF(H27&lt;E27,"Miss (below low)",IF(H27&gt;=G27,"Within, above mid","Within, below mid"))))</f>
        <v>pending</v>
      </c>
      <c r="K27" s="59" t="s">
        <v>470</v>
      </c>
    </row>
    <row r="28" ht="14.624267578125">
      <c r="B28" s="60" t="s">
        <v>474</v>
      </c>
      <c r="C28" s="24">
        <v>46227</v>
      </c>
      <c r="D28" s="54" t="s">
        <v>459</v>
      </c>
      <c r="E28" s="34">
        <v>137.5</v>
      </c>
      <c r="F28" s="34">
        <v>139</v>
      </c>
      <c r="G28" s="15">
        <f>AVERAGE(E28:F28)</f>
        <v>138.25</v>
      </c>
      <c r="I28" s="15" t="str">
        <f>IF(H28="","pending",IF(H28&gt;F28,"Beat (above high)",IF(H28&lt;E28,"Miss (below low)",IF(H28&gt;=G28,"Within, above mid","Within, below mid"))))</f>
        <v>pending</v>
      </c>
      <c r="K28" s="59" t="s">
        <v>470</v>
      </c>
    </row>
    <row r="29" ht="14.624267578125">
      <c r="B29" s="60" t="s">
        <v>475</v>
      </c>
      <c r="C29" s="24">
        <v>46227</v>
      </c>
      <c r="D29" s="54" t="s">
        <v>459</v>
      </c>
      <c r="E29" s="34">
        <v>750</v>
      </c>
      <c r="F29" s="34">
        <v>800</v>
      </c>
      <c r="G29" s="15">
        <f>AVERAGE(E29:F29)</f>
        <v>775</v>
      </c>
      <c r="I29" s="15" t="str">
        <f>IF(H29="","pending",IF(H29&gt;F29,"Beat (above high)",IF(H29&lt;E29,"Miss (below low)",IF(H29&gt;=G29,"Within, above mid","Within, below mid"))))</f>
        <v>pending</v>
      </c>
      <c r="K29" s="59" t="s">
        <v>470</v>
      </c>
    </row>
    <row r="30" ht="14.624267578125">
      <c r="B30" s="60" t="s">
        <v>451</v>
      </c>
      <c r="C30" s="24">
        <v>46227</v>
      </c>
      <c r="D30" s="54" t="s">
        <v>459</v>
      </c>
      <c r="E30" s="34">
        <v>380</v>
      </c>
      <c r="F30" s="34">
        <v>410</v>
      </c>
      <c r="G30" s="15">
        <f>AVERAGE(E30:F30)</f>
        <v>395</v>
      </c>
      <c r="I30" s="15" t="str">
        <f>IF(H30="","pending",IF(H30&lt;E30,"Below range (favourable)",IF(H30&gt;F30,"Above range","Within range")))</f>
        <v>pending</v>
      </c>
      <c r="K30" s="59" t="s">
        <v>476</v>
      </c>
    </row>
    <row r="31" ht="14.624267578125">
      <c r="B31" s="60" t="s">
        <v>477</v>
      </c>
      <c r="C31" s="24">
        <v>46227</v>
      </c>
      <c r="D31" s="54" t="s">
        <v>459</v>
      </c>
      <c r="E31" s="34">
        <v>330</v>
      </c>
      <c r="F31" s="34">
        <v>350</v>
      </c>
      <c r="G31" s="15">
        <f>AVERAGE(E31:F31)</f>
        <v>340</v>
      </c>
      <c r="I31" s="15" t="str">
        <f>IF(H31="","pending",IF(H31&lt;E31,"Below range (favourable)",IF(H31&gt;F31,"Above range","Within range")))</f>
        <v>pending</v>
      </c>
      <c r="K31" s="59" t="s">
        <v>478</v>
      </c>
    </row>
    <row r="32" ht="14.624267578125">
      <c r="B32" s="60" t="s">
        <v>479</v>
      </c>
      <c r="C32" s="24">
        <v>46227</v>
      </c>
      <c r="D32" s="54" t="s">
        <v>459</v>
      </c>
      <c r="E32" s="96">
        <v>0</v>
      </c>
      <c r="F32" s="58">
        <v>0.03</v>
      </c>
      <c r="G32" s="11">
        <f>AVERAGE(E32:F32)</f>
        <v>0.015</v>
      </c>
      <c r="I32" s="66" t="str">
        <f>IF(H32="","pending",IF(H32&gt;F32,"Beat (above high)",IF(H32&lt;E32,"Miss (below low)",IF(H32&gt;=G32,"Within, above mid","Within, below mid"))))</f>
        <v>pending</v>
      </c>
      <c r="K32" s="59" t="s">
        <v>480</v>
      </c>
    </row>
    <row r="33" ht="14.624267578125">
      <c r="B33" s="60" t="s">
        <v>481</v>
      </c>
      <c r="C33" s="24">
        <v>46227</v>
      </c>
      <c r="D33" s="54" t="s">
        <v>459</v>
      </c>
      <c r="E33" s="96">
        <v>0</v>
      </c>
      <c r="F33" s="58">
        <v>0.03</v>
      </c>
      <c r="G33" s="11">
        <f>AVERAGE(E33:F33)</f>
        <v>0.015</v>
      </c>
      <c r="I33" s="66" t="str">
        <f>IF(H33="","pending",IF(H33&gt;F33,"Beat (above high)",IF(H33&lt;E33,"Miss (below low)",IF(H33&gt;=G33,"Within, above mid","Within, below mid"))))</f>
        <v>pending</v>
      </c>
      <c r="K33" s="59" t="s">
        <v>482</v>
      </c>
    </row>
    <row r="34" ht="14.624267578125">
      <c r="B34" s="60" t="s">
        <v>483</v>
      </c>
      <c r="C34" s="24">
        <v>46227</v>
      </c>
      <c r="D34" s="54" t="s">
        <v>459</v>
      </c>
      <c r="E34" s="58">
        <v>-0.03</v>
      </c>
      <c r="F34" s="58">
        <v>-0.01</v>
      </c>
      <c r="G34" s="11">
        <f>AVERAGE(E34:F34)</f>
        <v>-0.02</v>
      </c>
      <c r="I34" s="66" t="str">
        <f>IF(H34="","pending",IF(H34&gt;F34,"Beat (above high)",IF(H34&lt;E34,"Miss (below low)",IF(H34&gt;=G34,"Within, above mid","Within, below mid"))))</f>
        <v>pending</v>
      </c>
      <c r="K34" s="59" t="s">
        <v>484</v>
      </c>
    </row>
    <row r="35" ht="14.624267578125">
      <c r="B35" s="60" t="s">
        <v>485</v>
      </c>
      <c r="C35" s="24">
        <v>46227</v>
      </c>
      <c r="D35" s="54" t="s">
        <v>459</v>
      </c>
      <c r="E35" s="58">
        <v>0.4</v>
      </c>
      <c r="F35" s="58">
        <v>0.5</v>
      </c>
      <c r="G35" s="11">
        <f>AVERAGE(E35:F35)</f>
        <v>0.45</v>
      </c>
      <c r="I35" s="66" t="str">
        <f>IF(H35="","pending",IF(H35&gt;F35,"Beat (above high)",IF(H35&lt;E35,"Miss (below low)",IF(H35&gt;=G35,"Within, above mid","Within, below mid"))))</f>
        <v>pending</v>
      </c>
      <c r="K35" s="59" t="s">
        <v>486</v>
      </c>
    </row>
    <row r="36" ht="14.624267578125">
      <c r="B36" s="60" t="s">
        <v>487</v>
      </c>
      <c r="C36" s="24">
        <v>46177</v>
      </c>
      <c r="D36" s="54" t="s">
        <v>459</v>
      </c>
      <c r="E36" s="34">
        <v>80</v>
      </c>
      <c r="F36" s="34">
        <v>110</v>
      </c>
      <c r="G36" s="15">
        <f>AVERAGE(E36:F36)</f>
        <v>95</v>
      </c>
      <c r="I36" s="15" t="str">
        <f>IF(H36="","pending",IF(H36&gt;G36,"Above midpoint",IF(H36&lt;G36,"Below midpoint","At midpoint")))</f>
        <v>pending</v>
      </c>
      <c r="K36" s="59" t="s">
        <v>488</v>
      </c>
    </row>
    <row r="37" ht="14.624267578125">
      <c r="B37" s="60" t="s">
        <v>489</v>
      </c>
      <c r="C37" s="24">
        <v>46227</v>
      </c>
      <c r="D37" s="54" t="s">
        <v>490</v>
      </c>
      <c r="E37" s="96">
        <v>0</v>
      </c>
      <c r="F37" s="96">
        <v>0</v>
      </c>
      <c r="G37" s="97">
        <f>AVERAGE(E37:F37)</f>
        <v>0</v>
      </c>
      <c r="I37" s="66" t="str">
        <f>IF(H37="","pending",IF(H37&gt;G37,"Above midpoint",IF(H37&lt;G37,"Below midpoint","At midpoint")))</f>
        <v>pending</v>
      </c>
      <c r="J37" s="70">
        <f>'Revenue summary'!H20</f>
        <v>-0.006014517627915272</v>
      </c>
      <c r="K37" s="59" t="s">
        <v>491</v>
      </c>
    </row>
    <row r="38" ht="14.624267578125">
      <c r="B38" s="60" t="s">
        <v>492</v>
      </c>
      <c r="C38" s="24">
        <v>46227</v>
      </c>
      <c r="D38" s="54" t="s">
        <v>490</v>
      </c>
      <c r="E38" s="6">
        <f>'Revenue summary'!C11*(1+E37)</f>
        <v>1659.3</v>
      </c>
      <c r="F38" s="6">
        <f>'Revenue summary'!C11*(1+F37)</f>
        <v>1659.3</v>
      </c>
      <c r="G38" s="15">
        <f>AVERAGE(E38:F38)</f>
        <v>1659.3</v>
      </c>
      <c r="I38" s="15" t="str">
        <f>IF(H38="","pending",IF(H38&gt;G38,"Above midpoint",IF(H38&lt;G38,"Below midpoint","At midpoint")))</f>
        <v>pending</v>
      </c>
      <c r="J38" s="40">
        <f>'Revenue summary'!H11</f>
        <v>1649.3201109000001</v>
      </c>
      <c r="K38" s="59" t="s">
        <v>493</v>
      </c>
    </row>
    <row r="39" ht="23.24853515625">
      <c r="B39" s="60" t="s">
        <v>494</v>
      </c>
      <c r="C39" s="24">
        <v>46227</v>
      </c>
      <c r="D39" s="54" t="s">
        <v>490</v>
      </c>
      <c r="E39" s="58">
        <v>-0.14</v>
      </c>
      <c r="F39" s="58">
        <v>-0.11</v>
      </c>
      <c r="G39" s="11">
        <f>AVERAGE(E39:F39)</f>
        <v>-0.125</v>
      </c>
      <c r="I39" s="66" t="str">
        <f>IF(H39="","pending",IF(H39&gt;F39,"Beat (above high)",IF(H39&lt;E39,"Miss (below low)",IF(H39&gt;=G39,"Within, above mid","Within, below mid"))))</f>
        <v>pending</v>
      </c>
      <c r="J39" s="70">
        <f>'Income Statement'!H152</f>
        <v>-0.12265782389311708</v>
      </c>
      <c r="K39" s="59" t="s">
        <v>495</v>
      </c>
    </row>
    <row r="40" ht="14.624267578125">
      <c r="B40" s="60" t="s">
        <v>496</v>
      </c>
      <c r="C40" s="24">
        <v>46227</v>
      </c>
      <c r="D40" s="54" t="s">
        <v>490</v>
      </c>
      <c r="E40" s="6">
        <f>'Income Statement'!C147*(1+E39)</f>
        <v>259.892</v>
      </c>
      <c r="F40" s="6">
        <f>'Income Statement'!C147*(1+F39)</f>
        <v>268.95799999999997</v>
      </c>
      <c r="G40" s="15">
        <f>AVERAGE(E40:F40)</f>
        <v>264.42499999999995</v>
      </c>
      <c r="I40" s="15" t="str">
        <f>IF(H40="","pending",IF(H40&gt;F40,"Beat (above high)",IF(H40&lt;E40,"Miss (below low)",IF(H40&gt;=G40,"Within, above mid","Within, below mid"))))</f>
        <v>pending</v>
      </c>
      <c r="J40" s="40">
        <f>'Income Statement'!H147</f>
        <v>265.1328056195</v>
      </c>
      <c r="K40" s="59" t="s">
        <v>497</v>
      </c>
    </row>
    <row r="41" ht="14.624267578125">
      <c r="B41" s="60" t="s">
        <v>498</v>
      </c>
      <c r="C41" s="24">
        <v>46227</v>
      </c>
      <c r="D41" s="54" t="s">
        <v>490</v>
      </c>
      <c r="E41" s="15">
        <f>(E40-G25/4-G26/4)*(1-G27)</f>
        <v>80.77062</v>
      </c>
      <c r="F41" s="15">
        <f>(F40-G25/4-G26/4)*(1-G27)</f>
        <v>87.43412999999998</v>
      </c>
      <c r="G41" s="15">
        <f>AVERAGE(E41:F41)</f>
        <v>84.102375</v>
      </c>
      <c r="I41" s="15" t="str">
        <f>IF(H41="","pending",IF(H41&gt;F41,"Beat (above high)",IF(H41&lt;E41,"Miss (below low)",IF(H41&gt;=G41,"Within, above mid","Within, below mid"))))</f>
        <v>pending</v>
      </c>
      <c r="J41" s="40">
        <f>'Income Statement'!H130</f>
        <v>83.97562004604</v>
      </c>
      <c r="K41" s="59" t="s">
        <v>499</v>
      </c>
    </row>
    <row r="42" ht="14.624267578125">
      <c r="B42" s="60" t="s">
        <v>500</v>
      </c>
      <c r="C42" s="24">
        <v>46227</v>
      </c>
      <c r="D42" s="54" t="s">
        <v>490</v>
      </c>
      <c r="E42" s="2">
        <f>E41/G28</f>
        <v>0.5842359493670886</v>
      </c>
      <c r="F42" s="2">
        <f>F41/G28</f>
        <v>0.6324349367088606</v>
      </c>
      <c r="G42" s="2">
        <f>AVERAGE(E42:F42)</f>
        <v>0.6083354430379746</v>
      </c>
      <c r="I42" s="2" t="str">
        <f>IF(H42="","pending",IF(H42&gt;F42,"Beat (above high)",IF(H42&lt;E42,"Miss (below low)",IF(H42&gt;=G42,"Within, above mid","Within, below mid"))))</f>
        <v>pending</v>
      </c>
      <c r="J42" s="71">
        <f>'Income Statement'!H133</f>
        <v>0.6098206391571703</v>
      </c>
      <c r="K42" s="59" t="s">
        <v>501</v>
      </c>
    </row>
    <row r="44" ht="40.4970703125">
      <c r="B44" s="57" t="s">
        <v>502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B1:K37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3" width="12" customWidth="1"/>
    <col min="4" max="4" width="24" customWidth="1"/>
    <col min="5" max="8" width="12" customWidth="1"/>
    <col min="9" max="9" width="28" customWidth="1"/>
    <col min="10" max="10" width="70" customWidth="1"/>
    <col min="11" max="11" width="95" customWidth="1"/>
  </cols>
  <sheetData>
    <row r="1">
      <c r="B1" s="23" t="s">
        <v>0</v>
      </c>
    </row>
    <row r="2">
      <c r="B2" s="21" t="s">
        <v>503</v>
      </c>
    </row>
    <row r="3">
      <c r="B3" s="20" t="s">
        <v>2</v>
      </c>
    </row>
    <row r="4">
      <c r="B4" s="102"/>
      <c r="C4" s="106"/>
      <c r="D4" s="106"/>
      <c r="E4" s="106"/>
      <c r="F4" s="106"/>
      <c r="G4" s="106"/>
      <c r="H4" s="106"/>
      <c r="I4" s="102"/>
      <c r="J4" s="102"/>
      <c r="K4" s="102"/>
    </row>
    <row r="5">
      <c r="B5" s="105"/>
      <c r="C5" s="101"/>
      <c r="D5" s="101"/>
      <c r="E5" s="101"/>
      <c r="F5" s="101"/>
      <c r="G5" s="101"/>
      <c r="H5" s="101"/>
      <c r="I5" s="105"/>
      <c r="J5" s="105"/>
      <c r="K5" s="105"/>
    </row>
    <row r="6">
      <c r="B6" s="103"/>
      <c r="C6" s="104"/>
      <c r="D6" s="104"/>
      <c r="E6" s="104"/>
      <c r="F6" s="104"/>
      <c r="G6" s="104"/>
      <c r="H6" s="104"/>
      <c r="I6" s="103"/>
      <c r="J6" s="103"/>
      <c r="K6" s="103"/>
    </row>
    <row r="8" ht="14.624267578125">
      <c r="B8" s="27" t="s">
        <v>504</v>
      </c>
      <c r="C8" s="13" t="s">
        <v>505</v>
      </c>
      <c r="D8" s="13" t="s">
        <v>506</v>
      </c>
      <c r="I8" s="9" t="s">
        <v>507</v>
      </c>
      <c r="J8" s="27" t="s">
        <v>508</v>
      </c>
      <c r="K8" s="27" t="s">
        <v>509</v>
      </c>
    </row>
    <row r="9" ht="14.624267578125">
      <c r="B9" s="25" t="s">
        <v>510</v>
      </c>
      <c r="C9" s="24">
        <v>46299</v>
      </c>
      <c r="D9" s="12" t="s">
        <v>511</v>
      </c>
      <c r="I9" s="1" t="s">
        <v>512</v>
      </c>
      <c r="J9" s="25" t="s">
        <v>513</v>
      </c>
      <c r="K9" s="25" t="s">
        <v>514</v>
      </c>
    </row>
    <row r="10" ht="23.24853515625">
      <c r="B10" s="25" t="s">
        <v>515</v>
      </c>
      <c r="C10" s="24">
        <v>46299</v>
      </c>
      <c r="D10" s="12" t="s">
        <v>511</v>
      </c>
      <c r="I10" s="1" t="s">
        <v>512</v>
      </c>
      <c r="J10" s="25" t="s">
        <v>516</v>
      </c>
      <c r="K10" s="25" t="s">
        <v>517</v>
      </c>
    </row>
    <row r="11" ht="14.624267578125">
      <c r="B11" s="25" t="s">
        <v>518</v>
      </c>
      <c r="C11" s="24">
        <v>45930</v>
      </c>
      <c r="D11" s="12" t="s">
        <v>519</v>
      </c>
      <c r="I11" s="1" t="s">
        <v>520</v>
      </c>
      <c r="J11" s="25" t="s">
        <v>521</v>
      </c>
      <c r="K11" s="25" t="s">
        <v>522</v>
      </c>
    </row>
    <row r="12" ht="14.624267578125">
      <c r="B12" s="25" t="s">
        <v>523</v>
      </c>
      <c r="C12" s="24">
        <v>46010</v>
      </c>
      <c r="D12" s="12" t="s">
        <v>519</v>
      </c>
      <c r="I12" s="1" t="s">
        <v>524</v>
      </c>
      <c r="J12" s="25" t="s">
        <v>525</v>
      </c>
      <c r="K12" s="25" t="s">
        <v>526</v>
      </c>
    </row>
    <row r="13" ht="14.624267578125">
      <c r="B13" s="25" t="s">
        <v>527</v>
      </c>
      <c r="C13" s="24">
        <v>46113</v>
      </c>
      <c r="D13" s="12" t="s">
        <v>519</v>
      </c>
      <c r="I13" s="1" t="s">
        <v>524</v>
      </c>
      <c r="J13" s="25" t="s">
        <v>528</v>
      </c>
      <c r="K13" s="25" t="s">
        <v>529</v>
      </c>
    </row>
    <row r="14" ht="14.624267578125">
      <c r="B14" s="25" t="s">
        <v>530</v>
      </c>
      <c r="C14" s="24">
        <v>46227</v>
      </c>
      <c r="D14" s="12" t="s">
        <v>519</v>
      </c>
      <c r="I14" s="1" t="s">
        <v>520</v>
      </c>
      <c r="J14" s="25" t="s">
        <v>531</v>
      </c>
      <c r="K14" s="25" t="s">
        <v>532</v>
      </c>
    </row>
    <row r="15" ht="14.624267578125">
      <c r="B15" s="25" t="s">
        <v>533</v>
      </c>
      <c r="C15" s="24">
        <v>46227</v>
      </c>
      <c r="D15" s="12" t="s">
        <v>519</v>
      </c>
      <c r="I15" s="1" t="s">
        <v>534</v>
      </c>
      <c r="J15" s="25" t="s">
        <v>535</v>
      </c>
      <c r="K15" s="25" t="s">
        <v>536</v>
      </c>
    </row>
    <row r="16" ht="14.624267578125">
      <c r="B16" s="25" t="s">
        <v>537</v>
      </c>
      <c r="C16" s="24">
        <v>46227</v>
      </c>
      <c r="D16" s="12" t="s">
        <v>519</v>
      </c>
      <c r="I16" s="1" t="s">
        <v>524</v>
      </c>
      <c r="J16" s="25" t="s">
        <v>538</v>
      </c>
      <c r="K16" s="25" t="s">
        <v>539</v>
      </c>
    </row>
    <row r="17" ht="14.624267578125">
      <c r="B17" s="25" t="s">
        <v>540</v>
      </c>
      <c r="C17" s="24">
        <v>46227</v>
      </c>
      <c r="D17" s="12" t="s">
        <v>519</v>
      </c>
      <c r="I17" s="1" t="s">
        <v>541</v>
      </c>
      <c r="J17" s="25" t="s">
        <v>542</v>
      </c>
      <c r="K17" s="25" t="s">
        <v>543</v>
      </c>
    </row>
    <row r="18" ht="14.624267578125">
      <c r="B18" s="25" t="s">
        <v>544</v>
      </c>
      <c r="C18" s="24">
        <v>46177</v>
      </c>
      <c r="D18" s="12" t="s">
        <v>519</v>
      </c>
      <c r="I18" s="1" t="s">
        <v>534</v>
      </c>
      <c r="J18" s="25" t="s">
        <v>545</v>
      </c>
      <c r="K18" s="25" t="s">
        <v>546</v>
      </c>
    </row>
    <row r="19" ht="23.24853515625">
      <c r="B19" s="25" t="s">
        <v>547</v>
      </c>
      <c r="C19" s="24">
        <v>46296</v>
      </c>
      <c r="D19" s="12" t="s">
        <v>519</v>
      </c>
      <c r="I19" s="1" t="s">
        <v>548</v>
      </c>
      <c r="J19" s="25" t="s">
        <v>549</v>
      </c>
      <c r="K19" s="25" t="s">
        <v>550</v>
      </c>
    </row>
    <row r="20" ht="14.624267578125">
      <c r="B20" s="25" t="s">
        <v>551</v>
      </c>
      <c r="C20" s="24">
        <v>46293</v>
      </c>
      <c r="D20" s="12" t="s">
        <v>519</v>
      </c>
      <c r="I20" s="1" t="s">
        <v>541</v>
      </c>
      <c r="J20" s="25" t="s">
        <v>552</v>
      </c>
      <c r="K20" s="25" t="s">
        <v>553</v>
      </c>
    </row>
    <row r="21" ht="14.624267578125">
      <c r="B21" s="25" t="s">
        <v>554</v>
      </c>
      <c r="C21" s="24">
        <v>46283</v>
      </c>
      <c r="D21" s="12" t="s">
        <v>519</v>
      </c>
      <c r="I21" s="1" t="s">
        <v>555</v>
      </c>
      <c r="J21" s="25" t="s">
        <v>556</v>
      </c>
      <c r="K21" s="25" t="s">
        <v>557</v>
      </c>
    </row>
    <row r="22" ht="14.624267578125">
      <c r="B22" s="25" t="s">
        <v>558</v>
      </c>
      <c r="C22" s="24">
        <v>46289</v>
      </c>
      <c r="D22" s="12" t="s">
        <v>519</v>
      </c>
      <c r="I22" s="1" t="s">
        <v>559</v>
      </c>
      <c r="J22" s="25" t="s">
        <v>560</v>
      </c>
      <c r="K22" s="25" t="s">
        <v>561</v>
      </c>
    </row>
    <row r="23" ht="14.624267578125">
      <c r="B23" s="25" t="s">
        <v>562</v>
      </c>
      <c r="C23" s="24">
        <v>46294</v>
      </c>
      <c r="D23" s="12" t="s">
        <v>519</v>
      </c>
      <c r="I23" s="1" t="s">
        <v>563</v>
      </c>
      <c r="J23" s="25" t="s">
        <v>564</v>
      </c>
      <c r="K23" s="25" t="s">
        <v>565</v>
      </c>
    </row>
    <row r="24" ht="14.624267578125">
      <c r="B24" s="25" t="s">
        <v>566</v>
      </c>
      <c r="C24" s="24">
        <v>46293</v>
      </c>
      <c r="D24" s="12" t="s">
        <v>519</v>
      </c>
      <c r="I24" s="1" t="s">
        <v>567</v>
      </c>
      <c r="J24" s="25" t="s">
        <v>568</v>
      </c>
      <c r="K24" s="25" t="s">
        <v>569</v>
      </c>
    </row>
    <row r="25" ht="23.24853515625">
      <c r="B25" s="25" t="s">
        <v>570</v>
      </c>
      <c r="C25" s="24">
        <v>46280</v>
      </c>
      <c r="D25" s="12" t="s">
        <v>519</v>
      </c>
      <c r="I25" s="1" t="s">
        <v>571</v>
      </c>
      <c r="J25" s="25" t="s">
        <v>572</v>
      </c>
      <c r="K25" s="25" t="s">
        <v>573</v>
      </c>
    </row>
    <row r="26" ht="14.624267578125">
      <c r="B26" s="25" t="s">
        <v>574</v>
      </c>
      <c r="C26" s="24">
        <v>46295</v>
      </c>
      <c r="D26" s="12" t="s">
        <v>519</v>
      </c>
      <c r="I26" s="1" t="s">
        <v>575</v>
      </c>
      <c r="J26" s="25" t="s">
        <v>576</v>
      </c>
      <c r="K26" s="25" t="s">
        <v>577</v>
      </c>
    </row>
    <row r="27" ht="23.24853515625">
      <c r="B27" s="25" t="s">
        <v>578</v>
      </c>
      <c r="C27" s="24">
        <v>46087</v>
      </c>
      <c r="D27" s="12" t="s">
        <v>519</v>
      </c>
      <c r="I27" s="1" t="s">
        <v>579</v>
      </c>
      <c r="J27" s="25" t="s">
        <v>580</v>
      </c>
      <c r="K27" s="25" t="s">
        <v>581</v>
      </c>
    </row>
    <row r="28" ht="14.624267578125">
      <c r="B28" s="25" t="s">
        <v>582</v>
      </c>
      <c r="C28" s="24">
        <v>46298</v>
      </c>
      <c r="D28" s="12" t="s">
        <v>519</v>
      </c>
      <c r="I28" s="1" t="s">
        <v>583</v>
      </c>
      <c r="J28" s="25" t="s">
        <v>584</v>
      </c>
      <c r="K28" s="25" t="s">
        <v>585</v>
      </c>
    </row>
    <row r="29" ht="14.624267578125">
      <c r="B29" s="25" t="s">
        <v>586</v>
      </c>
      <c r="C29" s="24">
        <v>46245</v>
      </c>
      <c r="D29" s="12" t="s">
        <v>519</v>
      </c>
      <c r="I29" s="1" t="s">
        <v>587</v>
      </c>
      <c r="J29" s="25" t="s">
        <v>588</v>
      </c>
      <c r="K29" s="25" t="s">
        <v>589</v>
      </c>
    </row>
    <row r="30" ht="14.624267578125">
      <c r="B30" s="25" t="s">
        <v>590</v>
      </c>
      <c r="C30" s="24">
        <v>46265</v>
      </c>
      <c r="D30" s="12" t="s">
        <v>519</v>
      </c>
      <c r="I30" s="1" t="s">
        <v>591</v>
      </c>
      <c r="J30" s="25" t="s">
        <v>592</v>
      </c>
      <c r="K30" s="25" t="s">
        <v>593</v>
      </c>
    </row>
    <row r="31" ht="14.624267578125">
      <c r="B31" s="25" t="s">
        <v>594</v>
      </c>
      <c r="C31" s="24">
        <v>46240</v>
      </c>
      <c r="D31" s="12" t="s">
        <v>519</v>
      </c>
      <c r="I31" s="1" t="s">
        <v>595</v>
      </c>
      <c r="J31" s="25" t="s">
        <v>596</v>
      </c>
      <c r="K31" s="25" t="s">
        <v>597</v>
      </c>
    </row>
    <row r="32" ht="14.624267578125">
      <c r="B32" s="25" t="s">
        <v>598</v>
      </c>
      <c r="C32" s="24">
        <v>46220</v>
      </c>
      <c r="D32" s="12" t="s">
        <v>519</v>
      </c>
      <c r="I32" s="1" t="s">
        <v>599</v>
      </c>
      <c r="J32" s="25" t="s">
        <v>600</v>
      </c>
      <c r="K32" s="25" t="s">
        <v>601</v>
      </c>
    </row>
    <row r="33" ht="23.24853515625">
      <c r="B33" s="25" t="s">
        <v>602</v>
      </c>
      <c r="C33" s="24">
        <v>46238</v>
      </c>
      <c r="D33" s="12" t="s">
        <v>519</v>
      </c>
      <c r="I33" s="1" t="s">
        <v>603</v>
      </c>
      <c r="J33" s="25" t="s">
        <v>604</v>
      </c>
      <c r="K33" s="25" t="s">
        <v>605</v>
      </c>
    </row>
    <row r="34" ht="14.624267578125">
      <c r="B34" s="25" t="s">
        <v>606</v>
      </c>
      <c r="C34" s="37" t="s">
        <v>607</v>
      </c>
      <c r="D34" s="12" t="s">
        <v>519</v>
      </c>
      <c r="I34" s="1" t="s">
        <v>524</v>
      </c>
      <c r="J34" s="25" t="s">
        <v>608</v>
      </c>
      <c r="K34" s="25" t="s">
        <v>609</v>
      </c>
    </row>
    <row r="36" ht="40.4970703125">
      <c r="B36" s="57" t="s">
        <v>610</v>
      </c>
    </row>
    <row r="37" ht="40.4970703125">
      <c r="B37" s="57" t="s">
        <v>611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B1:M126"/>
  <sheetViews>
    <sheetView showGridLines="0" workbookViewId="0"/>
  </sheetViews>
  <sheetFormatPr defaultColWidth="8.42578125" defaultRowHeight="15"/>
  <cols>
    <col min="1" max="1" width="2" customWidth="1"/>
    <col min="2" max="2" width="34" customWidth="1"/>
    <col min="3" max="3" width="12" customWidth="1"/>
    <col min="4" max="9" width="26" customWidth="1"/>
    <col min="10" max="12" width="20" customWidth="1"/>
    <col min="13" max="13" width="70" customWidth="1"/>
  </cols>
  <sheetData>
    <row r="1">
      <c r="B1" s="23" t="s">
        <v>0</v>
      </c>
    </row>
    <row r="2">
      <c r="B2" s="21" t="s">
        <v>612</v>
      </c>
    </row>
    <row r="3">
      <c r="B3" s="20" t="s">
        <v>2</v>
      </c>
    </row>
    <row r="4">
      <c r="B4" s="102"/>
      <c r="C4" s="106"/>
      <c r="D4" s="106"/>
      <c r="E4" s="106"/>
      <c r="F4" s="106"/>
      <c r="G4" s="106"/>
      <c r="H4" s="106"/>
      <c r="I4" s="102"/>
      <c r="J4" s="102"/>
      <c r="K4" s="102"/>
      <c r="L4" s="102"/>
      <c r="M4" s="102"/>
    </row>
    <row r="5">
      <c r="B5" s="105"/>
      <c r="C5" s="101"/>
      <c r="D5" s="101"/>
      <c r="E5" s="101"/>
      <c r="F5" s="101"/>
      <c r="G5" s="101"/>
      <c r="H5" s="101"/>
      <c r="I5" s="105"/>
      <c r="J5" s="105"/>
      <c r="K5" s="105"/>
      <c r="L5" s="105"/>
      <c r="M5" s="105"/>
    </row>
    <row r="6">
      <c r="B6" s="103"/>
      <c r="C6" s="104"/>
      <c r="D6" s="104"/>
      <c r="E6" s="104"/>
      <c r="F6" s="104"/>
      <c r="G6" s="104"/>
      <c r="H6" s="104"/>
      <c r="I6" s="103"/>
      <c r="J6" s="103"/>
      <c r="K6" s="103"/>
      <c r="L6" s="103"/>
      <c r="M6" s="103"/>
    </row>
    <row r="8">
      <c r="B8" s="4" t="s">
        <v>613</v>
      </c>
    </row>
    <row r="9">
      <c r="B9" s="1" t="s">
        <v>614</v>
      </c>
      <c r="C9" s="108" t="s">
        <v>512</v>
      </c>
    </row>
    <row r="10">
      <c r="B10" s="1" t="s">
        <v>615</v>
      </c>
      <c r="C10" s="37" t="s">
        <v>616</v>
      </c>
    </row>
    <row r="11">
      <c r="B11" s="1" t="s">
        <v>617</v>
      </c>
      <c r="C11" s="108" t="s">
        <v>4</v>
      </c>
    </row>
    <row r="12">
      <c r="B12" s="1" t="s">
        <v>618</v>
      </c>
      <c r="C12" s="37" t="s">
        <v>619</v>
      </c>
    </row>
    <row r="13">
      <c r="B13" s="1" t="s">
        <v>620</v>
      </c>
      <c r="C13" s="24">
        <v>46265</v>
      </c>
    </row>
    <row r="14">
      <c r="B14" s="1" t="s">
        <v>621</v>
      </c>
      <c r="C14" s="24">
        <v>46299</v>
      </c>
    </row>
    <row r="15">
      <c r="B15" s="1" t="s">
        <v>622</v>
      </c>
      <c r="C15" s="63">
        <v>9</v>
      </c>
    </row>
    <row r="16">
      <c r="B16" s="1" t="s">
        <v>623</v>
      </c>
      <c r="C16" s="55">
        <v>0.59</v>
      </c>
    </row>
    <row r="17">
      <c r="B17" s="1" t="s">
        <v>624</v>
      </c>
      <c r="C17" s="108" t="s">
        <v>625</v>
      </c>
    </row>
    <row r="18">
      <c r="B18" s="1" t="s">
        <v>626</v>
      </c>
      <c r="C18" s="47">
        <v>1655.96</v>
      </c>
    </row>
    <row r="19">
      <c r="B19" s="1" t="s">
        <v>627</v>
      </c>
      <c r="C19" s="37" t="s">
        <v>10</v>
      </c>
    </row>
    <row r="20">
      <c r="B20" s="1" t="s">
        <v>628</v>
      </c>
      <c r="C20" s="108" t="s">
        <v>629</v>
      </c>
    </row>
    <row r="21">
      <c r="B21" s="1" t="s">
        <v>630</v>
      </c>
      <c r="C21" s="108" t="s">
        <v>631</v>
      </c>
    </row>
    <row r="22">
      <c r="B22" s="1" t="s">
        <v>632</v>
      </c>
      <c r="C22" s="108" t="s">
        <v>633</v>
      </c>
    </row>
    <row r="24">
      <c r="B24" s="4" t="s">
        <v>634</v>
      </c>
    </row>
    <row r="25">
      <c r="B25" s="9" t="s">
        <v>635</v>
      </c>
      <c r="C25" s="13" t="s">
        <v>636</v>
      </c>
      <c r="M25" s="9" t="s">
        <v>637</v>
      </c>
    </row>
    <row r="26">
      <c r="B26" s="1" t="s">
        <v>615</v>
      </c>
      <c r="C26" s="37" t="s">
        <v>616</v>
      </c>
    </row>
    <row r="27">
      <c r="B27" s="1" t="s">
        <v>638</v>
      </c>
      <c r="C27" s="108" t="s">
        <v>4</v>
      </c>
    </row>
    <row r="28">
      <c r="B28" s="1" t="s">
        <v>639</v>
      </c>
      <c r="C28" s="37" t="s">
        <v>640</v>
      </c>
    </row>
    <row r="29">
      <c r="B29" s="1" t="s">
        <v>641</v>
      </c>
      <c r="C29" s="63">
        <v>374372246</v>
      </c>
    </row>
    <row r="30">
      <c r="B30" s="1" t="s">
        <v>642</v>
      </c>
      <c r="C30" s="37" t="s">
        <v>643</v>
      </c>
      <c r="M30" s="8" t="s">
        <v>644</v>
      </c>
    </row>
    <row r="31">
      <c r="B31" s="1" t="s">
        <v>645</v>
      </c>
      <c r="M31" s="8" t="s">
        <v>646</v>
      </c>
    </row>
    <row r="32">
      <c r="B32" s="1" t="s">
        <v>647</v>
      </c>
      <c r="C32" s="108" t="s">
        <v>648</v>
      </c>
    </row>
    <row r="33">
      <c r="B33" s="1" t="s">
        <v>649</v>
      </c>
      <c r="C33" s="24">
        <v>46265</v>
      </c>
    </row>
    <row r="34">
      <c r="B34" s="1" t="s">
        <v>650</v>
      </c>
      <c r="C34" s="24">
        <v>46303</v>
      </c>
    </row>
    <row r="35">
      <c r="B35" s="1" t="s">
        <v>651</v>
      </c>
      <c r="C35" s="37" t="s">
        <v>652</v>
      </c>
    </row>
    <row r="36">
      <c r="B36" s="1" t="s">
        <v>653</v>
      </c>
      <c r="C36" s="63">
        <v>12</v>
      </c>
    </row>
    <row r="37">
      <c r="B37" s="1" t="s">
        <v>654</v>
      </c>
      <c r="C37" s="55">
        <v>0.59</v>
      </c>
      <c r="M37" s="8" t="s">
        <v>655</v>
      </c>
    </row>
    <row r="38">
      <c r="B38" s="1" t="s">
        <v>656</v>
      </c>
      <c r="C38" s="55">
        <v>0.59</v>
      </c>
    </row>
    <row r="39">
      <c r="B39" s="1" t="s">
        <v>657</v>
      </c>
      <c r="C39" s="55">
        <v>0.62</v>
      </c>
      <c r="M39" s="8" t="s">
        <v>658</v>
      </c>
    </row>
    <row r="40">
      <c r="B40" s="1" t="s">
        <v>659</v>
      </c>
      <c r="C40" s="55">
        <v>0.54</v>
      </c>
      <c r="M40" s="8" t="s">
        <v>658</v>
      </c>
    </row>
    <row r="41">
      <c r="B41" s="1" t="s">
        <v>660</v>
      </c>
      <c r="C41" s="55">
        <v>0.02</v>
      </c>
      <c r="M41" s="8" t="s">
        <v>661</v>
      </c>
    </row>
    <row r="42">
      <c r="B42" s="1" t="s">
        <v>662</v>
      </c>
      <c r="C42" s="63">
        <v>9</v>
      </c>
      <c r="M42" s="8" t="s">
        <v>663</v>
      </c>
    </row>
    <row r="43">
      <c r="B43" s="1" t="s">
        <v>664</v>
      </c>
    </row>
    <row r="44">
      <c r="B44" s="1" t="s">
        <v>665</v>
      </c>
    </row>
    <row r="45">
      <c r="B45" s="1" t="s">
        <v>666</v>
      </c>
    </row>
    <row r="46">
      <c r="B46" s="1" t="s">
        <v>667</v>
      </c>
      <c r="C46" s="55">
        <v>0.52</v>
      </c>
      <c r="M46" s="8" t="s">
        <v>668</v>
      </c>
    </row>
    <row r="47">
      <c r="B47" s="1" t="s">
        <v>669</v>
      </c>
      <c r="C47" s="55">
        <v>0.54</v>
      </c>
    </row>
    <row r="48">
      <c r="B48" s="1" t="s">
        <v>670</v>
      </c>
      <c r="C48" s="55">
        <v>0.58</v>
      </c>
    </row>
    <row r="49">
      <c r="B49" s="1" t="s">
        <v>671</v>
      </c>
      <c r="C49" s="55">
        <v>0.45</v>
      </c>
    </row>
    <row r="50">
      <c r="B50" s="1" t="s">
        <v>672</v>
      </c>
      <c r="C50" s="55">
        <v>0.05</v>
      </c>
    </row>
    <row r="51">
      <c r="B51" s="1" t="s">
        <v>673</v>
      </c>
      <c r="C51" s="63">
        <v>5</v>
      </c>
    </row>
    <row r="52">
      <c r="B52" s="1" t="s">
        <v>674</v>
      </c>
      <c r="C52" s="55">
        <v>0.38</v>
      </c>
      <c r="M52" s="8" t="s">
        <v>675</v>
      </c>
    </row>
    <row r="53">
      <c r="B53" s="1" t="s">
        <v>676</v>
      </c>
      <c r="C53" s="47">
        <v>1655.96</v>
      </c>
      <c r="M53" s="8" t="s">
        <v>677</v>
      </c>
    </row>
    <row r="54">
      <c r="B54" s="1" t="s">
        <v>678</v>
      </c>
      <c r="C54" s="47">
        <v>1658.33</v>
      </c>
    </row>
    <row r="55">
      <c r="B55" s="1" t="s">
        <v>679</v>
      </c>
      <c r="C55" s="47">
        <v>1663.1</v>
      </c>
    </row>
    <row r="56">
      <c r="B56" s="1" t="s">
        <v>680</v>
      </c>
      <c r="C56" s="47">
        <v>1642</v>
      </c>
    </row>
    <row r="57">
      <c r="B57" s="1" t="s">
        <v>681</v>
      </c>
      <c r="C57" s="47">
        <v>6.47</v>
      </c>
    </row>
    <row r="58">
      <c r="B58" s="1" t="s">
        <v>682</v>
      </c>
      <c r="C58" s="63">
        <v>8</v>
      </c>
      <c r="M58" s="8" t="s">
        <v>683</v>
      </c>
    </row>
    <row r="59">
      <c r="B59" s="1" t="s">
        <v>684</v>
      </c>
      <c r="C59" s="47">
        <v>1659.3</v>
      </c>
      <c r="M59" s="8" t="s">
        <v>685</v>
      </c>
    </row>
    <row r="60">
      <c r="B60" s="1" t="s">
        <v>686</v>
      </c>
    </row>
    <row r="61">
      <c r="B61" s="1" t="s">
        <v>687</v>
      </c>
    </row>
    <row r="62">
      <c r="B62" s="1" t="s">
        <v>688</v>
      </c>
      <c r="C62" s="47">
        <v>261.97</v>
      </c>
      <c r="M62" s="8" t="s">
        <v>689</v>
      </c>
    </row>
    <row r="63">
      <c r="B63" s="1" t="s">
        <v>690</v>
      </c>
      <c r="C63" s="47">
        <v>157.38</v>
      </c>
    </row>
    <row r="64">
      <c r="B64" s="1" t="s">
        <v>691</v>
      </c>
      <c r="C64" s="47">
        <v>107.8</v>
      </c>
    </row>
    <row r="65">
      <c r="B65" s="1" t="s">
        <v>692</v>
      </c>
    </row>
    <row r="66">
      <c r="B66" s="1" t="s">
        <v>693</v>
      </c>
      <c r="C66" s="47">
        <v>80.97</v>
      </c>
      <c r="M66" s="8" t="s">
        <v>694</v>
      </c>
    </row>
    <row r="67">
      <c r="B67" s="1" t="s">
        <v>695</v>
      </c>
      <c r="C67" s="47">
        <v>73.68</v>
      </c>
      <c r="M67" s="8" t="s">
        <v>696</v>
      </c>
    </row>
    <row r="68">
      <c r="B68" s="1" t="s">
        <v>697</v>
      </c>
      <c r="C68" s="47">
        <v>18.04</v>
      </c>
    </row>
    <row r="69">
      <c r="B69" s="1" t="s">
        <v>698</v>
      </c>
      <c r="C69" s="47">
        <v>28.4</v>
      </c>
    </row>
    <row r="70">
      <c r="B70" s="1" t="s">
        <v>699</v>
      </c>
      <c r="C70" s="47">
        <v>101.98</v>
      </c>
    </row>
    <row r="71">
      <c r="B71" s="1" t="s">
        <v>700</v>
      </c>
      <c r="C71" s="47">
        <v>-100</v>
      </c>
    </row>
    <row r="72">
      <c r="B72" s="1" t="s">
        <v>701</v>
      </c>
      <c r="C72" s="47">
        <v>227</v>
      </c>
    </row>
    <row r="73">
      <c r="B73" s="1" t="s">
        <v>702</v>
      </c>
      <c r="C73" s="47">
        <v>127</v>
      </c>
    </row>
    <row r="74">
      <c r="B74" s="1" t="s">
        <v>703</v>
      </c>
    </row>
    <row r="75">
      <c r="B75" s="1" t="s">
        <v>704</v>
      </c>
    </row>
    <row r="76">
      <c r="B76" s="1" t="s">
        <v>705</v>
      </c>
      <c r="C76" s="55">
        <v>2.39</v>
      </c>
    </row>
    <row r="77">
      <c r="B77" s="1" t="s">
        <v>706</v>
      </c>
      <c r="C77" s="55">
        <v>14.38</v>
      </c>
    </row>
    <row r="78">
      <c r="B78" s="1" t="s">
        <v>707</v>
      </c>
      <c r="C78" s="55">
        <v>0.38</v>
      </c>
    </row>
    <row r="79">
      <c r="B79" s="1" t="s">
        <v>708</v>
      </c>
    </row>
    <row r="80">
      <c r="B80" s="1" t="s">
        <v>709</v>
      </c>
    </row>
    <row r="81">
      <c r="B81" s="1" t="s">
        <v>710</v>
      </c>
    </row>
    <row r="82">
      <c r="B82" s="1" t="s">
        <v>711</v>
      </c>
    </row>
    <row r="83">
      <c r="B83" s="1" t="s">
        <v>712</v>
      </c>
      <c r="C83" s="55">
        <v>54.33</v>
      </c>
      <c r="M83" s="8" t="s">
        <v>713</v>
      </c>
    </row>
    <row r="84">
      <c r="B84" s="1" t="s">
        <v>714</v>
      </c>
      <c r="C84" s="55">
        <v>53.5</v>
      </c>
      <c r="M84" s="8" t="s">
        <v>713</v>
      </c>
    </row>
    <row r="85">
      <c r="B85" s="1" t="s">
        <v>715</v>
      </c>
      <c r="C85" s="55">
        <v>65</v>
      </c>
      <c r="M85" s="8" t="s">
        <v>713</v>
      </c>
    </row>
    <row r="86">
      <c r="B86" s="1" t="s">
        <v>716</v>
      </c>
      <c r="C86" s="55">
        <v>46</v>
      </c>
      <c r="M86" s="8" t="s">
        <v>713</v>
      </c>
    </row>
    <row r="87">
      <c r="B87" s="1" t="s">
        <v>717</v>
      </c>
      <c r="C87" s="55">
        <v>4.61</v>
      </c>
      <c r="M87" s="8" t="s">
        <v>713</v>
      </c>
    </row>
    <row r="88">
      <c r="B88" s="1" t="s">
        <v>718</v>
      </c>
      <c r="C88" s="63">
        <v>12</v>
      </c>
      <c r="M88" s="8" t="s">
        <v>713</v>
      </c>
    </row>
    <row r="89">
      <c r="B89" s="1" t="s">
        <v>719</v>
      </c>
      <c r="C89" s="37" t="s">
        <v>720</v>
      </c>
    </row>
    <row r="90">
      <c r="B90" s="1" t="s">
        <v>721</v>
      </c>
      <c r="C90" s="47">
        <v>2.5</v>
      </c>
    </row>
    <row r="91">
      <c r="B91" s="1" t="s">
        <v>722</v>
      </c>
      <c r="C91" s="55">
        <v>43.6</v>
      </c>
    </row>
    <row r="92">
      <c r="B92" s="1" t="s">
        <v>723</v>
      </c>
      <c r="C92" s="37" t="s">
        <v>724</v>
      </c>
    </row>
    <row r="93">
      <c r="B93" s="1" t="s">
        <v>627</v>
      </c>
      <c r="C93" s="37" t="s">
        <v>10</v>
      </c>
    </row>
    <row r="94">
      <c r="B94" s="1" t="s">
        <v>725</v>
      </c>
      <c r="C94" s="108" t="s">
        <v>726</v>
      </c>
    </row>
    <row r="95">
      <c r="B95" s="1" t="s">
        <v>727</v>
      </c>
      <c r="C95" s="24">
        <v>46299</v>
      </c>
    </row>
    <row r="96">
      <c r="B96" s="1" t="s">
        <v>728</v>
      </c>
    </row>
    <row r="98">
      <c r="B98" s="4" t="s">
        <v>729</v>
      </c>
    </row>
    <row r="99">
      <c r="B99" s="109" t="s">
        <v>620</v>
      </c>
      <c r="C99" s="13" t="s">
        <v>730</v>
      </c>
      <c r="D99" s="13" t="s">
        <v>731</v>
      </c>
      <c r="E99" s="13" t="s">
        <v>732</v>
      </c>
      <c r="F99" s="13" t="s">
        <v>733</v>
      </c>
      <c r="G99" s="13" t="s">
        <v>734</v>
      </c>
      <c r="H99" s="13" t="s">
        <v>735</v>
      </c>
      <c r="I99" s="95" t="s">
        <v>736</v>
      </c>
      <c r="J99" s="95" t="s">
        <v>737</v>
      </c>
      <c r="K99" s="95" t="s">
        <v>738</v>
      </c>
      <c r="L99" s="95" t="s">
        <v>739</v>
      </c>
      <c r="M99" s="9" t="s">
        <v>740</v>
      </c>
    </row>
    <row r="100">
      <c r="B100" s="61">
        <v>45716</v>
      </c>
      <c r="C100" s="24">
        <v>45750</v>
      </c>
      <c r="D100" s="55">
        <v>0.87</v>
      </c>
      <c r="E100" s="55">
        <v>1.1</v>
      </c>
      <c r="F100" s="55">
        <v>0.69</v>
      </c>
      <c r="G100" s="55">
        <v>1.03</v>
      </c>
      <c r="H100" s="34">
        <v>1492.67</v>
      </c>
      <c r="I100" s="100">
        <v>1520.5</v>
      </c>
      <c r="J100" s="98" t="b">
        <f>E100&gt;D100</f>
        <v>1</v>
      </c>
      <c r="K100" s="99">
        <f>E100-D100</f>
        <v>0.2300000000000001</v>
      </c>
      <c r="L100" s="98" t="b">
        <f>I100&gt;H100</f>
        <v>1</v>
      </c>
      <c r="M100" s="8" t="s">
        <v>741</v>
      </c>
    </row>
    <row r="101">
      <c r="B101" s="61">
        <v>45808</v>
      </c>
      <c r="C101" s="24">
        <v>45861</v>
      </c>
      <c r="D101" s="55">
        <v>0.63</v>
      </c>
      <c r="E101" s="55">
        <v>0.87</v>
      </c>
      <c r="F101" s="55">
        <v>0.51</v>
      </c>
      <c r="G101" s="55">
        <v>0.85</v>
      </c>
      <c r="H101" s="34">
        <v>1589.32</v>
      </c>
      <c r="I101" s="100">
        <v>1675.8</v>
      </c>
      <c r="J101" s="98" t="b">
        <f>E101&gt;D101</f>
        <v>1</v>
      </c>
      <c r="K101" s="99">
        <f>E101-D101</f>
        <v>0.24</v>
      </c>
      <c r="L101" s="98" t="b">
        <f>I101&gt;H101</f>
        <v>1</v>
      </c>
      <c r="M101" s="8" t="s">
        <v>742</v>
      </c>
    </row>
    <row r="102">
      <c r="B102" s="61">
        <v>45900</v>
      </c>
      <c r="C102" s="24">
        <v>45930</v>
      </c>
      <c r="D102" s="55">
        <v>0.53</v>
      </c>
      <c r="E102" s="55">
        <v>0.74</v>
      </c>
      <c r="F102" s="55">
        <v>0.44</v>
      </c>
      <c r="G102" s="55">
        <v>0.46</v>
      </c>
      <c r="H102" s="34">
        <v>1615.75</v>
      </c>
      <c r="I102" s="100">
        <v>1659.3</v>
      </c>
      <c r="J102" s="98" t="b">
        <f>E102&gt;D102</f>
        <v>1</v>
      </c>
      <c r="K102" s="99">
        <f>E102-D102</f>
        <v>0.20999999999999996</v>
      </c>
      <c r="L102" s="98" t="b">
        <f>I102&gt;H102</f>
        <v>1</v>
      </c>
      <c r="M102" s="8" t="s">
        <v>743</v>
      </c>
    </row>
    <row r="103">
      <c r="B103" s="61">
        <v>45991</v>
      </c>
      <c r="C103" s="24">
        <v>46010</v>
      </c>
      <c r="D103" s="55">
        <v>0.65</v>
      </c>
      <c r="E103" s="55">
        <v>0.69</v>
      </c>
      <c r="F103" s="55">
        <v>0.58</v>
      </c>
      <c r="G103" s="55">
        <v>0.44</v>
      </c>
      <c r="H103" s="34">
        <v>1590.27</v>
      </c>
      <c r="I103" s="100">
        <v>1618.1</v>
      </c>
      <c r="J103" s="98" t="b">
        <f>E103&gt;D103</f>
        <v>1</v>
      </c>
      <c r="K103" s="99">
        <f>E103-D103</f>
        <v>0.039999999999999925</v>
      </c>
      <c r="L103" s="98" t="b">
        <f>I103&gt;H103</f>
        <v>1</v>
      </c>
      <c r="M103" s="8" t="s">
        <v>744</v>
      </c>
    </row>
    <row r="104">
      <c r="B104" s="61">
        <v>46081</v>
      </c>
      <c r="C104" s="24">
        <v>46113</v>
      </c>
      <c r="D104" s="55">
        <v>0.61</v>
      </c>
      <c r="E104" s="55">
        <v>0.72</v>
      </c>
      <c r="F104" s="55">
        <v>0.51</v>
      </c>
      <c r="G104" s="55">
        <v>0.39</v>
      </c>
      <c r="H104" s="34">
        <v>1486.19</v>
      </c>
      <c r="I104" s="100">
        <v>1564.8</v>
      </c>
      <c r="J104" s="98" t="b">
        <f>E104&gt;D104</f>
        <v>1</v>
      </c>
      <c r="K104" s="99">
        <f>E104-D104</f>
        <v>0.10999999999999999</v>
      </c>
      <c r="L104" s="98" t="b">
        <f>I104&gt;H104</f>
        <v>1</v>
      </c>
      <c r="M104" s="8" t="s">
        <v>745</v>
      </c>
    </row>
    <row r="105">
      <c r="B105" s="61">
        <v>46173</v>
      </c>
      <c r="C105" s="24">
        <v>46227</v>
      </c>
      <c r="D105" s="55">
        <v>0.63</v>
      </c>
      <c r="E105" s="55">
        <v>0.87</v>
      </c>
      <c r="F105" s="55">
        <v>0.53</v>
      </c>
      <c r="G105" s="55">
        <v>0.79</v>
      </c>
      <c r="H105" s="34">
        <v>1692.07</v>
      </c>
      <c r="I105" s="100">
        <v>1770.1</v>
      </c>
      <c r="J105" s="98" t="b">
        <f>E105&gt;D105</f>
        <v>1</v>
      </c>
      <c r="K105" s="99">
        <f>E105-D105</f>
        <v>0.24</v>
      </c>
      <c r="L105" s="98" t="b">
        <f>I105&gt;H105</f>
        <v>1</v>
      </c>
      <c r="M105" s="8" t="s">
        <v>746</v>
      </c>
    </row>
    <row r="107">
      <c r="B107" s="4" t="s">
        <v>747</v>
      </c>
    </row>
    <row r="108">
      <c r="B108" s="1" t="s">
        <v>748</v>
      </c>
      <c r="C108" s="34">
        <v>5990</v>
      </c>
      <c r="M108" s="8" t="s">
        <v>749</v>
      </c>
    </row>
    <row r="109">
      <c r="B109" s="1" t="s">
        <v>750</v>
      </c>
      <c r="C109" s="108" t="s">
        <v>751</v>
      </c>
    </row>
    <row r="110">
      <c r="B110" s="1" t="s">
        <v>752</v>
      </c>
      <c r="C110" s="15" t="str">
        <f>IF(C108&lt;2000,"Small",IF(C108&lt;=10000,"Mid","Large"))</f>
        <v>Mid</v>
      </c>
    </row>
    <row r="111">
      <c r="B111" s="1" t="s">
        <v>753</v>
      </c>
      <c r="C111" s="37" t="s">
        <v>754</v>
      </c>
      <c r="M111" s="8" t="s">
        <v>755</v>
      </c>
    </row>
    <row r="112">
      <c r="B112" s="1" t="s">
        <v>756</v>
      </c>
      <c r="C112" s="58">
        <v>0.6</v>
      </c>
      <c r="M112" s="8" t="s">
        <v>757</v>
      </c>
    </row>
    <row r="113">
      <c r="B113" s="1" t="s">
        <v>758</v>
      </c>
      <c r="C113" s="58">
        <v>0.7</v>
      </c>
      <c r="M113" s="8" t="s">
        <v>759</v>
      </c>
    </row>
    <row r="114">
      <c r="B114" s="1" t="s">
        <v>760</v>
      </c>
      <c r="C114" s="58">
        <v>0.78</v>
      </c>
      <c r="M114" s="8" t="s">
        <v>761</v>
      </c>
    </row>
    <row r="115">
      <c r="B115" s="1" t="s">
        <v>762</v>
      </c>
      <c r="C115" s="11">
        <f>IF(C111="Yes",C114,IF(C110="Small",C112,IF(C110="Mid",C113,C114)))</f>
        <v>0.7</v>
      </c>
    </row>
    <row r="116">
      <c r="B116" s="1" t="s">
        <v>763</v>
      </c>
      <c r="C116" s="64">
        <f>IF(AND(ISNUMBER(D100),ISNUMBER(E100)),IF(E100&gt;D100,1,0),0)+IF(AND(ISNUMBER(D101),ISNUMBER(E101)),IF(E101&gt;D101,1,0),0)+IF(AND(ISNUMBER(D102),ISNUMBER(E102)),IF(E102&gt;D102,1,0),0)+IF(AND(ISNUMBER(D103),ISNUMBER(E103)),IF(E103&gt;D103,1,0),0)+IF(AND(ISNUMBER(D104),ISNUMBER(E104)),IF(E104&gt;D104,1,0),0)+IF(AND(ISNUMBER(D105),ISNUMBER(E105)),IF(E105&gt;D105,1,0),0)</f>
        <v>6</v>
      </c>
      <c r="M116" s="8" t="s">
        <v>764</v>
      </c>
    </row>
    <row r="117">
      <c r="B117" s="1" t="s">
        <v>765</v>
      </c>
      <c r="C117" s="64">
        <f>IF(AND(ISNUMBER(D100),ISNUMBER(E100)),1,0)+IF(AND(ISNUMBER(D101),ISNUMBER(E101)),1,0)+IF(AND(ISNUMBER(D102),ISNUMBER(E102)),1,0)+IF(AND(ISNUMBER(D103),ISNUMBER(E103)),1,0)+IF(AND(ISNUMBER(D104),ISNUMBER(E104)),1,0)+IF(AND(ISNUMBER(D105),ISNUMBER(E105)),1,0)</f>
        <v>6</v>
      </c>
    </row>
    <row r="118">
      <c r="B118" s="1" t="s">
        <v>766</v>
      </c>
      <c r="C118" s="62">
        <v>8</v>
      </c>
    </row>
    <row r="119">
      <c r="B119" s="1" t="s">
        <v>767</v>
      </c>
      <c r="C119" s="11">
        <f>(C118*C115+C116)/(C118+C117)</f>
        <v>0.8285714285714285</v>
      </c>
    </row>
    <row r="120">
      <c r="B120" s="1" t="s">
        <v>768</v>
      </c>
      <c r="C120" s="58">
        <v>0.7</v>
      </c>
      <c r="M120" s="8" t="s">
        <v>769</v>
      </c>
    </row>
    <row r="121">
      <c r="B121" s="1" t="s">
        <v>770</v>
      </c>
      <c r="C121" s="11">
        <f>C120-C119</f>
        <v>-0.12857142857142856</v>
      </c>
    </row>
    <row r="122">
      <c r="B122" s="1" t="s">
        <v>771</v>
      </c>
      <c r="C122" s="2">
        <f>AVERAGE(K100:K105)</f>
        <v>0.17833333333333332</v>
      </c>
    </row>
    <row r="123">
      <c r="B123" s="1" t="s">
        <v>772</v>
      </c>
      <c r="C123" s="2">
        <f>MEDIAN(K100:K105)</f>
        <v>0.22000000000000003</v>
      </c>
    </row>
    <row r="124">
      <c r="B124" s="1" t="s">
        <v>773</v>
      </c>
      <c r="C124" s="2">
        <f>MIN(K100:K105)</f>
        <v>0.039999999999999925</v>
      </c>
    </row>
    <row r="125">
      <c r="B125" s="1" t="s">
        <v>774</v>
      </c>
      <c r="C125" s="2">
        <f>C37</f>
        <v>0.59</v>
      </c>
    </row>
    <row r="126">
      <c r="B126" s="1" t="s">
        <v>775</v>
      </c>
      <c r="C126" s="37" t="s">
        <v>776</v>
      </c>
      <c r="M126" s="8" t="s">
        <v>777</v>
      </c>
    </row>
  </sheetData>
  <legacyDrawing r:id="rId2"/>
</worksheet>
</file>