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Americas" sheetId="3" r:id="rId4"/>
    <sheet name="Segment - Europe" sheetId="4" r:id="rId5"/>
    <sheet name="Segment - Asia" sheetId="5" r:id="rId6"/>
    <sheet name="Segment - Beyond Yoga" sheetId="6" r:id="rId7"/>
    <sheet name="Income Statement" sheetId="7" r:id="rId8"/>
    <sheet name="Balance Sheet" sheetId="8" r:id="rId9"/>
    <sheet name="Cash Flow Statement" sheetId="9" r:id="rId10"/>
    <sheet name="Geo" sheetId="10" r:id="rId11"/>
    <sheet name="Share Count" sheetId="11" r:id="rId12"/>
    <sheet name="Guidance" sheetId="12" r:id="rId13"/>
    <sheet name="Sources" sheetId="13" r:id="rId14"/>
    <sheet name="Inputs" sheetId="14" r:id="rId15"/>
  </sheets>
  <calcPr calcId="0"/>
</workbook>
</file>

<file path=xl/sharedStrings.xml><?xml version="1.0" encoding="utf-8"?>
<sst xmlns="http://schemas.openxmlformats.org/spreadsheetml/2006/main" count="3111" uniqueCount="947">
  <si>
    <t>Company Model — built by Shortcut</t>
  </si>
  <si>
    <t>Levi Strauss &amp; Co. (NYSE: LEVI)</t>
  </si>
  <si>
    <t>Cover</t>
  </si>
  <si>
    <t>$ millions, except per share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</si>
  <si>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</si>
  <si>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</si>
  <si>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</si>
  <si>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</si>
  <si>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</si>
  <si>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</si>
  <si>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</si>
  <si>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</si>
  <si>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</si>
  <si>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Notes / sources</t>
  </si>
  <si>
    <t>Period end</t>
  </si>
  <si>
    <t>Days in period</t>
  </si>
  <si>
    <t>Note: the headline and calibration tables below use columns C-I as fields (estimate, consensus, variance, guide, alt. basis), not periods</t>
  </si>
  <si>
    <t>Company and forecast basis</t>
  </si>
  <si>
    <t>Company</t>
  </si>
  <si>
    <t>Levi Strauss &amp; Co.</t>
  </si>
  <si>
    <t>Ticker / exchange</t>
  </si>
  <si>
    <t>LEVI / New York Stock Exchange (Class A)</t>
  </si>
  <si>
    <t>Fiscal year end</t>
  </si>
  <si>
    <t>52/53-week year ending last Sunday of November (FY26 ends 29-Nov-2026)</t>
  </si>
  <si>
    <t>Reporting currency</t>
  </si>
  <si>
    <t>USD</t>
  </si>
  <si>
    <t>EPS basis (consensus basis)</t>
  </si>
  <si>
    <t>Adjusted diluted EPS from continuing operations (= CapIQ normalized diluted EPS)</t>
  </si>
  <si>
    <t>Forecast period</t>
  </si>
  <si>
    <t>3Q26E - quarter ended 30-Aug-2026 (91 days)</t>
  </si>
  <si>
    <t>Information cutoff</t>
  </si>
  <si>
    <t>2026-10-04 22:22 UTC (pre-release evidence only)</t>
  </si>
  <si>
    <t>Expected report date</t>
  </si>
  <si>
    <t>2026-10-07, after market close (company announcement, S31)</t>
  </si>
  <si>
    <t>Author</t>
  </si>
  <si>
    <t>Shortcut</t>
  </si>
  <si>
    <t>Share price (2-Oct-26 close)</t>
  </si>
  <si>
    <t>CapIQ last_close_price; stockanalysis.com close 2-Oct-26 $19.87 (S30)</t>
  </si>
  <si>
    <t>Shares outstanding (m, 1-Jul-2026)</t>
  </si>
  <si>
    <t>10-Q cover (S4)</t>
  </si>
  <si>
    <t>Market capitalization at cutoff ($m)</t>
  </si>
  <si>
    <t>CapIQ market_cap field blank; computed price x shares</t>
  </si>
  <si>
    <t>S&amp;P 500 member</t>
  </si>
  <si>
    <t>CapIQ sp500_member = N (size and index membership treated separately)</t>
  </si>
  <si>
    <t>Headline - 3Q26E</t>
  </si>
  <si>
    <t>Shortcut est.</t>
  </si>
  <si>
    <t>Consensus*</t>
  </si>
  <si>
    <t>Est. - cons.</t>
  </si>
  <si>
    <t>Guide mid</t>
  </si>
  <si>
    <t>Est. - guide</t>
  </si>
  <si>
    <t>If kept**</t>
  </si>
  <si>
    <t>Kept - est.</t>
  </si>
  <si>
    <t>*Frozen S&amp;P Capital IQ consensus, 4-Oct-2026 (Inputs); scoring baseline, never replaced</t>
  </si>
  <si>
    <t>Net revenue ($m)</t>
  </si>
  <si>
    <t>CapIQ: 14 estimates, range $1,604.8-1,638.0m; Yahoo/Zacks $1.61bn (S25)</t>
  </si>
  <si>
    <t>% variance</t>
  </si>
  <si>
    <t>Adjusted net income ($m)</t>
  </si>
  <si>
    <t>CapIQ net_income_excl_excep_m; guide mid implied from EPS midpoint</t>
  </si>
  <si>
    <t>Adj. diluted EPS (consensus basis)</t>
  </si>
  <si>
    <t>Headline EXCLUDES the assumed $30m IEEPA refund from adj. EPS, contrary to Levi's 2Q26 precedent</t>
  </si>
  <si>
    <t>**If kept (2Q26 treatment): $0.4322 vs $0.3727 headline, +$0.0595. Amount &amp; treatment are assumptions</t>
  </si>
  <si>
    <t>GAAP diluted EPS (total net income)</t>
  </si>
  <si>
    <t>n/a</t>
  </si>
  <si>
    <t>CapIQ GAAP (5 est.) = total-NI EPS; includes assumed $30m refund (undisclosed amount; GAAP only)</t>
  </si>
  <si>
    <t>Independent checks (excl. identities/plugs)</t>
  </si>
  <si>
    <t>Independent ties (historical, plus 3Q26E BS balance J62); identities/3Q26E plugs excluded (IS K148, RS K145, CF K41/K60)</t>
  </si>
  <si>
    <t>P(beat consensus EPS)</t>
  </si>
  <si>
    <t>Probability reported adjusted EPS &gt; $0.36 (strict). Equals estimate.json p_beat_consensus_eps</t>
  </si>
  <si>
    <t>Confidence</t>
  </si>
  <si>
    <t>medium</t>
  </si>
  <si>
    <t>Equals estimate.json confidence</t>
  </si>
  <si>
    <t>Probability calibration (size-aware prior, playbook v2)</t>
  </si>
  <si>
    <t>Size bucket (&lt;$2bn/$2-10bn/&gt;$10bn)</t>
  </si>
  <si>
    <t>Cohort prior (0.60 / 0.70 / 0.78)</t>
  </si>
  <si>
    <t>Historical strict beats (b)</t>
  </si>
  <si>
    <t>Valid pairs n</t>
  </si>
  <si>
    <t>Pseudo-observations</t>
  </si>
  <si>
    <t>Starting p = (k*prior + b)/(k + n)</t>
  </si>
  <si>
    <t>Quarter-specific evidence adjustment</t>
  </si>
  <si>
    <t>Down: cons. at top of guide, tough 3Q25 comp, Stifel alt-data (S24), FX. Up: beat record, UBS web +39% (S23), refund if kept</t>
  </si>
  <si>
    <t>Final probability</t>
  </si>
  <si>
    <t>Mean EPS surprise, 6 qtrs ($/sh)</t>
  </si>
  <si>
    <t>+$0.10, +$0.09, +$0.03, +$0.02, +$0.05, +$0.04 (3Q25 +$0.03); not transferred mechanically</t>
  </si>
  <si>
    <t>Other consensus references at cutoff (not used for scoring)</t>
  </si>
  <si>
    <t>Yahoo/Zacks consensus EPS (2-Oct-26)</t>
  </si>
  <si>
    <t>S25: revenue $1.61bn (+4.5%)</t>
  </si>
  <si>
    <t>Earnings Whispers whisper EPS</t>
  </si>
  <si>
    <t>S21</t>
  </si>
  <si>
    <t>Jefferies 3Q26 EPS (1-Oct-26)</t>
  </si>
  <si>
    <t>S22</t>
  </si>
  <si>
    <t>Revenue summary</t>
  </si>
  <si>
    <t>Net revenue by reportable segment</t>
  </si>
  <si>
    <t>Americas</t>
  </si>
  <si>
    <t>Linked from 'Segment - Americas'</t>
  </si>
  <si>
    <t>% Y/Y</t>
  </si>
  <si>
    <t>% Q/Q</t>
  </si>
  <si>
    <t>Q/Q change ($)</t>
  </si>
  <si>
    <t>% of total net revenue</t>
  </si>
  <si>
    <t>FX impact %</t>
  </si>
  <si>
    <t>M&amp;A / scope impact %</t>
  </si>
  <si>
    <t>Organic growth %</t>
  </si>
  <si>
    <t>Europe</t>
  </si>
  <si>
    <t>Linked from 'Segment - Europe'</t>
  </si>
  <si>
    <t>Asia</t>
  </si>
  <si>
    <t>Linked from 'Segment - Asia'</t>
  </si>
  <si>
    <t>Beyond Yoga</t>
  </si>
  <si>
    <t>Linked from 'Segment - Beyond Yoga'</t>
  </si>
  <si>
    <t>Total net revenue</t>
  </si>
  <si>
    <t>Prior-year period ($)</t>
  </si>
  <si>
    <t>Sum of segment prior-year rows (ties to company organic tables)</t>
  </si>
  <si>
    <t>Reported net revenue (press release)</t>
  </si>
  <si>
    <t>Reported consolidated net revenue (S3,S5,S7,S9,S13)</t>
  </si>
  <si>
    <t>Check: segments - reported (=0)</t>
  </si>
  <si>
    <t>Geography note</t>
  </si>
  <si>
    <t>Revenue spans &gt;100 countries; geographic detail on Geo tab (U.S. = 42.6% of FY25 revenue per 10-K)</t>
  </si>
  <si>
    <t>Total revenue growth decomposition</t>
  </si>
  <si>
    <t>% Y/Y (reported)</t>
  </si>
  <si>
    <t>FX adj. to PY base ($)</t>
  </si>
  <si>
    <t>Total FX/scope = sum of segment rows (company organic reconciliation); 4Q25/FY25 scope incl. 53rd week (-78.4)</t>
  </si>
  <si>
    <t>Scope adj. to PY base ($)</t>
  </si>
  <si>
    <t>Scope adj. to current period ($)</t>
  </si>
  <si>
    <t>Organic net revenue ($)</t>
  </si>
  <si>
    <t>Organic prior-year base ($)</t>
  </si>
  <si>
    <t>Net revenue by channel</t>
  </si>
  <si>
    <t>Wholesale</t>
  </si>
  <si>
    <t>Sum of segment channel rows (segment tabs)</t>
  </si>
  <si>
    <t>Sum of segment channel prior-year rows</t>
  </si>
  <si>
    <t>Channel FX/scope from company organic table; 3Q26E FX assumed equal to total-company FX %</t>
  </si>
  <si>
    <t>Direct-to-consumer (DTC)</t>
  </si>
  <si>
    <t>Identity: wholesale + DTC - total</t>
  </si>
  <si>
    <t>Net revenue by brand</t>
  </si>
  <si>
    <t>Levi's Brands (Am. + Eur. + Asia)</t>
  </si>
  <si>
    <t>Sum of Americas/Europe/Asia prior-year rows</t>
  </si>
  <si>
    <t>Sum of segment FX/scope rows</t>
  </si>
  <si>
    <t>Levi's®</t>
  </si>
  <si>
    <t>Brand revenue: company brand organic tables (S3,S5,S7,S9,S11,S13)</t>
  </si>
  <si>
    <t>Company organic table: prior-year restated at current-period FX rates</t>
  </si>
  <si>
    <t>Levi Strauss Signature™</t>
  </si>
  <si>
    <t>Denizen® (wound down)</t>
  </si>
  <si>
    <t>Signature cc growth (driver)</t>
  </si>
  <si>
    <t>Forecast-only input (no history, so no change rows). Mgmt (S15): Signature H2 growth "high single digits, low double digits"</t>
  </si>
  <si>
    <t>Beyond Yoga®</t>
  </si>
  <si>
    <t>Check: brands - total (=0)</t>
  </si>
  <si>
    <t>Historical columns are independent ties; 3Q26E is zero by construction (J103 Levi's brand is a residual)</t>
  </si>
  <si>
    <t>Operating KPIs</t>
  </si>
  <si>
    <t>DTC comparable sales growth (cc)</t>
  </si>
  <si>
    <t>HSD</t>
  </si>
  <si>
    <t>HSD = "high-single digit" (qualitative disclosure, FY25); numeric from FY26 (S3,S5); not forecast</t>
  </si>
  <si>
    <t>E-commerce growth, reported</t>
  </si>
  <si>
    <t>Press releases (S3,S5,S7,S9,S11,S13)</t>
  </si>
  <si>
    <t>E-commerce growth, organic</t>
  </si>
  <si>
    <t>Share of growth from units (mgmt)</t>
  </si>
  <si>
    <t>S15: Q2 FY26 ~2/3 units, Q1 ~50/50, FY25 ~2/3 units; FY26 expected ~50/50</t>
  </si>
  <si>
    <t>Change Y/Y (bps)</t>
  </si>
  <si>
    <t>Implied organic growth from units</t>
  </si>
  <si>
    <t>Implied organic growth from AUR</t>
  </si>
  <si>
    <t>Company-operated store ladder (company total)</t>
  </si>
  <si>
    <t>Opening stores</t>
  </si>
  <si>
    <t>FY25 (=1Q25) opening = 1,231 - 110 opened + 70 closed (10-K, S8); quarterly opening = prior closing; 1Q25 net -22 likely reflects Dockers store reclassification</t>
  </si>
  <si>
    <t>Gross openings</t>
  </si>
  <si>
    <t>10-K FY25: 110 added; quarterly gross openings not disclosed</t>
  </si>
  <si>
    <t>Closures</t>
  </si>
  <si>
    <t>10-K FY25: 70 closed; quarterly closures not disclosed</t>
  </si>
  <si>
    <t>Net additions</t>
  </si>
  <si>
    <t>3Q26E input: mgmt guides 50-60 net new doors in FY26, majority in H2 (S15); YTD +11</t>
  </si>
  <si>
    <t>Closing company-operated stores</t>
  </si>
  <si>
    <t>10-Q/10-K business section counts (S4,S6,S8,S10,S12,S14)</t>
  </si>
  <si>
    <t>Net additions Y/Y change</t>
  </si>
  <si>
    <t>1Q26 (+23) distorted: 1Q25 net -22 likely reflects Dockers store reclassification (K157)</t>
  </si>
  <si>
    <t>Average stores in period</t>
  </si>
  <si>
    <t>Closing stores % Y/Y</t>
  </si>
  <si>
    <t>Closing stores Q/Q change</t>
  </si>
  <si>
    <t>Company-operated shop-in-shops</t>
  </si>
  <si>
    <t>10-Q business section ("approximately")</t>
  </si>
  <si>
    <t>DTC revenue / avg store ($000)</t>
  </si>
  <si>
    <t>Derived: DTC revenue includes e-commerce, so this overstates per-store productivity. FY25 (G) is an annual figure, not comparable with quarterly columns</t>
  </si>
  <si>
    <t>1Q26 Y/Y uses a 1Q25 base affected by the likely Dockers store reclassification (K157, K162)</t>
  </si>
  <si>
    <t>Segment - Americas</t>
  </si>
  <si>
    <t>Revenue build (channel components)</t>
  </si>
  <si>
    <t>Wholesale net revenue</t>
  </si>
  <si>
    <t>Segment x channel revenue: 10-Q notes (S4,S6,S10,S12,S14); FY25 10-K R51 (S8); 4Q25 = FY less 9M</t>
  </si>
  <si>
    <t>Prior-year segment x channel revenue from 10-Q/10-K revenue notes (4Q24 = FY24 less 9M24)</t>
  </si>
  <si>
    <t>CC growth assumption (driver)</t>
  </si>
  <si>
    <t>Forecast input (no history). Q3 guide org. +4-5%; DTC 'mid-to-high single digit' H2; Europe pre-books +HSD (S15)</t>
  </si>
  <si>
    <t>History not disclosed at segment x channel level; 3Q26E = segment FX assumption</t>
  </si>
  <si>
    <t>History not disclosed at segment x channel level</t>
  </si>
  <si>
    <t>History not disclosed at segment x channel level; 3Q26E = cc driver</t>
  </si>
  <si>
    <t>DTC net revenue</t>
  </si>
  <si>
    <t>Americas net revenue</t>
  </si>
  <si>
    <t>Subtotal = wholesale + DTC; ties to reported segment revenue</t>
  </si>
  <si>
    <t>Prior-year = wholesale + DTC prior-year rows (ties to company organic tables)</t>
  </si>
  <si>
    <t>% of total company net revenue</t>
  </si>
  <si>
    <t>Growth decomposition (segment total, company organic disclosure)</t>
  </si>
  <si>
    <t>4Q25/FY25 Y/Y compare with 53-week periods (4Q24 = 98 days, FY24 = 371 days); extra-week effect is in the scope adjustment</t>
  </si>
  <si>
    <t>FX/scope adjustments from company organic net revenue reconciliation tables</t>
  </si>
  <si>
    <t>FX impact change Y/Y (bps)</t>
  </si>
  <si>
    <t>Channel mix</t>
  </si>
  <si>
    <t>DTC % of segment revenue</t>
  </si>
  <si>
    <t>Wholesale % of segment revenue</t>
  </si>
  <si>
    <t>Segment profitability</t>
  </si>
  <si>
    <t>Segment cost of goods sold</t>
  </si>
  <si>
    <t>Segment expense disclosure (ASU 2023-07): 10-Q/10-K segment note; 3Q25/4Q25 not disclosed quarterly (only FY25 and 6M)</t>
  </si>
  <si>
    <t>Segment gross profit</t>
  </si>
  <si>
    <t>Segment gross margin % (driver)</t>
  </si>
  <si>
    <t>3Q26E input; FY25 segment GM from 10-K. Company Q3 guide: consolidated GM ~61.8% incl. ~70bp FX headwind</t>
  </si>
  <si>
    <t>Segment SG&amp;A</t>
  </si>
  <si>
    <t>3Q26E = segment gross profit less segment operating income</t>
  </si>
  <si>
    <t>Segment SG&amp;A % of revenue</t>
  </si>
  <si>
    <t>3Q26E implied SG&amp;A (33.0%) is below the 35.0-37.2% history: segment GM/OM inputs are presentational, do not drive EPS, and reconcile through the corporate-expense plug (IS J146)</t>
  </si>
  <si>
    <t>Americas operating income</t>
  </si>
  <si>
    <t>Segment operating income: 10-Q/10-K segment note (S4,S6,S8,S10); 4Q25 = FY25 (10-K) less 1Q-3Q</t>
  </si>
  <si>
    <t>Prior-year segment OI: 3Q24/FY24 exact (S8,S10); 4Q24 = FY24 less 9M24; 1Q24/2Q24 rounded to $m in S13/S11; FY24 reported value used: FY differs from the sum of rounded quarterly PY inputs by up to $0.9m (rounding)</t>
  </si>
  <si>
    <t>Operating margin % (3Q26E driver)</t>
  </si>
  <si>
    <t>3Q26E input; FY26 YTD trend vs PY used to set (see Revenue summary/IS notes)</t>
  </si>
  <si>
    <t>Company-operated stores (segment)</t>
  </si>
  <si>
    <t>Not disclosed by segment (company-level ladder on Revenue summary)</t>
  </si>
  <si>
    <t>Not disclosed by segment</t>
  </si>
  <si>
    <t>10-K FY25 (S8): stores by segment at 30-Nov-25; quarterly segment counts not disclosed</t>
  </si>
  <si>
    <t>Not derivable without opening counts</t>
  </si>
  <si>
    <t>Change in stores Y/Y (disclosed)</t>
  </si>
  <si>
    <t>10-Q MD&amp;A (S4,S6,S10): "x more company-operated stores in operation" vs prior year</t>
  </si>
  <si>
    <t>Segment - Europe</t>
  </si>
  <si>
    <t>Europe net revenue</t>
  </si>
  <si>
    <t>FX/scope adjustments from company organic net revenue reconciliation tables; FY FX as reported differs from the sum of quarters by $0.1m (rounding; company total ties)</t>
  </si>
  <si>
    <t>Europe operating income</t>
  </si>
  <si>
    <t>Segment - Asia</t>
  </si>
  <si>
    <t>Asia net revenue</t>
  </si>
  <si>
    <t>Asia operating income</t>
  </si>
  <si>
    <t>Segment - Beyond Yoga</t>
  </si>
  <si>
    <t>Beyond Yoga net revenue</t>
  </si>
  <si>
    <t>Beyond Yoga operating income (loss)</t>
  </si>
  <si>
    <t>Income Statement (continuing operations)</t>
  </si>
  <si>
    <t>Income statement</t>
  </si>
  <si>
    <t>Net revenues</t>
  </si>
  <si>
    <t>Linked from Revenue summary (sum of segments)</t>
  </si>
  <si>
    <t>Prior-year net revenues</t>
  </si>
  <si>
    <t>Linked from Revenue summary</t>
  </si>
  <si>
    <t>4Q25/FY25 Y/Y compare with 53-week periods (4Q24 = 98 days, FY24 = 371 days; current 91/364); extra-week effect is in the scope adjustment (Revenue summary K52)</t>
  </si>
  <si>
    <t>Cost of goods sold</t>
  </si>
  <si>
    <t>S3,S5,S7,S9; 1Q25/2Q25 restated for discontinued ops</t>
  </si>
  <si>
    <t>Gross profit</t>
  </si>
  <si>
    <t>Prior-year gross profit</t>
  </si>
  <si>
    <t>Gross margin %</t>
  </si>
  <si>
    <t>Prior-year gross margin %</t>
  </si>
  <si>
    <t>Gross margin change Y/Y (bps)</t>
  </si>
  <si>
    <t>Selling, general &amp; administrative</t>
  </si>
  <si>
    <t>1Q25 shown ex $2.5m goodwill impairment (separate line, as in FY25 10-K presentation)</t>
  </si>
  <si>
    <t>SG&amp;A % of revenue</t>
  </si>
  <si>
    <t>Restructuring charges, net</t>
  </si>
  <si>
    <t>3Q26E input: severance + Hebron DC closure by end of Q3 (S15); run-rate 8-14 in FY26</t>
  </si>
  <si>
    <t>Goodwill &amp; intangible impairment</t>
  </si>
  <si>
    <t>Operating income</t>
  </si>
  <si>
    <t>Prior-year operating income</t>
  </si>
  <si>
    <t>Operating margin %</t>
  </si>
  <si>
    <t>Interest expense</t>
  </si>
  <si>
    <t>3Q26E: mgmt ~$12m/qtr (S17); recent run-rate $12.9-13.4m</t>
  </si>
  <si>
    <t>% Y/Y (expense)</t>
  </si>
  <si>
    <t>Other income (expense), net</t>
  </si>
  <si>
    <t>Incl. FX and interest income; 1Q26 incl. $33.0m legal settlement gain. 3Q26E input $3m (guide implies ~nil)</t>
  </si>
  <si>
    <t>Pre-tax income (cont. ops)</t>
  </si>
  <si>
    <t>Income tax expense</t>
  </si>
  <si>
    <t>Effective tax rate % (3Q26E driver)</t>
  </si>
  <si>
    <t>3Q26E input: FY26 guide ~23% (S3)</t>
  </si>
  <si>
    <t>Income tax % Y/Y</t>
  </si>
  <si>
    <t>Income tax Q/Q change ($)</t>
  </si>
  <si>
    <t>Net income (cont. ops)</t>
  </si>
  <si>
    <t>Prior-year NI, continuing ops</t>
  </si>
  <si>
    <t>Net margin %</t>
  </si>
  <si>
    <t>Discontinued operations, net of tax</t>
  </si>
  <si>
    <t>Dockers; 3Q25 incl. gain on sale. 3Q26E input</t>
  </si>
  <si>
    <t>n/m when either period is a loss (sign change) or the move exceeds 500%; 3Q25 includes the Dockers gain on sale</t>
  </si>
  <si>
    <t>Net income</t>
  </si>
  <si>
    <t>Per share</t>
  </si>
  <si>
    <t>Weighted-average basic shares (m)</t>
  </si>
  <si>
    <t>Weighted-average diluted shares (m)</t>
  </si>
  <si>
    <t>Basic EPS - continuing operations</t>
  </si>
  <si>
    <t>Diluted EPS - cont. ops (GAAP)</t>
  </si>
  <si>
    <t>Reported diluted EPS - cont. ops</t>
  </si>
  <si>
    <t>Prior-year diluted EPS (cont. ops)</t>
  </si>
  <si>
    <t>Diluted EPS - total net income</t>
  </si>
  <si>
    <t>Reported EPS - total NI (CapIQ GAAP)</t>
  </si>
  <si>
    <t>CapIQ eps_gaap_actual matches this total-net-income figure (Inputs)</t>
  </si>
  <si>
    <t>Identity: EPS = NI / diluted shares</t>
  </si>
  <si>
    <t>Check: calc. vs reported EPS (±0.5c)</t>
  </si>
  <si>
    <t>GAAP to non-GAAP bridge (company "Adjusted" definition = consensus basis)</t>
  </si>
  <si>
    <t>NI from continuing ops (GAAP)</t>
  </si>
  <si>
    <t>(+) Goodwill &amp; intangible impairment</t>
  </si>
  <si>
    <t>(+) Restructuring charges, net</t>
  </si>
  <si>
    <t>(+) Restructuring-related &amp; other</t>
  </si>
  <si>
    <t>Adj. NI reconciliations (S3,S5,S7,S9); includes small amounts booked in other income</t>
  </si>
  <si>
    <t>(+) Loss on debt extinguishment</t>
  </si>
  <si>
    <t>(-) Gain on legal settlement</t>
  </si>
  <si>
    <t>(-) IEEPA tariff refund (excluded)</t>
  </si>
  <si>
    <t>Assumption: 3Q26E refund excluded (peers Gap/TJX, S26/S27); issuer kept 2Q26 refund (S4). See rows 170-173</t>
  </si>
  <si>
    <t>(-) Tax impact of adjustments</t>
  </si>
  <si>
    <t>Adjusted net income</t>
  </si>
  <si>
    <t>Reported adjusted net income</t>
  </si>
  <si>
    <t>Check: bridge - reported (=0)</t>
  </si>
  <si>
    <t>Prior-year adjusted net income</t>
  </si>
  <si>
    <t>1Q24/2Q24 adjusted NI only disclosed rounded -&gt; n/a</t>
  </si>
  <si>
    <t>Adjusted net margin %</t>
  </si>
  <si>
    <t>Consensus basis: CapIQ normalized diluted EPS = company adjusted diluted EPS in all six history quarters (Inputs)</t>
  </si>
  <si>
    <t>Reported adjusted diluted EPS</t>
  </si>
  <si>
    <t>Calculated - reported (rounding)</t>
  </si>
  <si>
    <t>Company sums rounded per-share items; e.g. 1Q25 $150.0m/400.0m = $0.375 shown as $0.38</t>
  </si>
  <si>
    <t>Prior-year adjusted diluted EPS</t>
  </si>
  <si>
    <t>% Y/Y (vs reported prior year)</t>
  </si>
  <si>
    <t>Per-share bridge (adjustment / diluted shares)</t>
  </si>
  <si>
    <t>GAAP diluted EPS (cont. ops)</t>
  </si>
  <si>
    <t>Goodwill impairment per share</t>
  </si>
  <si>
    <t>Restructuring charges per share</t>
  </si>
  <si>
    <t>Restructuring-related per share</t>
  </si>
  <si>
    <t>Debt extinguishment per share</t>
  </si>
  <si>
    <t>Legal settlement gain per share</t>
  </si>
  <si>
    <t>IEEPA tariff refund per share</t>
  </si>
  <si>
    <t>Tax impact per share</t>
  </si>
  <si>
    <t>Adjusted diluted EPS (sum of bridge)</t>
  </si>
  <si>
    <t>Identity: per-share bridge = adj. EPS</t>
  </si>
  <si>
    <t>Adjusted EBIT, SG&amp;A and forecast drivers</t>
  </si>
  <si>
    <t>Restructuring-related in SG&amp;A</t>
  </si>
  <si>
    <t>Adj. SG&amp;A reconciliations (S3,S5,S7,S9). 3Q26E input: Hebron duplicate costs/consulting</t>
  </si>
  <si>
    <t>Adjusted SG&amp;A</t>
  </si>
  <si>
    <t>Prior-year adjusted SG&amp;A</t>
  </si>
  <si>
    <t>FY24 reported value (3,011.7) used; quarterly prior-year inputs are rounded, so FY differs from the sum of quarters (3,011.6) by rounding</t>
  </si>
  <si>
    <t>Adjusted SG&amp;A % Y/Y (3Q26E driver)</t>
  </si>
  <si>
    <t>3Q26E input +6.0%: Q2 +6.5% (1/3 FX), no FX in Q3 guide; new stores H2-weighted, Hebron duplicate costs; guide implies ~49.9% of sales</t>
  </si>
  <si>
    <t>Growth change Y/Y (bps)</t>
  </si>
  <si>
    <t>Adjusted SG&amp;A % of revenue</t>
  </si>
  <si>
    <t>IEEPA refund in COGS (GAAP only)</t>
  </si>
  <si>
    <t>Assumption, undisclosed amount: ~$80m IEEPA duties paid; CAPE Phase 2 live 29-Jun-26 (S28); peers booked refunds in Jun-Aug quarters (S26,S27)</t>
  </si>
  <si>
    <t>n/a where the refund amount is undisclosed</t>
  </si>
  <si>
    <t>Adj. GM % ex refund (driver)</t>
  </si>
  <si>
    <t>3Q26E 62.0% vs ~61.8% guide: tariffs below 20% RoW guide (S26, S15). 2Q26 n/a: GM incl. unquantified refund (S4)</t>
  </si>
  <si>
    <t>Adjusted EBIT</t>
  </si>
  <si>
    <t>Reported adjusted EBIT</t>
  </si>
  <si>
    <t>Check: calculated - reported (=0)</t>
  </si>
  <si>
    <t>Prior-year adjusted EBIT</t>
  </si>
  <si>
    <t>1Q24 = FY24 645.4 less 2Q-4Q24</t>
  </si>
  <si>
    <t>Adjusted EBIT margin %</t>
  </si>
  <si>
    <t>Q3 guide ~11.9% (+10bp)</t>
  </si>
  <si>
    <t>Prior-year adjusted EBIT margin %</t>
  </si>
  <si>
    <t>Depreciation &amp; amortization</t>
  </si>
  <si>
    <t>Adj. EBITDA reconciliations; 3Q26E input (CapIQ D&amp;A consensus $56.7m)</t>
  </si>
  <si>
    <t>Adjusted EBITDA</t>
  </si>
  <si>
    <t>Adjusted EBITDA margin %</t>
  </si>
  <si>
    <t>Tax rate on adjustments (3Q26E)</t>
  </si>
  <si>
    <t>Linked to 3Q26E ETR; company uses annual ETR ex-discretes (~23% FY26)</t>
  </si>
  <si>
    <t>Segment operating income reconciliation</t>
  </si>
  <si>
    <t>Americas segment operating income</t>
  </si>
  <si>
    <t>Europe segment operating income</t>
  </si>
  <si>
    <t>Asia segment operating income</t>
  </si>
  <si>
    <t>Total segment operating income</t>
  </si>
  <si>
    <t>Beyond Yoga® operating income (loss)</t>
  </si>
  <si>
    <t>(+) IEEPA refund (unallocated)</t>
  </si>
  <si>
    <t>2Q26 = n/a: refund recognized but unquantified (S4 cites it in Beyond Yoga results), so it sits inside reported segment/corporate figures; the segment build treats it as zero here only because it is already embedded</t>
  </si>
  <si>
    <t>(-) Restructuring charges, net</t>
  </si>
  <si>
    <t>(-) Goodwill &amp; intangible impairment</t>
  </si>
  <si>
    <t>(-) Corporate expenses</t>
  </si>
  <si>
    <t>Segment note (S4,S6,S8,S10); 1Q25 ex $2.5m goodwill; 4Q25 = FY less 9M. 3Q26E = implied plug (compare 3Q25 $132.9m, 2Q26 $157.3m)</t>
  </si>
  <si>
    <t>Operating income (segment build)</t>
  </si>
  <si>
    <t>Check: segment build - IS (=0)</t>
  </si>
  <si>
    <t>Historical columns are independent ties; 3Q26E is zero by construction (J146 corporate expense is the plug)</t>
  </si>
  <si>
    <t>Segment gross profit (Am/Eur/Asia)</t>
  </si>
  <si>
    <t>3Q25/4Q25 segment COGS not disclosed quarterly</t>
  </si>
  <si>
    <t>Unallocated GP (Beyond Yoga + other)</t>
  </si>
  <si>
    <t>Consolidated GP ex refund less segment GP: 1Q26 $16.5m; 2Q26 n/a (unquantified refund; incl. refund the residual is $17.7m); 3Q26E checks segment GM inputs reconcile to the 62.0% consolidated driver</t>
  </si>
  <si>
    <t>Corporate expenses % of revenue</t>
  </si>
  <si>
    <t>Consensus history (CapIQ, linked from Inputs) and annual reconciliation</t>
  </si>
  <si>
    <t>CapIQ normalized EPS consensus</t>
  </si>
  <si>
    <t>CapIQ normalized EPS actual</t>
  </si>
  <si>
    <t>Surprise vs consensus ($/share)</t>
  </si>
  <si>
    <t>Strict beat (1 = yes)</t>
  </si>
  <si>
    <t>Check: CapIQ actual - reported (=0)</t>
  </si>
  <si>
    <t>CapIQ revenue actual</t>
  </si>
  <si>
    <t>CapIQ revenue consensus</t>
  </si>
  <si>
    <t>Revenue surprise %</t>
  </si>
  <si>
    <t>Check: CapIQ revenue - model (=0)</t>
  </si>
  <si>
    <t>FY25 reported net revenue (10-K)</t>
  </si>
  <si>
    <t>Check: FY25 revenue = sum of qtrs</t>
  </si>
  <si>
    <t>FY25 reported NI, cont. ops (10-K)</t>
  </si>
  <si>
    <t>Check: FY25 NI = sum of quarters</t>
  </si>
  <si>
    <t>FY25 reported COGS (10-K)</t>
  </si>
  <si>
    <t>Check: FY25 = sum of quarters (COGS)</t>
  </si>
  <si>
    <t>IEEPA refund basis sensitivity (unresolved; not the headline estimate)</t>
  </si>
  <si>
    <t>Headline J89 excludes the refund; issuer kept its 2Q26 refund in adj. EPS (S4); mgmt said treatment undecided (8-Jul-26 call, S15)</t>
  </si>
  <si>
    <t>Adj. NI if refund kept (2Q26 precedent)</t>
  </si>
  <si>
    <t>Adds back assumed $30m refund (J117) after tax at J135; the amount itself is an undisclosed assumption</t>
  </si>
  <si>
    <t>Adj. diluted EPS if refund kept in adjusted</t>
  </si>
  <si>
    <t>If kept: $0.4322 vs $0.3727 headline. Guidance ex-refunds (S15) does not show reported-basis exclusion</t>
  </si>
  <si>
    <t>Difference vs headline adj. EPS ($/sh)</t>
  </si>
  <si>
    <t>+$0.0595 exceeds the $0.0127 gap to consensus: disclosed basis assumption, not an EPS calculation error</t>
  </si>
  <si>
    <t>Balance Sheet</t>
  </si>
  <si>
    <t>Assets</t>
  </si>
  <si>
    <t>Cash and cash equivalents</t>
  </si>
  <si>
    <t>Balance sheets (S3,S5,S7,S9,S11,S13); 3Q26E from Cash Flow ending cash</t>
  </si>
  <si>
    <t>Short-term investments</t>
  </si>
  <si>
    <t>1Q25: not separately presented (nil)</t>
  </si>
  <si>
    <t>Trade receivables, net</t>
  </si>
  <si>
    <t>Receivables % of revenue (driver)</t>
  </si>
  <si>
    <t>3Q26E input set to 3Q25 ratio (46.8%) - seasonal back-to-school wholesale build</t>
  </si>
  <si>
    <t>Receivables % Y/Y</t>
  </si>
  <si>
    <t>Receivables Q/Q change ($)</t>
  </si>
  <si>
    <t>Inventories</t>
  </si>
  <si>
    <t>Inventories % Y/Y (3Q26E driver)</t>
  </si>
  <si>
    <t>Disclosed: 1Q25 +7%, 3Q25 +12%, 4Q25 +9% (S9,S7,S13). 3Q26E input -2%: 2Q26 -7% Y/Y, mgmt expects FY-end slightly above PY (S15)</t>
  </si>
  <si>
    <t>Inventories Q/Q change ($)</t>
  </si>
  <si>
    <t>Other current assets</t>
  </si>
  <si>
    <t>3Q26E = prior + assumed IEEPA refund receivable (non-cash until CBP pays)</t>
  </si>
  <si>
    <t>Current assets held for sale</t>
  </si>
  <si>
    <t>Total current assets</t>
  </si>
  <si>
    <t>Property, plant and equipment, net</t>
  </si>
  <si>
    <t>3Q26E = prior + capex - total D&amp;A (incl. intangible amortization; split not modelled, K28)</t>
  </si>
  <si>
    <t>Goodwill</t>
  </si>
  <si>
    <t>Other intangible assets, net</t>
  </si>
  <si>
    <t>3Q26E held flat (1H26 decline ~$0.8m/qtr); amortization sits in PP&amp;E roll; no EPS/total-asset effect</t>
  </si>
  <si>
    <t>Deferred tax assets, net</t>
  </si>
  <si>
    <t>Operating lease ROU assets, net</t>
  </si>
  <si>
    <t>Other non-current assets</t>
  </si>
  <si>
    <t>Non-current assets held for sale</t>
  </si>
  <si>
    <t>Total assets</t>
  </si>
  <si>
    <t>Liabilities</t>
  </si>
  <si>
    <t>Accounts payable</t>
  </si>
  <si>
    <t>Payables % of COGS (driver)</t>
  </si>
  <si>
    <t>3Q26E input ~3Q25 ratio (105%), applied to COGS before the assumed refund credit</t>
  </si>
  <si>
    <t>Payables % Y/Y</t>
  </si>
  <si>
    <t>Payables Q/Q change ($)</t>
  </si>
  <si>
    <t>Accrued salaries, wages &amp; benefits</t>
  </si>
  <si>
    <t>Accrued sales returns and allowances</t>
  </si>
  <si>
    <t>ST operating lease liabilities</t>
  </si>
  <si>
    <t>Other accrued liabilities</t>
  </si>
  <si>
    <t>Current liabilities held for sale</t>
  </si>
  <si>
    <t>Total current liabilities</t>
  </si>
  <si>
    <t>Long-term debt</t>
  </si>
  <si>
    <t>LT operating lease liabilities</t>
  </si>
  <si>
    <t>Long-term employee related benefits</t>
  </si>
  <si>
    <t>Presented separately from 4Q25; combined line before</t>
  </si>
  <si>
    <t>Other long-term liabilities</t>
  </si>
  <si>
    <t>LT benefits &amp; other (combined)</t>
  </si>
  <si>
    <t>1Q25-3Q25 reported as one combined line</t>
  </si>
  <si>
    <t>Long-term liabilities held for sale</t>
  </si>
  <si>
    <t>Total liabilities</t>
  </si>
  <si>
    <t>Stockholders' equity</t>
  </si>
  <si>
    <t>Common stock</t>
  </si>
  <si>
    <t>Additional paid-in capital</t>
  </si>
  <si>
    <t>3Q26E = prior + SBC + tax withholdings (CF); ASR settlement is an equity reclass with no net effect</t>
  </si>
  <si>
    <t>Retained earnings</t>
  </si>
  <si>
    <t>3Q26E = prior + net income - dividends</t>
  </si>
  <si>
    <t>Accumulated other comprehensive loss</t>
  </si>
  <si>
    <t>Total stockholders' equity</t>
  </si>
  <si>
    <t>Total liabilities &amp; equity</t>
  </si>
  <si>
    <t>Check: assets - liabs - equity (=0)</t>
  </si>
  <si>
    <t>Balance sheet metrics</t>
  </si>
  <si>
    <t>Net debt / (net cash) excl. leases</t>
  </si>
  <si>
    <t>Net debt / adj. EBITDA (FY25)</t>
  </si>
  <si>
    <t>Inventory days (on quarterly COGS)</t>
  </si>
  <si>
    <t>3Q26E on COGS before the assumed IEEPA refund credit (same basis as payables driver J36); 2Q26 GAAP COGS includes an unquantified refund</t>
  </si>
  <si>
    <t>Cash Flow Statement (incl. discontinued operations)</t>
  </si>
  <si>
    <t>Operating activities (quarterly; derived from year-to-date filings)</t>
  </si>
  <si>
    <t>Net income (incl. discontinued ops)</t>
  </si>
  <si>
    <t>Quarterly = YTD less prior YTD (YTD block below); 3Q26E linked to Income Statement</t>
  </si>
  <si>
    <t>Stock-based compensation</t>
  </si>
  <si>
    <t>3Q26E input ~$20m (H1 FY26 $40.1m)</t>
  </si>
  <si>
    <t>Other non-cash items</t>
  </si>
  <si>
    <t>History = CFO less listed items (residual) (deferred tax, gains on sale, impairments, etc.); 3Q26E = less assumed IEEPA refund receivable (non-cash)</t>
  </si>
  <si>
    <t>Change in trade receivables</t>
  </si>
  <si>
    <t>3Q26E from Balance Sheet drivers; component split not shown historically (single reported line)</t>
  </si>
  <si>
    <t>Change in inventories</t>
  </si>
  <si>
    <t>Change in accounts payable</t>
  </si>
  <si>
    <t>Change in op. assets &amp; liabilities</t>
  </si>
  <si>
    <t>Net cash from operating activities</t>
  </si>
  <si>
    <t>Purchases of PP&amp;E</t>
  </si>
  <si>
    <t>3Q26E input: FY26 capex ~$230m guide (S17) less H1 $99m; CapIQ capex consensus -$60.8m</t>
  </si>
  <si>
    <t>Proceeds from sale of Dockers</t>
  </si>
  <si>
    <t>Other investing</t>
  </si>
  <si>
    <t>History = CFI less capex and Dockers proceeds (residual); 3Q26E assumption</t>
  </si>
  <si>
    <t>Net cash from investing activities</t>
  </si>
  <si>
    <t>Share repurchases incl. ASR</t>
  </si>
  <si>
    <t>3Q26E: ASR final settlement is non-cash (prepaid in 1Q26)</t>
  </si>
  <si>
    <t>Dividends to stockholders</t>
  </si>
  <si>
    <t>3Q26E = $0.16 DPS x shares outstanding (Share Count)</t>
  </si>
  <si>
    <t>Debt issuance less repayment, net</t>
  </si>
  <si>
    <t>Other financing incl. tax withholdings</t>
  </si>
  <si>
    <t>History = CFF less repurchases, dividends and debt (residual); 3Q26E input: tax withholdings (3Q25: -$2.4m)</t>
  </si>
  <si>
    <t>Net cash from financing activities</t>
  </si>
  <si>
    <t>Effect of FX on cash</t>
  </si>
  <si>
    <t>Net change in cash</t>
  </si>
  <si>
    <t>Beginning cash</t>
  </si>
  <si>
    <t>Ending cash</t>
  </si>
  <si>
    <t>Balance sheet cash</t>
  </si>
  <si>
    <t>Check: ending cash - BS cash (=0)</t>
  </si>
  <si>
    <t>Historical columns are independent ties; 3Q26E is zero by construction (BS cash J11 links to CF J39)</t>
  </si>
  <si>
    <t>Check: net change - BS change (=0)</t>
  </si>
  <si>
    <t>Year-to-date as reported (input block; columns = YTD through period shown)</t>
  </si>
  <si>
    <t>Net income (YTD)</t>
  </si>
  <si>
    <t>YTD statements: S5/S3 (FY25 comparatives), S9, S7, S5, S3; FY25 column = 12M YTD</t>
  </si>
  <si>
    <t>Depreciation &amp; amortization (YTD)</t>
  </si>
  <si>
    <t>Stock-based compensation (YTD)</t>
  </si>
  <si>
    <t>Change in op. assets &amp; liabs (YTD)</t>
  </si>
  <si>
    <t>Cash from operations (YTD)</t>
  </si>
  <si>
    <t>Purchases of PP&amp;E (YTD)</t>
  </si>
  <si>
    <t>Proceeds from sale of Dockers (YTD)</t>
  </si>
  <si>
    <t>Cash from investing (YTD)</t>
  </si>
  <si>
    <t>Share repurchases incl. ASR (YTD)</t>
  </si>
  <si>
    <t>Dividends to stockholders (YTD)</t>
  </si>
  <si>
    <t>Debt issued less repaid (YTD)</t>
  </si>
  <si>
    <t>Cash from financing (YTD)</t>
  </si>
  <si>
    <t>Effect of FX on cash (YTD)</t>
  </si>
  <si>
    <t>Adj. free cash flow (CFO - capex)</t>
  </si>
  <si>
    <t>Check: CF NI - IS NI (=0)</t>
  </si>
  <si>
    <t>Historical columns are independent ties; 3Q26E is zero by construction (CF J11 links to IS J58)</t>
  </si>
  <si>
    <t>Check: FY25 CFO = sum of quarters</t>
  </si>
  <si>
    <t>Geo - revenue by geography</t>
  </si>
  <si>
    <t>Net revenue by geography (reportable segments)</t>
  </si>
  <si>
    <t>% of total</t>
  </si>
  <si>
    <t>Beyond Yoga® (mainly U.S.)</t>
  </si>
  <si>
    <t>Identity: Geo total - IS revenue</t>
  </si>
  <si>
    <t>International (Eur. + Asia) %</t>
  </si>
  <si>
    <t>United States vs. foreign (10-K geographic note)</t>
  </si>
  <si>
    <t>United States net revenue</t>
  </si>
  <si>
    <t>10-K FY25 R55 (S8); not disclosed quarterly in $</t>
  </si>
  <si>
    <t>Foreign countries net revenue</t>
  </si>
  <si>
    <t>10-K FY25 R55 (S8)</t>
  </si>
  <si>
    <t>Total (U.S. + foreign)</t>
  </si>
  <si>
    <t>U.S. % of total</t>
  </si>
  <si>
    <t>U.S. net revenue, prior year</t>
  </si>
  <si>
    <t>10-K FY24 comparative (S8)</t>
  </si>
  <si>
    <t>U.S. % Y/Y (reported)</t>
  </si>
  <si>
    <t>U.S. revenue growth, reported</t>
  </si>
  <si>
    <t>Press releases (S3,S5,S7)</t>
  </si>
  <si>
    <t>U.S. revenue growth, organic</t>
  </si>
  <si>
    <t>S13 (1Q25), S11/S19 call (2Q25), S9 (3Q25), S7 (4Q25), S5 (1Q26)</t>
  </si>
  <si>
    <t>DTC growth by geography (disclosed)</t>
  </si>
  <si>
    <t>U.S. DTC growth, reported</t>
  </si>
  <si>
    <t>U.S. DTC growth, organic</t>
  </si>
  <si>
    <t>Europe DTC growth, reported</t>
  </si>
  <si>
    <t>Europe DTC growth, organic</t>
  </si>
  <si>
    <t>Asia DTC growth, reported</t>
  </si>
  <si>
    <t>Asia DTC growth, organic</t>
  </si>
  <si>
    <t>Share Count</t>
  </si>
  <si>
    <t>Shares in millions; $ millions, except per share</t>
  </si>
  <si>
    <t>Shares outstanding (period end)</t>
  </si>
  <si>
    <t>Class A common shares outstanding</t>
  </si>
  <si>
    <t>Balance sheet share captions (S3,S5,S7,S9,S11,S13)</t>
  </si>
  <si>
    <t>Class B common shares outstanding</t>
  </si>
  <si>
    <t>Total shares outstanding</t>
  </si>
  <si>
    <t>3Q26E period-end count not modelled (n/a): ASR retirement (J36) is modelled, but period-end issuance is not; weighted issuance J38 is not a period-end figure</t>
  </si>
  <si>
    <t>Q/Q change (m)</t>
  </si>
  <si>
    <t>Shares out. 1-Jul-26 (10-Q cover)</t>
  </si>
  <si>
    <t>Q2 FY26 10-Q cover: 100,456,337 Class A + 284,394,225 Class B (S4)</t>
  </si>
  <si>
    <t>Weighted-average shares and EPS denominator</t>
  </si>
  <si>
    <t>Weighted-average basic shares</t>
  </si>
  <si>
    <t>Income statement share counts (S3,S5,S7,S9)</t>
  </si>
  <si>
    <t>Dilutive securities</t>
  </si>
  <si>
    <t>Weighted-average diluted shares</t>
  </si>
  <si>
    <t>Buybacks, ASR settlement and issuance</t>
  </si>
  <si>
    <t>Share repurchases incl. ASR ($)</t>
  </si>
  <si>
    <t>Linked from Cash Flow Statement</t>
  </si>
  <si>
    <t>Shares repurchased and retired (m)</t>
  </si>
  <si>
    <t>S9: ~5m (Q3 ASR initial); S7: 0.6m final, 7.2m FY25 total; S4: 7,789,679 initial ASR shares; 1Q25/2Q25 split not disclosed</t>
  </si>
  <si>
    <t>ASR notional (Jan-2026 agreement)</t>
  </si>
  <si>
    <t>S4 Note 2: $200.0m ASR, final settlement expected in Q3 2026</t>
  </si>
  <si>
    <t>ASR initial shares delivered (m)</t>
  </si>
  <si>
    <t>Assumed ASR price (VWAP less disc.)</t>
  </si>
  <si>
    <t>Forecast-only input (no history). Assumption: LEVI traded ~$19-26 over Feb-Aug 2026 (S21: 52-wk high ~$25.70; ~$19.8 at end-Sep)</t>
  </si>
  <si>
    <t>Implied total ASR shares (m)</t>
  </si>
  <si>
    <t>ASR final settlement shares (m)</t>
  </si>
  <si>
    <t>ASR settlement weighting in 3Q26</t>
  </si>
  <si>
    <t>Forecast-only input (no history). Assumption: settlement mid-quarter</t>
  </si>
  <si>
    <t>Net issuance, equity awards (m, wtd)</t>
  </si>
  <si>
    <t>Forecast-only input (no history). Assumption, in line with recent quarterly creep</t>
  </si>
  <si>
    <t>Dilutive securities assumption (m)</t>
  </si>
  <si>
    <t>Forecast-only input; history shown in "Dilutive securities" row above (Q2 FY26 3.6m, Q1 4.3m); lower share price reduces dilution</t>
  </si>
  <si>
    <t>Dividends and EPS</t>
  </si>
  <si>
    <t>Dividend declared per share</t>
  </si>
  <si>
    <t>S7/S9/S11/S13; 3Q26 $0.16 declared Jul-26 (S3); FY25 = sum of quarters ($0.54 reported)</t>
  </si>
  <si>
    <t>Dividends paid ($, cash flow)</t>
  </si>
  <si>
    <t>Identity: adj NI/shares - adj EPS</t>
  </si>
  <si>
    <t>Guidance - company outlook history</t>
  </si>
  <si>
    <t>Note: columns C-J below are table fields, not periods (period banner above is the workbook standard header)</t>
  </si>
  <si>
    <t>One row per guidance item (low/high as given; midpoint computed)</t>
  </si>
  <si>
    <t>Metric</t>
  </si>
  <si>
    <t>Date given</t>
  </si>
  <si>
    <t>Unit</t>
  </si>
  <si>
    <t>Low</t>
  </si>
  <si>
    <t>High</t>
  </si>
  <si>
    <t>Midpoint</t>
  </si>
  <si>
    <t>Actual / model</t>
  </si>
  <si>
    <t>Beat / miss</t>
  </si>
  <si>
    <t>Source / notes</t>
  </si>
  <si>
    <t>Adjusted diluted EPS</t>
  </si>
  <si>
    <t>2025-07-10</t>
  </si>
  <si>
    <t>3Q25</t>
  </si>
  <si>
    <t>$/sh</t>
  </si>
  <si>
    <t>S19 (Q2 FY25 call summary)</t>
  </si>
  <si>
    <t>Organic net revenue growth</t>
  </si>
  <si>
    <t>2025-10-09</t>
  </si>
  <si>
    <t>4Q25</t>
  </si>
  <si>
    <t>%</t>
  </si>
  <si>
    <t>S18: "approximately 1%"; point guide "approximately": in line if within rounding tolerance</t>
  </si>
  <si>
    <t>Reported net revenue growth</t>
  </si>
  <si>
    <t>S18: "down approximately 3%"; point guide "approximately": in line if within rounding tolerance</t>
  </si>
  <si>
    <t>bps</t>
  </si>
  <si>
    <t>S18: "contract approximately 100 bps"; point guide "approximately": in line if within rounding tolerance</t>
  </si>
  <si>
    <t>Adjusted EBIT margin</t>
  </si>
  <si>
    <t>S18</t>
  </si>
  <si>
    <t>FY25</t>
  </si>
  <si>
    <t>S9: "approximately 3%"; point guide "approximately": in line if within rounding tolerance</t>
  </si>
  <si>
    <t>S9</t>
  </si>
  <si>
    <t>2026-01-28</t>
  </si>
  <si>
    <t>1Q26</t>
  </si>
  <si>
    <t>S17</t>
  </si>
  <si>
    <t>S17: "down 140 bps to 12%"; point guide "approximately": in line if within rounding tolerance</t>
  </si>
  <si>
    <t>FY26</t>
  </si>
  <si>
    <t>S7/S17 (superseded)</t>
  </si>
  <si>
    <t>2026-04-07</t>
  </si>
  <si>
    <t>2Q26</t>
  </si>
  <si>
    <t>S16</t>
  </si>
  <si>
    <t>S5 (superseded)</t>
  </si>
  <si>
    <t>2026-07-08</t>
  </si>
  <si>
    <t>3Q26</t>
  </si>
  <si>
    <t>S15: reported and organic +4-5%, no FX benefit</t>
  </si>
  <si>
    <t>S15</t>
  </si>
  <si>
    <t>Gross margin (adjusted, ex refund)</t>
  </si>
  <si>
    <t>S15: ~61.8% incl. ~70bp FX headwind; point guide "approximately": in line if within rounding tolerance</t>
  </si>
  <si>
    <t>S15: ~11.9% (+10bp); point guide "approximately": in line if within rounding tolerance</t>
  </si>
  <si>
    <t>S15: incl. $0.02-0.03 tax/FX headwind</t>
  </si>
  <si>
    <t>S3</t>
  </si>
  <si>
    <t>S3; point guide "approximately": in line if within rounding tolerance</t>
  </si>
  <si>
    <t>Effective tax rate</t>
  </si>
  <si>
    <t>Guidance-implied 3Q26 figures and track record</t>
  </si>
  <si>
    <t>Implied 3Q26 revenue - low ($m)</t>
  </si>
  <si>
    <t>Implied 3Q26 revenue - high ($m)</t>
  </si>
  <si>
    <t>Implied 3Q26 revenue - midpoint ($m)</t>
  </si>
  <si>
    <t>Guidance midpoint adj. EPS</t>
  </si>
  <si>
    <t>Implied adj. NI at EPS midpoint</t>
  </si>
  <si>
    <t>Derived: EPS midpoint x model 3Q26E diluted shares (company does not guide net income)</t>
  </si>
  <si>
    <t>Avg EPS beat vs guide mid, 4 qtrs</t>
  </si>
  <si>
    <t>3Q25 +$0.05, 4Q25 +$0.04, 1Q26 +$0.055, 2Q26 +$0.05 vs midpoint</t>
  </si>
  <si>
    <t>CapIQ guidance (EPS low / high)</t>
  </si>
  <si>
    <t>Matches company 3Q26 guide $0.34-0.36</t>
  </si>
  <si>
    <t>Sources</t>
  </si>
  <si>
    <t>Source register (publication date; retrieval date; what each source feeds)</t>
  </si>
  <si>
    <t>Title</t>
  </si>
  <si>
    <t>ID</t>
  </si>
  <si>
    <t>Published</t>
  </si>
  <si>
    <t>Retrieved</t>
  </si>
  <si>
    <t>Publisher</t>
  </si>
  <si>
    <t>Feeds</t>
  </si>
  <si>
    <t>URL or file</t>
  </si>
  <si>
    <t>CapIQ consensus snapshot</t>
  </si>
  <si>
    <t>S1</t>
  </si>
  <si>
    <t>2026-10-04</t>
  </si>
  <si>
    <t>2026-10-05</t>
  </si>
  <si>
    <t>S&amp;P Capital IQ (supplied)</t>
  </si>
  <si>
    <t>Inputs; Cover consensus</t>
  </si>
  <si>
    <t>LEVI_consensus.json</t>
  </si>
  <si>
    <t>CapIQ EPS/revenue history</t>
  </si>
  <si>
    <t>S2</t>
  </si>
  <si>
    <t>Inputs; IS consensus history; calibration</t>
  </si>
  <si>
    <t>LEVI_history.csv</t>
  </si>
  <si>
    <t>Q2 FY26 release (8-K Ex.99.1)</t>
  </si>
  <si>
    <t>Levi Strauss &amp; Co. / SEC</t>
  </si>
  <si>
    <t>IS, BS, CF, segments, guidance</t>
  </si>
  <si>
    <t>https://www.sec.gov/Archives/edgar/data/94845/000009484526000038/exhibit991-2q2026pressrele.htm</t>
  </si>
  <si>
    <t>Q2 FY26 Form 10-Q</t>
  </si>
  <si>
    <t>S4</t>
  </si>
  <si>
    <t>Segment x channel, segment P&amp;L, ASR, IEEPA</t>
  </si>
  <si>
    <t>https://www.sec.gov/Archives/edgar/data/94845/000009484526000037/lvis-20260531.htm</t>
  </si>
  <si>
    <t>Q1 FY26 release (8-K Ex.99.1)</t>
  </si>
  <si>
    <t>S5</t>
  </si>
  <si>
    <t>https://www.sec.gov/Archives/edgar/data/94845/000009484526000021/exhibit991-1q2026pressrele.htm</t>
  </si>
  <si>
    <t>Q1 FY26 Form 10-Q</t>
  </si>
  <si>
    <t>S6</t>
  </si>
  <si>
    <t>Segment x channel, segment P&amp;L, stores</t>
  </si>
  <si>
    <t>https://www.sec.gov/Archives/edgar/data/94845/000009484526000020/lvis-20260301.htm</t>
  </si>
  <si>
    <t>Q4 FY25 release (8-K Ex.99.1)</t>
  </si>
  <si>
    <t>S7</t>
  </si>
  <si>
    <t>IS, BS, CF, FY25, guidance</t>
  </si>
  <si>
    <t>https://www.sec.gov/Archives/edgar/data/94845/000009484526000009/exhibit991-4q2025pressrele.htm</t>
  </si>
  <si>
    <t>FY25 Form 10-K (incl. R51/R55)</t>
  </si>
  <si>
    <t>S8</t>
  </si>
  <si>
    <t>FY25 seg. x channel, seg. P&amp;L, U.S./foreign, stores</t>
  </si>
  <si>
    <t>https://www.sec.gov/Archives/edgar/data/94845/000009484526000008/lvis-20251130.htm</t>
  </si>
  <si>
    <t>Q3 FY25 release (8-K Ex.99.1)</t>
  </si>
  <si>
    <t>3Q25 IS, BS, 9M CF, organic tables</t>
  </si>
  <si>
    <t>https://www.sec.gov/Archives/edgar/data/94845/000009484525000051/exhibit991-3q2025pressrele.htm</t>
  </si>
  <si>
    <t>Q3 FY25 Form 10-Q</t>
  </si>
  <si>
    <t>S10</t>
  </si>
  <si>
    <t>3Q25 segment x channel, segment OI, stores</t>
  </si>
  <si>
    <t>https://www.sec.gov/Archives/edgar/data/94845/000009484525000050/lvis-20250831.htm</t>
  </si>
  <si>
    <t>Q2 FY25 release (8-K Ex.99.1)</t>
  </si>
  <si>
    <t>S11</t>
  </si>
  <si>
    <t>2Q25 BS, PY values, organic tables</t>
  </si>
  <si>
    <t>https://www.sec.gov/Archives/edgar/data/94845/000009484525000037/exhibit991-2q2025pressrele.htm</t>
  </si>
  <si>
    <t>Q2 FY25 Form 10-Q</t>
  </si>
  <si>
    <t>S12</t>
  </si>
  <si>
    <t>2Q24 segment x channel, stores</t>
  </si>
  <si>
    <t>https://www.sec.gov/Archives/edgar/data/94845/000009484525000036/lvis-20250601.htm</t>
  </si>
  <si>
    <t>Q1 FY25 release (8-K/A Ex.99.1)</t>
  </si>
  <si>
    <t>S13</t>
  </si>
  <si>
    <t>2025-04-07</t>
  </si>
  <si>
    <t>1Q25 BS, PY values, organic tables</t>
  </si>
  <si>
    <t>https://www.sec.gov/Archives/edgar/data/94845/000009484525000023/exhibit.htm</t>
  </si>
  <si>
    <t>Q1 FY25 Form 10-Q</t>
  </si>
  <si>
    <t>S14</t>
  </si>
  <si>
    <t>1Q24 segment x channel, stores</t>
  </si>
  <si>
    <t>https://www.sec.gov/Archives/edgar/data/94845/000009484525000019/lvis-20250302.htm</t>
  </si>
  <si>
    <t>Q2 FY26 earnings call transcript</t>
  </si>
  <si>
    <t>StockAnalysis.com</t>
  </si>
  <si>
    <t>3Q26 guidance, drivers, tariffs</t>
  </si>
  <si>
    <t>https://stockanalysis.com/stocks/levi/transcripts/642826-q2-2026/</t>
  </si>
  <si>
    <t>Q1 FY26 earnings call transcript</t>
  </si>
  <si>
    <t>2026-04-08</t>
  </si>
  <si>
    <t>The Motley Fool</t>
  </si>
  <si>
    <t>2Q26 guidance</t>
  </si>
  <si>
    <t>https://www.fool.com/earnings/call-transcripts/2026/04/08/levi-strauss-levi-q1-2026-earnings-transcript/</t>
  </si>
  <si>
    <t>Q4 FY25 earnings call transcript</t>
  </si>
  <si>
    <t>1Q26/FY26 guidance</t>
  </si>
  <si>
    <t>https://www.fool.com/earnings/call-transcripts/2026/01/28/levi-strauss-levi-q4-2025-earnings-transcript/</t>
  </si>
  <si>
    <t>Q3 FY25 earnings call transcript</t>
  </si>
  <si>
    <t>2025-10-10</t>
  </si>
  <si>
    <t>4Q25 guidance</t>
  </si>
  <si>
    <t>https://www.fool.com/earnings/call-transcripts/2025/10/10/levi-strauss-levi-q3-2025-earnings-transcript/</t>
  </si>
  <si>
    <t>Q2 FY25 earnings call summary</t>
  </si>
  <si>
    <t>S19</t>
  </si>
  <si>
    <t>Alpha Spread</t>
  </si>
  <si>
    <t>3Q25 EPS guidance $0.28-0.30</t>
  </si>
  <si>
    <t>https://www.alphaspread.com/security/nyse/levi/investor-relations/earnings-call/q2-2025</t>
  </si>
  <si>
    <t>8-K 8.01 cybersecurity incident</t>
  </si>
  <si>
    <t>S20</t>
  </si>
  <si>
    <t>2026-08-07</t>
  </si>
  <si>
    <t>Risk review (not material)</t>
  </si>
  <si>
    <t>https://www.sec.gov/Archives/edgar/data/94845/000199937126017264/levi-8k_080726.htm</t>
  </si>
  <si>
    <t>Earnings Whispers 3Q preview</t>
  </si>
  <si>
    <t>2026-09-29</t>
  </si>
  <si>
    <t>Earnings Whispers</t>
  </si>
  <si>
    <t>Consensus, whisper, Hebron, sentiment</t>
  </si>
  <si>
    <t>https://wt11.earningswhispers.com/article/LEVI/20299</t>
  </si>
  <si>
    <t>Jefferies preview (via Proactive)</t>
  </si>
  <si>
    <t>2026-10-01</t>
  </si>
  <si>
    <t>Proactive Investors</t>
  </si>
  <si>
    <t>Peer estimate $0.36; upside bias</t>
  </si>
  <si>
    <t>https://www.proactiveinvestors.com/companies/news/1099480/levi-s-set-for-solid-third-quarter-on-healthy-denim-demand-jefferies-says-1099480.html</t>
  </si>
  <si>
    <t>UBS note (via Proactive)</t>
  </si>
  <si>
    <t>S23</t>
  </si>
  <si>
    <t>2026-09-23</t>
  </si>
  <si>
    <t>US web visits +39% Y/Y in Q3; tariff upside</t>
  </si>
  <si>
    <t>https://www.proactiveinvestors.com/companies/news/1098997/levi-s-could-raise-earnings-guidance-on-stronger-topline-ubs-says-1098997.html</t>
  </si>
  <si>
    <t>Stifel PT cut (Investing.com)</t>
  </si>
  <si>
    <t>S24</t>
  </si>
  <si>
    <t>Investing.com</t>
  </si>
  <si>
    <t>Alt-data weakness, tough compare</t>
  </si>
  <si>
    <t>https://ng.investing.com/news/stock-market-news/stifel-lowers-levi-strauss-stock-price-target-on-revenue-concerns-93CH-2717400</t>
  </si>
  <si>
    <t>Zacks Q3 countdown (via Yahoo)</t>
  </si>
  <si>
    <t>S25</t>
  </si>
  <si>
    <t>2026-10-02</t>
  </si>
  <si>
    <t>Yahoo Finance / Zacks</t>
  </si>
  <si>
    <t>Alternative consensus $0.36 / $1.61bn</t>
  </si>
  <si>
    <t>https://finance.yahoo.com/markets/stocks/articles/countdown-levi-strauss-levi-q3-121502920.html</t>
  </si>
  <si>
    <t>Gap Inc. Q2 FY26 results</t>
  </si>
  <si>
    <t>S26</t>
  </si>
  <si>
    <t>2026-08-27</t>
  </si>
  <si>
    <t>Gap Inc.</t>
  </si>
  <si>
    <t>Peer IEEPA refund treatment (excluded from adjusted); tariff rates</t>
  </si>
  <si>
    <t>https://www.gapinc.com/en-us/articles/2026/08/gap-inc-reports-second-quarter-fiscal-2026-results</t>
  </si>
  <si>
    <t>IEEPA refund tracker</t>
  </si>
  <si>
    <t>S27</t>
  </si>
  <si>
    <t>2026-09-24</t>
  </si>
  <si>
    <t>SimianX</t>
  </si>
  <si>
    <t>Peer refund treatment mix (TJX/VS excluded; Target kept)</t>
  </si>
  <si>
    <t>https://www.simianx.ai/stories/ieepa-tariff-refund-tracker-which-stocks-got-paid</t>
  </si>
  <si>
    <t>CBP launches CAPE Phase 2</t>
  </si>
  <si>
    <t>S28</t>
  </si>
  <si>
    <t>2026-07-29</t>
  </si>
  <si>
    <t>Thompson Hine LLP</t>
  </si>
  <si>
    <t>Refund timing (Phase 2 live 29-Jun-26)</t>
  </si>
  <si>
    <t>https://www.thompsonhine.com/insights/cbp-launches-phase-2-of-the-ieepa-tariff-refund-process-and-confirms-development-of-phase-3/</t>
  </si>
  <si>
    <t>Monthly avg. FX rates, Aug-2026</t>
  </si>
  <si>
    <t>S29</t>
  </si>
  <si>
    <t>2026-08-31</t>
  </si>
  <si>
    <t>Banque de France</t>
  </si>
  <si>
    <t>Europe FX assumption (EUR/USD Jun-Aug 26 avg ~1.151)</t>
  </si>
  <si>
    <t>https://www.banque-france.fr/en/statistics/rates-and-prices/exchange-rates-average-month-2026-08</t>
  </si>
  <si>
    <t>LEVI forecast page (2-Oct-26 price)</t>
  </si>
  <si>
    <t>S30</t>
  </si>
  <si>
    <t>Share price for market cap</t>
  </si>
  <si>
    <t>https://stockanalysis.com/stocks/levi/forecast/</t>
  </si>
  <si>
    <t>3Q26 webcast announcement</t>
  </si>
  <si>
    <t>S31</t>
  </si>
  <si>
    <t>Report date/time</t>
  </si>
  <si>
    <t>https://investors.levistrauss.com/news/financial-news/news-details/2026/Levi-Strauss--Co--to-Webcast-Third-Quarter-2026-Earnings-Conference-Call/default.aspx</t>
  </si>
  <si>
    <t>CFO appointment 8-K (30-Sep-26)</t>
  </si>
  <si>
    <t>S32</t>
  </si>
  <si>
    <t>2026-09-30</t>
  </si>
  <si>
    <t>Stock Titan (SEC 8-K)</t>
  </si>
  <si>
    <t>Context: Q3 still reported by H. Singh</t>
  </si>
  <si>
    <t>https://www.stocktitan.net/sec-filings/LEVI/8-k-levi-strauss-co-reports-material-event-2b28ba1b75bf.html</t>
  </si>
  <si>
    <t>Tariff double-recovery class actions</t>
  </si>
  <si>
    <t>S33</t>
  </si>
  <si>
    <t>2026-09-22</t>
  </si>
  <si>
    <t>The D&amp;O Diary</t>
  </si>
  <si>
    <t>Refund recognition risk</t>
  </si>
  <si>
    <t>https://www.dandodiary.com/2026/09/articles/tariffs/tariffs-and-the-continuing-wave-of-double-recovery-consumer-class-actions/</t>
  </si>
  <si>
    <t>Advance retail sales, August 2026</t>
  </si>
  <si>
    <t>S34</t>
  </si>
  <si>
    <t>2026-09-16</t>
  </si>
  <si>
    <t>U.S. Census Bureau</t>
  </si>
  <si>
    <t>Macro: Jun-Aug retail sales +6.0% Y/Y</t>
  </si>
  <si>
    <t>https://www.census.gov/retail/sales.html</t>
  </si>
  <si>
    <t>Coverage notes</t>
  </si>
  <si>
    <t>Omitted tabs</t>
  </si>
  <si>
    <t>None omitted: all standard tabs carry content (Geo built from 10-K FY25 U.S./foreign note and segment disclosure, 10-Q Q2 FY26 checked).</t>
  </si>
  <si>
    <t>Extra tab</t>
  </si>
  <si>
    <t>Inputs holds the raw CapIQ files (mandatory input embedding); consensus at cutoff is shown on the Cover.</t>
  </si>
  <si>
    <t>Target-quarter actuals</t>
  </si>
  <si>
    <t>Not encountered; no 3Q26 results used. All sources published before the 2026-10-04 22:22 UTC cutoff.</t>
  </si>
  <si>
    <t>Retrieval</t>
  </si>
  <si>
    <t>Web sources retrieved 2026-10-05 (UTC) via web_fetch / web search; every source was published on or before the cutoff, so post-cutoff retrieval is not leakage. No cutoff-time snapshots exist: dynamic pages (S21, S25, S30) may have changed after the cutoff (documented limitation; none feed EPS). CapIQ capture (S1/S2) has 2026-10-04 date precision only.</t>
  </si>
  <si>
    <t>Inputs - raw S&amp;P Capital IQ files</t>
  </si>
  <si>
    <t>As supplied (USD; per-share in USD; revenue/income in USD millions)</t>
  </si>
  <si>
    <t>LEVI_consensus.json - top-level fields (SHA256 87c36f45363caf65...)</t>
  </si>
  <si>
    <t>source</t>
  </si>
  <si>
    <t>S&amp;P Capital IQ</t>
  </si>
  <si>
    <t>Raw value as supplied</t>
  </si>
  <si>
    <t>ticker</t>
  </si>
  <si>
    <t>LEVI</t>
  </si>
  <si>
    <t>company</t>
  </si>
  <si>
    <t>fiscal_period</t>
  </si>
  <si>
    <t>Q3 FY2026</t>
  </si>
  <si>
    <t>period_end_date</t>
  </si>
  <si>
    <t>2026-08-30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</si>
  <si>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</si>
  <si>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</si>
  <si>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</si>
  <si>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</si>
  <si>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</si>
  <si>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</si>
  <si>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</si>
  <si>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</si>
  <si>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</si>
  <si>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</si>
  <si>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</si>
  <si>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</si>
  <si>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</si>
  <si>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LEVI_consensus.json - summary_row (full raw row; blank = missing in source)</t>
  </si>
  <si>
    <t>company_name</t>
  </si>
  <si>
    <t>exchange_ticker</t>
  </si>
  <si>
    <t>NYSE:LEVI</t>
  </si>
  <si>
    <t>capiq_company_id</t>
  </si>
  <si>
    <t>sp500_member</t>
  </si>
  <si>
    <t>N</t>
  </si>
  <si>
    <t>market_cap_usd_m</t>
  </si>
  <si>
    <t>Missing in source - left blank (unavailable)</t>
  </si>
  <si>
    <t>fiscal_quarter</t>
  </si>
  <si>
    <t>FQ3 2026 - Aug 2026</t>
  </si>
  <si>
    <t>quarter_end_date</t>
  </si>
  <si>
    <t>CapIQ month-end label; fiscal quarter ends Sunday 30-Aug-2026 (period_end_date C15 is used by the model). History labels B101:B106 are likewise month-end conventions mapped to fiscal Sundays</t>
  </si>
  <si>
    <t>expected_report_date</t>
  </si>
  <si>
    <t>2026-10-06</t>
  </si>
  <si>
    <t>CapIQ field; company announced 2026-10-07 after close (S31), which the Cover uses</t>
  </si>
  <si>
    <t>fiscal_year_end</t>
  </si>
  <si>
    <t>Nov-30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</si>
  <si>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</si>
  <si>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</si>
  <si>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</si>
  <si>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</si>
  <si>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</si>
  <si>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</si>
  <si>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</si>
  <si>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</si>
  <si>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</si>
  <si>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</si>
  <si>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</si>
  <si>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</si>
  <si>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</si>
  <si>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</si>
  <si>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</si>
  <si>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</si>
  <si>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</si>
  <si>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</si>
  <si>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</si>
  <si>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</si>
  <si>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</si>
  <si>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</si>
  <si>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</si>
  <si>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</si>
  <si>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</si>
  <si>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</si>
  <si>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</si>
  <si>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</si>
  <si>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</si>
  <si>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</si>
  <si>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</si>
  <si>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</si>
  <si>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</si>
  <si>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</si>
  <si>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</si>
  <si>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</si>
  <si>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</si>
  <si>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</si>
  <si>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</si>
  <si>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</si>
  <si>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</si>
  <si>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</si>
  <si>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</si>
  <si>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</si>
  <si>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</si>
  <si>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</si>
  <si>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</si>
  <si>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</si>
  <si>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Embedded raw only - not used (target-price columns flagged as malformed)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</si>
  <si>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</si>
  <si>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</si>
  <si>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</si>
  <si>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</si>
  <si>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</si>
  <si>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</si>
  <si>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</si>
  <si>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</si>
  <si>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</si>
  <si>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</si>
  <si>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units</t>
  </si>
  <si>
    <t>per-share in USD; revenue and income in USD millions</t>
  </si>
  <si>
    <t>estimates_captured_at</t>
  </si>
  <si>
    <t>notes</t>
  </si>
  <si>
    <t>LEVI_history.csv - six raw rows (SHA256 df43900056d2ac7a...)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</si>
  <si>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</si>
  <si>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</si>
  <si>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</si>
  <si>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</si>
  <si>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</si>
  <si>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</si>
  <si>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</si>
  <si>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2025-02-28</t>
  </si>
  <si>
    <t>Maps to 1Q25A (Income Statement consensus-history rows)</t>
  </si>
  <si>
    <t>2025-05-31</t>
  </si>
  <si>
    <t>Maps to 2Q25A (Income Statement consensus-history rows)</t>
  </si>
  <si>
    <t>2025-08-31</t>
  </si>
  <si>
    <t>Maps to 3Q25A (Income Statement consensus-history rows)</t>
  </si>
  <si>
    <t>2025-11-30</t>
  </si>
  <si>
    <t>Maps to 4Q25A (Income Statement consensus-history rows)</t>
  </si>
  <si>
    <t>2026-02-28</t>
  </si>
  <si>
    <t>Maps to 1Q26A (Income Statement consensus-history rows)</t>
  </si>
  <si>
    <t>2026-05-31</t>
  </si>
  <si>
    <t>Maps to 2Q26A (Income Statement consensus-history rows)</t>
  </si>
  <si>
    <t>Target-quarter (3Q26) actuals</t>
  </si>
  <si>
    <t>Absent by design - not in file, not used</t>
  </si>
</sst>
</file>

<file path=xl/styles.xml><?xml version="1.0" encoding="utf-8"?>
<styleSheet xmlns="http://schemas.openxmlformats.org/spreadsheetml/2006/main">
  <numFmts count="11">
    <numFmt numFmtId="164" formatCode="@"/>
    <numFmt numFmtId="165" formatCode="0.0%_);(0.0%);–_)"/>
    <numFmt numFmtId="166" formatCode="#,##0.0_);(#,##0.0);–_)"/>
    <numFmt numFmtId="167" formatCode="$0.00"/>
    <numFmt numFmtId="168" formatCode="0"/>
    <numFmt numFmtId="169" formatCode="yyyy-mm-dd"/>
    <numFmt numFmtId="170" formatCode="General"/>
    <numFmt numFmtId="171" formatCode="#,##0_);(#,##0);–_)"/>
    <numFmt numFmtId="172" formatCode="$#,##0.00"/>
    <numFmt numFmtId="173" formatCode="0.0x"/>
    <numFmt numFmtId="174" formatCode="0.0%"/>
  </numFmts>
  <fonts count="24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595959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1"/>
      <color rgb="FF0000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595959"/>
      <name val="Arial"/>
    </font>
    <font>
      <b val="0"/>
      <i val="0"/>
      <strike val="0"/>
      <sz val="10"/>
      <color rgb="FF595959"/>
      <name val="Arial"/>
    </font>
    <font>
      <b/>
      <i val="0"/>
      <strike val="0"/>
      <sz val="10"/>
      <color rgb="FF0061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5">
    <border>
      <left/>
      <right/>
      <top/>
      <bottom/>
      <diagonal/>
    </border>
    <border>
      <top style="thin">
        <color rgb="FF808080"/>
      </top>
    </border>
    <border>
      <top style="thin">
        <color rgb="FF00000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111">
    <xf numFmtId="0" fontId="0" fillId="0" borderId="0" xfId="0"/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 indent="2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0" fontId="5" fillId="2" borderId="1" xfId="0" applyFont="1" applyFill="1" applyBorder="1" applyAlignment="1" applyProtection="1">
      <alignment horizontal="general" vertical="bottom"/>
      <protection locked="1" hidden="0"/>
    </xf>
    <xf numFmtId="166" fontId="7" fillId="0" borderId="0" xfId="0" applyNumberFormat="1" applyFont="1" applyFill="1" applyAlignment="1" applyProtection="1">
      <alignment horizontal="right" vertical="bottom"/>
      <protection locked="1" hidden="0"/>
    </xf>
    <xf numFmtId="166" fontId="8" fillId="0" borderId="0" xfId="0" applyNumberFormat="1" applyFont="1" applyFill="1" applyAlignment="1" applyProtection="1">
      <alignment horizontal="right" vertical="bottom"/>
      <protection locked="1" hidden="0"/>
    </xf>
    <xf numFmtId="166" fontId="5" fillId="0" borderId="2" xfId="0" applyNumberFormat="1" applyFont="1" applyFill="1" applyBorder="1" applyAlignment="1" applyProtection="1">
      <alignment horizontal="right" vertical="bottom"/>
      <protection locked="1" hidden="0"/>
    </xf>
    <xf numFmtId="168" fontId="1" fillId="2" borderId="3" xfId="0" applyNumberFormat="1" applyFont="1" applyFill="1" applyBorder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Border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6" fontId="4" fillId="3" borderId="0" xfId="0" applyNumberFormat="1" applyFont="1" applyFill="1" applyAlignment="1" applyProtection="1">
      <alignment horizontal="right" vertical="bottom"/>
      <protection locked="1" hidden="0"/>
    </xf>
    <xf numFmtId="167" fontId="7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1"/>
      <protection locked="1" hidden="0"/>
    </xf>
    <xf numFmtId="0" fontId="5" fillId="2" borderId="1" xfId="0" applyFont="1" applyFill="1" applyBorder="1" applyAlignment="1" applyProtection="1">
      <alignment horizontal="lef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5" fillId="2" borderId="4" xfId="0" applyFont="1" applyFill="1" applyBorder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5" fontId="9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general" vertical="bottom"/>
      <protection locked="1" hidden="0"/>
    </xf>
    <xf numFmtId="165" fontId="7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1" xfId="0" applyFont="1" applyFill="1" applyBorder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6" fontId="10" fillId="0" borderId="2" xfId="0" applyNumberFormat="1" applyFont="1" applyFill="1" applyBorder="1" applyAlignment="1" applyProtection="1">
      <alignment horizontal="right" vertical="bottom"/>
      <protection locked="1" hidden="0"/>
    </xf>
    <xf numFmtId="166" fontId="5" fillId="3" borderId="2" xfId="0" applyNumberFormat="1" applyFont="1" applyFill="1" applyBorder="1" applyAlignment="1" applyProtection="1">
      <alignment horizontal="right" vertical="bottom"/>
      <protection locked="1" hidden="0"/>
    </xf>
    <xf numFmtId="169" fontId="1" fillId="3" borderId="0" xfId="0" applyNumberFormat="1" applyFont="1" applyFill="1" applyBorder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171" fontId="5" fillId="0" borderId="2" xfId="0" applyNumberFormat="1" applyFont="1" applyFill="1" applyBorder="1" applyAlignment="1" applyProtection="1">
      <alignment horizontal="right" vertical="bottom"/>
      <protection locked="1" hidden="0"/>
    </xf>
    <xf numFmtId="0" fontId="11" fillId="0" borderId="0" xfId="0" applyFont="1" applyFill="1" applyAlignment="1" applyProtection="1">
      <alignment horizontal="general" vertical="center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0" fontId="1" fillId="2" borderId="0" xfId="0" applyFont="1" applyFill="1" applyBorder="1" applyAlignment="1" applyProtection="1">
      <alignment horizontal="left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5" fontId="9" fillId="3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66" fontId="7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4" xfId="0" applyFont="1" applyFill="1" applyBorder="1" applyAlignment="1" applyProtection="1">
      <alignment horizontal="general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65" fontId="6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Border="1" applyAlignment="1" applyProtection="1">
      <alignment horizontal="general" vertical="bottom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168" fontId="1" fillId="2" borderId="3" xfId="0" applyNumberFormat="1" applyFont="1" applyFill="1" applyBorder="1" applyAlignment="1" applyProtection="1">
      <alignment horizontal="lef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67" fontId="8" fillId="0" borderId="0" xfId="0" applyNumberFormat="1" applyFont="1" applyFill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right" vertical="bottom"/>
      <protection locked="1" hidden="0"/>
    </xf>
    <xf numFmtId="174" fontId="5" fillId="0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68" fontId="1" fillId="3" borderId="3" xfId="0" applyNumberFormat="1" applyFont="1" applyFill="1" applyBorder="1" applyAlignment="1" applyProtection="1">
      <alignment horizontal="right" vertical="bottom"/>
      <protection locked="1" hidden="0"/>
    </xf>
    <xf numFmtId="0" fontId="14" fillId="0" borderId="0" xfId="0" applyFont="1" applyFill="1" applyAlignment="1" applyProtection="1">
      <alignment horizontal="general" vertical="bottom"/>
      <protection locked="1" hidden="0"/>
    </xf>
    <xf numFmtId="0" fontId="5" fillId="3" borderId="1" xfId="0" applyFont="1" applyFill="1" applyBorder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general" vertical="bottom"/>
      <protection locked="1" hidden="0"/>
    </xf>
    <xf numFmtId="173" fontId="4" fillId="0" borderId="0" xfId="0" applyNumberFormat="1" applyFont="1" applyFill="1" applyAlignment="1" applyProtection="1">
      <alignment horizontal="right" vertical="bottom"/>
      <protection locked="1" hidden="0"/>
    </xf>
    <xf numFmtId="168" fontId="1" fillId="2" borderId="3" xfId="0" applyNumberFormat="1" applyFont="1" applyFill="1" applyBorder="1" applyAlignment="1" applyProtection="1">
      <alignment horizontal="general" vertical="bottom"/>
      <protection locked="1" hidden="0"/>
    </xf>
    <xf numFmtId="171" fontId="10" fillId="0" borderId="2" xfId="0" applyNumberFormat="1" applyFont="1" applyFill="1" applyBorder="1" applyAlignment="1" applyProtection="1">
      <alignment horizontal="right" vertical="bottom"/>
      <protection locked="1" hidden="0"/>
    </xf>
    <xf numFmtId="171" fontId="5" fillId="3" borderId="2" xfId="0" applyNumberFormat="1" applyFont="1" applyFill="1" applyBorder="1" applyAlignment="1" applyProtection="1">
      <alignment horizontal="right" vertical="bottom"/>
      <protection locked="1" hidden="0"/>
    </xf>
    <xf numFmtId="170" fontId="7" fillId="0" borderId="0" xfId="0" applyNumberFormat="1" applyFont="1" applyFill="1" applyAlignment="1" applyProtection="1">
      <alignment horizontal="right" vertical="bottom"/>
      <protection locked="1" hidden="0"/>
    </xf>
    <xf numFmtId="170" fontId="7" fillId="0" borderId="0" xfId="0" applyNumberFormat="1" applyFont="1" applyFill="1" applyAlignment="1" applyProtection="1">
      <alignment horizontal="general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73" fontId="1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4" xfId="0" applyFont="1" applyFill="1" applyBorder="1" applyAlignment="1" applyProtection="1">
      <alignment horizontal="right" vertical="bottom" wrapText="1"/>
      <protection locked="1" hidden="0"/>
    </xf>
    <xf numFmtId="167" fontId="4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4" xfId="0" applyFont="1" applyFill="1" applyBorder="1" applyAlignment="1" applyProtection="1">
      <alignment horizontal="general" vertical="bottom" wrapText="1"/>
      <protection locked="1" hidden="0"/>
    </xf>
    <xf numFmtId="172" fontId="7" fillId="3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166" fontId="8" fillId="0" borderId="2" xfId="0" applyNumberFormat="1" applyFont="1" applyFill="1" applyBorder="1" applyAlignment="1" applyProtection="1">
      <alignment horizontal="right" vertical="bottom"/>
      <protection locked="1" hidden="0"/>
    </xf>
    <xf numFmtId="167" fontId="5" fillId="0" borderId="2" xfId="0" applyNumberFormat="1" applyFont="1" applyFill="1" applyBorder="1" applyAlignment="1" applyProtection="1">
      <alignment horizontal="right" vertical="bottom"/>
      <protection locked="1" hidden="0"/>
    </xf>
    <xf numFmtId="170" fontId="4" fillId="0" borderId="0" xfId="0" applyNumberFormat="1" applyFont="1" applyFill="1" applyAlignment="1" applyProtection="1">
      <alignment horizontal="right" vertical="bottom"/>
      <protection locked="1" hidden="0"/>
    </xf>
    <xf numFmtId="167" fontId="7" fillId="3" borderId="0" xfId="0" applyNumberFormat="1" applyFont="1" applyFill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7" fontId="5" fillId="3" borderId="2" xfId="0" applyNumberFormat="1" applyFont="1" applyFill="1" applyBorder="1" applyAlignment="1" applyProtection="1">
      <alignment horizontal="right" vertical="bottom"/>
      <protection locked="1" hidden="0"/>
    </xf>
    <xf numFmtId="166" fontId="8" fillId="3" borderId="2" xfId="0" applyNumberFormat="1" applyFont="1" applyFill="1" applyBorder="1" applyAlignment="1" applyProtection="1">
      <alignment horizontal="right" vertical="bottom"/>
      <protection locked="1" hidden="0"/>
    </xf>
    <xf numFmtId="171" fontId="7" fillId="3" borderId="0" xfId="0" applyNumberFormat="1" applyFont="1" applyFill="1" applyAlignment="1" applyProtection="1">
      <alignment horizontal="right" vertical="bottom"/>
      <protection locked="1" hidden="0"/>
    </xf>
    <xf numFmtId="170" fontId="4" fillId="3" borderId="0" xfId="0" applyNumberFormat="1" applyFont="1" applyFill="1" applyAlignment="1" applyProtection="1">
      <alignment horizontal="right" vertical="bottom"/>
      <protection locked="1" hidden="0"/>
    </xf>
    <xf numFmtId="16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5" fillId="2" borderId="4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6" fontId="18" fillId="0" borderId="0" xfId="0" applyNumberFormat="1" applyFont="1" applyFill="1" applyAlignment="1" applyProtection="1">
      <alignment horizontal="right" vertical="bottom"/>
      <protection locked="1" hidden="0"/>
    </xf>
    <xf numFmtId="170" fontId="1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18" fillId="0" borderId="0" xfId="0" applyNumberFormat="1" applyFont="1" applyFill="1" applyAlignment="1" applyProtection="1">
      <alignment horizontal="right" vertical="bottom"/>
      <protection locked="1" hidden="0"/>
    </xf>
    <xf numFmtId="0" fontId="21" fillId="0" borderId="0" xfId="0" applyFont="1" applyFill="1" applyAlignment="1" applyProtection="1">
      <alignment horizontal="general" vertical="bottom"/>
      <protection locked="1" hidden="0"/>
    </xf>
    <xf numFmtId="167" fontId="18" fillId="3" borderId="0" xfId="0" applyNumberFormat="1" applyFont="1" applyFill="1" applyAlignment="1" applyProtection="1">
      <alignment horizontal="right" vertical="bottom"/>
      <protection locked="1" hidden="0"/>
    </xf>
    <xf numFmtId="0" fontId="18" fillId="0" borderId="0" xfId="0" applyFont="1" applyFill="1" applyAlignment="1" applyProtection="1">
      <alignment horizontal="general" vertical="bottom"/>
      <protection locked="1" hidden="0"/>
    </xf>
    <xf numFmtId="166" fontId="18" fillId="3" borderId="0" xfId="0" applyNumberFormat="1" applyFont="1" applyFill="1" applyAlignment="1" applyProtection="1">
      <alignment horizontal="right" vertical="bottom"/>
      <protection locked="1" hidden="0"/>
    </xf>
    <xf numFmtId="164" fontId="18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1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0" fontId="22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7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showGridLines="0" tabSelected="1" workbookViewId="0"/>
  </sheetViews>
  <sheetFormatPr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 ht="49.5">
      <c r="A1" s="2"/>
      <c r="B1" s="40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95" t="s">
        <v>16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17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/>
      <c r="B11" s="2" t="s">
        <v>18</v>
      </c>
      <c r="C11" s="1" t="s">
        <v>19</v>
      </c>
      <c r="D11" s="1"/>
      <c r="E11" s="1"/>
      <c r="F11" s="1"/>
      <c r="G11" s="1"/>
      <c r="H11" s="1"/>
      <c r="I11" s="1"/>
      <c r="J11" s="1"/>
      <c r="K11" s="2"/>
      <c r="L11" s="2"/>
    </row>
    <row r="12">
      <c r="A12" s="2"/>
      <c r="B12" s="2" t="s">
        <v>20</v>
      </c>
      <c r="C12" s="1" t="s">
        <v>21</v>
      </c>
      <c r="D12" s="1"/>
      <c r="E12" s="1"/>
      <c r="F12" s="1"/>
      <c r="G12" s="1"/>
      <c r="H12" s="1"/>
      <c r="I12" s="1"/>
      <c r="J12" s="1"/>
      <c r="K12" s="2"/>
      <c r="L12" s="2"/>
    </row>
    <row r="13">
      <c r="A13" s="2"/>
      <c r="B13" s="2" t="s">
        <v>22</v>
      </c>
      <c r="C13" s="1" t="s">
        <v>23</v>
      </c>
      <c r="D13" s="1"/>
      <c r="E13" s="1"/>
      <c r="F13" s="1"/>
      <c r="G13" s="1"/>
      <c r="H13" s="1"/>
      <c r="I13" s="1"/>
      <c r="J13" s="1"/>
      <c r="K13" s="2"/>
      <c r="L13" s="2"/>
    </row>
    <row r="14">
      <c r="A14" s="2"/>
      <c r="B14" s="2" t="s">
        <v>24</v>
      </c>
      <c r="C14" s="1" t="s">
        <v>25</v>
      </c>
      <c r="D14" s="1"/>
      <c r="E14" s="1"/>
      <c r="F14" s="1"/>
      <c r="G14" s="1"/>
      <c r="H14" s="1"/>
      <c r="I14" s="1"/>
      <c r="J14" s="1"/>
      <c r="K14" s="2"/>
      <c r="L14" s="2"/>
    </row>
    <row r="15">
      <c r="A15" s="2"/>
      <c r="B15" s="2" t="s">
        <v>26</v>
      </c>
      <c r="C15" s="1" t="s">
        <v>27</v>
      </c>
      <c r="D15" s="1"/>
      <c r="E15" s="1"/>
      <c r="F15" s="1"/>
      <c r="G15" s="1"/>
      <c r="H15" s="1"/>
      <c r="I15" s="1"/>
      <c r="J15" s="1"/>
      <c r="K15" s="2"/>
      <c r="L15" s="2"/>
    </row>
    <row r="16">
      <c r="A16" s="2"/>
      <c r="B16" s="2" t="s">
        <v>28</v>
      </c>
      <c r="C16" s="1" t="s">
        <v>29</v>
      </c>
      <c r="D16" s="1"/>
      <c r="E16" s="1"/>
      <c r="F16" s="1"/>
      <c r="G16" s="1"/>
      <c r="H16" s="1"/>
      <c r="I16" s="1"/>
      <c r="J16" s="1"/>
      <c r="K16" s="2"/>
      <c r="L16" s="2"/>
    </row>
    <row r="17">
      <c r="A17" s="2"/>
      <c r="B17" s="2" t="s">
        <v>30</v>
      </c>
      <c r="C17" s="1" t="s">
        <v>31</v>
      </c>
      <c r="D17" s="1"/>
      <c r="E17" s="1"/>
      <c r="F17" s="1"/>
      <c r="G17" s="1"/>
      <c r="H17" s="1"/>
      <c r="I17" s="1"/>
      <c r="J17" s="1"/>
      <c r="K17" s="2"/>
      <c r="L17" s="2"/>
    </row>
    <row r="18">
      <c r="A18" s="2"/>
      <c r="B18" s="2" t="s">
        <v>32</v>
      </c>
      <c r="C18" s="1" t="s">
        <v>33</v>
      </c>
      <c r="D18" s="1"/>
      <c r="E18" s="1"/>
      <c r="F18" s="1"/>
      <c r="G18" s="1"/>
      <c r="H18" s="1"/>
      <c r="I18" s="1"/>
      <c r="J18" s="1"/>
      <c r="K18" s="2"/>
      <c r="L18" s="2"/>
    </row>
    <row r="19">
      <c r="A19" s="2"/>
      <c r="B19" s="2" t="s">
        <v>34</v>
      </c>
      <c r="C19" s="1" t="s">
        <v>35</v>
      </c>
      <c r="D19" s="1"/>
      <c r="E19" s="1"/>
      <c r="F19" s="1"/>
      <c r="G19" s="1"/>
      <c r="H19" s="1"/>
      <c r="I19" s="1"/>
      <c r="J19" s="1"/>
      <c r="K19" s="2"/>
      <c r="L19" s="2"/>
    </row>
    <row r="20">
      <c r="A20" s="2"/>
      <c r="B20" s="2" t="s">
        <v>36</v>
      </c>
      <c r="C20" s="48">
        <f>Inputs!C92</f>
        <v>19.87</v>
      </c>
      <c r="D20" s="45"/>
      <c r="E20" s="45"/>
      <c r="F20" s="45"/>
      <c r="G20" s="45"/>
      <c r="H20" s="45"/>
      <c r="I20" s="45"/>
      <c r="J20" s="45"/>
      <c r="K20" s="4" t="s">
        <v>37</v>
      </c>
      <c r="L20" s="2"/>
    </row>
    <row r="21">
      <c r="A21" s="2"/>
      <c r="B21" s="2" t="s">
        <v>38</v>
      </c>
      <c r="C21" s="16">
        <f>'Share Count'!I16</f>
        <v>384.850562</v>
      </c>
      <c r="D21" s="7"/>
      <c r="E21" s="7"/>
      <c r="F21" s="7"/>
      <c r="G21" s="7"/>
      <c r="H21" s="7"/>
      <c r="I21" s="7"/>
      <c r="J21" s="7"/>
      <c r="K21" s="4" t="s">
        <v>39</v>
      </c>
      <c r="L21" s="2"/>
    </row>
    <row r="22">
      <c r="A22" s="2"/>
      <c r="B22" s="47" t="s">
        <v>40</v>
      </c>
      <c r="C22" s="33">
        <f>C20*C21</f>
        <v>7646.98066694</v>
      </c>
      <c r="D22" s="33"/>
      <c r="E22" s="33"/>
      <c r="F22" s="33"/>
      <c r="G22" s="33"/>
      <c r="H22" s="33"/>
      <c r="I22" s="33"/>
      <c r="J22" s="33"/>
      <c r="K22" s="4" t="s">
        <v>41</v>
      </c>
      <c r="L22" s="2"/>
    </row>
    <row r="23">
      <c r="A23" s="2"/>
      <c r="B23" s="2" t="s">
        <v>42</v>
      </c>
      <c r="C23" s="92" t="str">
        <f>Inputs!C31</f>
        <v>N</v>
      </c>
      <c r="D23" s="1"/>
      <c r="E23" s="1"/>
      <c r="F23" s="1"/>
      <c r="G23" s="1"/>
      <c r="H23" s="1"/>
      <c r="I23" s="1"/>
      <c r="J23" s="1"/>
      <c r="K23" s="4" t="s">
        <v>43</v>
      </c>
      <c r="L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A25" s="2"/>
      <c r="B25" s="50" t="s">
        <v>44</v>
      </c>
      <c r="C25" s="24" t="s">
        <v>45</v>
      </c>
      <c r="D25" s="24" t="s">
        <v>46</v>
      </c>
      <c r="E25" s="24" t="s">
        <v>47</v>
      </c>
      <c r="F25" s="24" t="s">
        <v>48</v>
      </c>
      <c r="G25" s="24" t="s">
        <v>49</v>
      </c>
      <c r="H25" s="24" t="s">
        <v>50</v>
      </c>
      <c r="I25" s="24" t="s">
        <v>51</v>
      </c>
      <c r="J25" s="24"/>
      <c r="K25" s="50" t="s">
        <v>52</v>
      </c>
      <c r="L25" s="2"/>
    </row>
    <row r="26">
      <c r="A26" s="2"/>
      <c r="B26" s="47" t="s">
        <v>53</v>
      </c>
      <c r="C26" s="13">
        <f>'Income Statement'!J11</f>
        <v>1634.2860699999999</v>
      </c>
      <c r="D26" s="13">
        <f>Inputs!C54</f>
        <v>1616.65</v>
      </c>
      <c r="E26" s="33">
        <f>C26-D26</f>
        <v>17.63606999999979</v>
      </c>
      <c r="F26" s="13">
        <f>Guidance!C44</f>
        <v>1612.853</v>
      </c>
      <c r="G26" s="33">
        <f>C26-F26</f>
        <v>21.433069999999816</v>
      </c>
      <c r="H26" s="33"/>
      <c r="I26" s="33"/>
      <c r="J26" s="33"/>
      <c r="K26" s="4" t="s">
        <v>54</v>
      </c>
      <c r="L26" s="2"/>
    </row>
    <row r="27">
      <c r="A27" s="2"/>
      <c r="B27" s="21" t="s">
        <v>55</v>
      </c>
      <c r="C27" s="5"/>
      <c r="D27" s="5"/>
      <c r="E27" s="5">
        <f>IFERROR(C26/D26-1,"n/a")</f>
        <v>0.010909021742492087</v>
      </c>
      <c r="F27" s="5"/>
      <c r="G27" s="5">
        <f>IFERROR(C26/F26-1,"n/a")</f>
        <v>0.013288917216881968</v>
      </c>
      <c r="H27" s="5"/>
      <c r="I27" s="5"/>
      <c r="J27" s="5"/>
      <c r="K27" s="2"/>
      <c r="L27" s="2"/>
    </row>
    <row r="28">
      <c r="A28" s="2"/>
      <c r="B28" s="47" t="s">
        <v>56</v>
      </c>
      <c r="C28" s="13">
        <f>'Income Statement'!J82</f>
        <v>144.60550981799994</v>
      </c>
      <c r="D28" s="13">
        <f>Inputs!C67</f>
        <v>138.62</v>
      </c>
      <c r="E28" s="33">
        <f>C28-D28</f>
        <v>5.98550981799994</v>
      </c>
      <c r="F28" s="13">
        <f>Guidance!C46</f>
        <v>135.7990588340909</v>
      </c>
      <c r="G28" s="33">
        <f>C28-F28</f>
        <v>8.80645098390903</v>
      </c>
      <c r="H28" s="33"/>
      <c r="I28" s="33"/>
      <c r="J28" s="33"/>
      <c r="K28" s="4" t="s">
        <v>57</v>
      </c>
      <c r="L28" s="2"/>
    </row>
    <row r="29">
      <c r="A29" s="2"/>
      <c r="B29" s="21" t="s">
        <v>55</v>
      </c>
      <c r="C29" s="5"/>
      <c r="D29" s="5"/>
      <c r="E29" s="5">
        <f>IFERROR(C28/D28-1,"n/a")</f>
        <v>0.043179265748087836</v>
      </c>
      <c r="F29" s="5"/>
      <c r="G29" s="5">
        <f>IFERROR(C28/F28-1,"n/a")</f>
        <v>0.06484913120545333</v>
      </c>
      <c r="H29" s="5"/>
      <c r="I29" s="5"/>
      <c r="J29" s="5"/>
      <c r="K29" s="2"/>
      <c r="L29" s="2"/>
    </row>
    <row r="30">
      <c r="A30" s="2"/>
      <c r="B30" s="47" t="s">
        <v>58</v>
      </c>
      <c r="C30" s="57">
        <f>'Income Statement'!J89</f>
        <v>0.37269719592190864</v>
      </c>
      <c r="D30" s="57">
        <f>Inputs!C38</f>
        <v>0.36</v>
      </c>
      <c r="E30" s="38">
        <f>C30-D30</f>
        <v>0.012697195921908655</v>
      </c>
      <c r="F30" s="57">
        <f>Guidance!C45</f>
        <v>0.35</v>
      </c>
      <c r="G30" s="38">
        <f>C30-F30</f>
        <v>0.022697195921908664</v>
      </c>
      <c r="H30" s="110">
        <f>'Income Statement'!J172</f>
        <v>0.4322336910155723</v>
      </c>
      <c r="I30" s="38">
        <f>H30-C30</f>
        <v>0.059536495093663655</v>
      </c>
      <c r="J30" s="38"/>
      <c r="K30" s="4" t="s">
        <v>59</v>
      </c>
      <c r="L30" s="2"/>
    </row>
    <row r="31">
      <c r="A31" s="2"/>
      <c r="B31" s="21" t="s">
        <v>55</v>
      </c>
      <c r="C31" s="5"/>
      <c r="D31" s="5"/>
      <c r="E31" s="5">
        <f>IFERROR(C30/D30-1,"n/a")</f>
        <v>0.03526998867196851</v>
      </c>
      <c r="F31" s="5"/>
      <c r="G31" s="5">
        <f>IFERROR(C30/F30-1,"n/a")</f>
        <v>0.06484913120545333</v>
      </c>
      <c r="H31" s="5"/>
      <c r="I31" s="5"/>
      <c r="J31" s="5"/>
      <c r="K31" s="109" t="s">
        <v>60</v>
      </c>
      <c r="L31" s="2"/>
    </row>
    <row r="32">
      <c r="A32" s="2"/>
      <c r="B32" s="47" t="s">
        <v>61</v>
      </c>
      <c r="C32" s="57">
        <f>'Income Statement'!J68</f>
        <v>0.3979035561823429</v>
      </c>
      <c r="D32" s="57">
        <f>Inputs!C47</f>
        <v>0.36</v>
      </c>
      <c r="E32" s="38">
        <f>C32-D32</f>
        <v>0.03790355618234292</v>
      </c>
      <c r="F32" s="38" t="s">
        <v>62</v>
      </c>
      <c r="G32" s="38" t="s">
        <v>62</v>
      </c>
      <c r="H32" s="38"/>
      <c r="I32" s="38"/>
      <c r="J32" s="38"/>
      <c r="K32" s="4" t="s">
        <v>63</v>
      </c>
      <c r="L32" s="2"/>
    </row>
    <row r="33">
      <c r="A33" s="2"/>
      <c r="B33" s="21" t="s">
        <v>55</v>
      </c>
      <c r="C33" s="5"/>
      <c r="D33" s="5"/>
      <c r="E33" s="5">
        <f>IFERROR(C32/D32-1,"n/a")</f>
        <v>0.1052876560620637</v>
      </c>
      <c r="F33" s="5"/>
      <c r="G33" s="5" t="s">
        <v>62</v>
      </c>
      <c r="H33" s="5"/>
      <c r="I33" s="5"/>
      <c r="J33" s="5"/>
      <c r="K33" s="2"/>
      <c r="L33" s="2"/>
    </row>
    <row r="34">
      <c r="A34" s="2"/>
      <c r="B34" s="47" t="s">
        <v>64</v>
      </c>
      <c r="C34" s="93" t="str">
        <f>IF(AND(COUNTIFS('Revenue summary'!C47:I47,"&lt;&gt;0",'Revenue summary'!C47:I47,"&lt;&gt;n/a")=0,COUNTIFS('Revenue summary'!C145:I145,"&lt;&gt;0",'Revenue summary'!C145:I145,"&lt;&gt;n/a")=0,COUNTIFS('Balance Sheet'!C62:J62,"&lt;&gt;0",'Balance Sheet'!C62:J62,"&lt;&gt;n/a")=0,COUNTIFS('Cash Flow Statement'!C41:I41,"&lt;&gt;0",'Cash Flow Statement'!C41:I41,"&lt;&gt;n/a")=0,COUNTIFS('Cash Flow Statement'!C42:I42,"&lt;&gt;0",'Cash Flow Statement'!C42:I42,"&lt;&gt;n/a")=0,COUNTIFS('Cash Flow Statement'!C60:I60,"&lt;&gt;0",'Cash Flow Statement'!C60:I60,"&lt;&gt;n/a")=0,COUNTIFS('Cash Flow Statement'!G61:G61,"&lt;&gt;0",'Cash Flow Statement'!G61:G61,"&lt;&gt;n/a")=0,COUNTIF('Income Statement'!C71:I71,FALSE)=0,COUNTIFS('Income Statement'!C84:I84,"&lt;&gt;0",'Income Statement'!C84:I84,"&lt;&gt;n/a")=0,COUNTIFS('Income Statement'!C123:I123,"&lt;&gt;0",'Income Statement'!C123:I123,"&lt;&gt;n/a")=0,COUNTIFS('Income Statement'!C148:I148,"&lt;&gt;0",'Income Statement'!C148:I148,"&lt;&gt;n/a")=0,COUNTIFS('Income Statement'!C158:I158,"&lt;&gt;0",'Income Statement'!C158:I158,"&lt;&gt;n/a")=0,COUNTIFS('Income Statement'!C162:I162,"&lt;&gt;0",'Income Statement'!C162:I162,"&lt;&gt;n/a")=0,COUNTIFS('Income Statement'!G164:G164,"&lt;&gt;0",'Income Statement'!G164:G164,"&lt;&gt;n/a")=0,COUNTIFS('Income Statement'!G166:G166,"&lt;&gt;0",'Income Statement'!G166:G166,"&lt;&gt;n/a")=0,COUNTIFS('Income Statement'!G168:G168,"&lt;&gt;0",'Income Statement'!G168:G168,"&lt;&gt;n/a")=0),"PASS","FAIL")</f>
        <v>PASS</v>
      </c>
      <c r="D34" s="25"/>
      <c r="E34" s="25"/>
      <c r="F34" s="25"/>
      <c r="G34" s="25"/>
      <c r="H34" s="25"/>
      <c r="I34" s="25"/>
      <c r="J34" s="25"/>
      <c r="K34" s="4" t="s">
        <v>65</v>
      </c>
      <c r="L34" s="2"/>
    </row>
    <row r="35">
      <c r="A35" s="2"/>
      <c r="B35" s="47" t="s">
        <v>66</v>
      </c>
      <c r="C35" s="59">
        <f>C46</f>
        <v>0.7785714285714285</v>
      </c>
      <c r="D35" s="9"/>
      <c r="E35" s="9"/>
      <c r="F35" s="9"/>
      <c r="G35" s="9"/>
      <c r="H35" s="9"/>
      <c r="I35" s="9"/>
      <c r="J35" s="9"/>
      <c r="K35" s="4" t="s">
        <v>67</v>
      </c>
      <c r="L35" s="2"/>
    </row>
    <row r="36">
      <c r="A36" s="2"/>
      <c r="B36" s="47" t="s">
        <v>68</v>
      </c>
      <c r="C36" s="91" t="s">
        <v>69</v>
      </c>
      <c r="D36" s="25"/>
      <c r="E36" s="25"/>
      <c r="F36" s="25"/>
      <c r="G36" s="25"/>
      <c r="H36" s="25"/>
      <c r="I36" s="25"/>
      <c r="J36" s="25"/>
      <c r="K36" s="4" t="s">
        <v>70</v>
      </c>
      <c r="L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A38" s="2"/>
      <c r="B38" s="43" t="s">
        <v>71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2" t="s">
        <v>72</v>
      </c>
      <c r="C39" s="94" t="str">
        <f>IF(C22&lt;2000,"small",IF(C22&lt;=10000,"mid","large"))</f>
        <v>mid</v>
      </c>
      <c r="D39" s="1"/>
      <c r="E39" s="1"/>
      <c r="F39" s="1"/>
      <c r="G39" s="1"/>
      <c r="H39" s="1"/>
      <c r="I39" s="1"/>
      <c r="J39" s="1"/>
      <c r="K39" s="2"/>
      <c r="L39" s="2"/>
    </row>
    <row r="40">
      <c r="A40" s="2"/>
      <c r="B40" s="2" t="s">
        <v>73</v>
      </c>
      <c r="C40" s="6">
        <f>IF(OR(C39="large",C23="Y"),0.78,IF(C39="mid",0.7,0.6))</f>
        <v>0.7</v>
      </c>
      <c r="D40" s="6"/>
      <c r="E40" s="6"/>
      <c r="F40" s="6"/>
      <c r="G40" s="6"/>
      <c r="H40" s="6"/>
      <c r="I40" s="6"/>
      <c r="J40" s="6"/>
      <c r="K40" s="2"/>
      <c r="L40" s="2"/>
    </row>
    <row r="41">
      <c r="A41" s="2"/>
      <c r="B41" s="2" t="s">
        <v>74</v>
      </c>
      <c r="C41" s="62">
        <f>SUM('Income Statement'!C157:I157)</f>
        <v>6</v>
      </c>
      <c r="D41" s="30"/>
      <c r="E41" s="30"/>
      <c r="F41" s="30"/>
      <c r="G41" s="30"/>
      <c r="H41" s="30"/>
      <c r="I41" s="30"/>
      <c r="J41" s="30"/>
      <c r="K41" s="2"/>
      <c r="L41" s="2"/>
    </row>
    <row r="42">
      <c r="A42" s="2"/>
      <c r="B42" s="2" t="s">
        <v>75</v>
      </c>
      <c r="C42" s="62">
        <f>COUNT('Income Statement'!C157:I157)</f>
        <v>6</v>
      </c>
      <c r="D42" s="30"/>
      <c r="E42" s="30"/>
      <c r="F42" s="30"/>
      <c r="G42" s="30"/>
      <c r="H42" s="30"/>
      <c r="I42" s="30"/>
      <c r="J42" s="30"/>
      <c r="K42" s="2"/>
      <c r="L42" s="2"/>
    </row>
    <row r="43">
      <c r="A43" s="2"/>
      <c r="B43" s="2" t="s">
        <v>76</v>
      </c>
      <c r="C43" s="58">
        <v>8</v>
      </c>
      <c r="D43" s="30"/>
      <c r="E43" s="30"/>
      <c r="F43" s="30"/>
      <c r="G43" s="30"/>
      <c r="H43" s="30"/>
      <c r="I43" s="30"/>
      <c r="J43" s="30"/>
      <c r="K43" s="2"/>
      <c r="L43" s="2"/>
    </row>
    <row r="44">
      <c r="A44" s="2"/>
      <c r="B44" s="2" t="s">
        <v>77</v>
      </c>
      <c r="C44" s="6">
        <f>(C43*C40+C41)/(C43+C42)</f>
        <v>0.8285714285714285</v>
      </c>
      <c r="D44" s="6"/>
      <c r="E44" s="6"/>
      <c r="F44" s="6"/>
      <c r="G44" s="6"/>
      <c r="H44" s="6"/>
      <c r="I44" s="6"/>
      <c r="J44" s="6"/>
      <c r="K44" s="2"/>
      <c r="L44" s="2"/>
    </row>
    <row r="45">
      <c r="A45" s="2"/>
      <c r="B45" s="2" t="s">
        <v>78</v>
      </c>
      <c r="C45" s="28">
        <v>-0.05</v>
      </c>
      <c r="D45" s="6"/>
      <c r="E45" s="6"/>
      <c r="F45" s="6"/>
      <c r="G45" s="6"/>
      <c r="H45" s="6"/>
      <c r="I45" s="6"/>
      <c r="J45" s="6"/>
      <c r="K45" s="4" t="s">
        <v>79</v>
      </c>
      <c r="L45" s="2"/>
    </row>
    <row r="46">
      <c r="A46" s="2"/>
      <c r="B46" s="47" t="s">
        <v>80</v>
      </c>
      <c r="C46" s="9">
        <f>C44+C45</f>
        <v>0.7785714285714285</v>
      </c>
      <c r="D46" s="9"/>
      <c r="E46" s="9"/>
      <c r="F46" s="9"/>
      <c r="G46" s="9"/>
      <c r="H46" s="9"/>
      <c r="I46" s="9"/>
      <c r="J46" s="9"/>
      <c r="K46" s="2"/>
      <c r="L46" s="2"/>
    </row>
    <row r="47">
      <c r="A47" s="2"/>
      <c r="B47" s="2" t="s">
        <v>81</v>
      </c>
      <c r="C47" s="8">
        <f>AVERAGE('Income Statement'!C156:I156)</f>
        <v>0.05499999999999999</v>
      </c>
      <c r="D47" s="18"/>
      <c r="E47" s="18"/>
      <c r="F47" s="18"/>
      <c r="G47" s="18"/>
      <c r="H47" s="18"/>
      <c r="I47" s="18"/>
      <c r="J47" s="18"/>
      <c r="K47" s="4" t="s">
        <v>82</v>
      </c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43" t="s">
        <v>83</v>
      </c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 t="s">
        <v>84</v>
      </c>
      <c r="C50" s="20">
        <v>0.36</v>
      </c>
      <c r="D50" s="18"/>
      <c r="E50" s="18"/>
      <c r="F50" s="18"/>
      <c r="G50" s="18"/>
      <c r="H50" s="18"/>
      <c r="I50" s="18"/>
      <c r="J50" s="18"/>
      <c r="K50" s="4" t="s">
        <v>85</v>
      </c>
      <c r="L50" s="2"/>
    </row>
    <row r="51">
      <c r="A51" s="2"/>
      <c r="B51" s="2" t="s">
        <v>86</v>
      </c>
      <c r="C51" s="20">
        <v>0.39</v>
      </c>
      <c r="D51" s="18"/>
      <c r="E51" s="18"/>
      <c r="F51" s="18"/>
      <c r="G51" s="18"/>
      <c r="H51" s="18"/>
      <c r="I51" s="18"/>
      <c r="J51" s="18"/>
      <c r="K51" s="4" t="s">
        <v>87</v>
      </c>
      <c r="L51" s="2"/>
    </row>
    <row r="52">
      <c r="A52" s="2"/>
      <c r="B52" s="2" t="s">
        <v>88</v>
      </c>
      <c r="C52" s="20">
        <v>0.36</v>
      </c>
      <c r="D52" s="18"/>
      <c r="E52" s="18"/>
      <c r="F52" s="18"/>
      <c r="G52" s="18"/>
      <c r="H52" s="18"/>
      <c r="I52" s="18"/>
      <c r="J52" s="18"/>
      <c r="K52" s="4" t="s">
        <v>89</v>
      </c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0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90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91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92</v>
      </c>
      <c r="C11" s="16">
        <f>'Segment - Americas'!C27</f>
        <v>783</v>
      </c>
      <c r="D11" s="16">
        <f>'Segment - Americas'!D27</f>
        <v>748.4</v>
      </c>
      <c r="E11" s="16">
        <f>'Segment - Americas'!E27</f>
        <v>806.4</v>
      </c>
      <c r="F11" s="16">
        <f>'Segment - Americas'!F27</f>
        <v>959.2</v>
      </c>
      <c r="G11" s="16">
        <f>'Segment - Americas'!G27</f>
        <v>3297</v>
      </c>
      <c r="H11" s="16">
        <f>'Segment - Americas'!H27</f>
        <v>855.7</v>
      </c>
      <c r="I11" s="16">
        <f>'Segment - Americas'!I27</f>
        <v>815.5</v>
      </c>
      <c r="J11" s="19">
        <f>'Segment - Americas'!J27</f>
        <v>846.9984999999999</v>
      </c>
      <c r="K11" s="4" t="s">
        <v>93</v>
      </c>
      <c r="L11" s="2"/>
    </row>
    <row r="12">
      <c r="A12" s="2"/>
      <c r="B12" s="3" t="s">
        <v>94</v>
      </c>
      <c r="C12" s="10">
        <f>'Segment - Americas'!C34</f>
        <v>0.06414786626800772</v>
      </c>
      <c r="D12" s="10">
        <f>'Segment - Americas'!D34</f>
        <v>0.0508284189834316</v>
      </c>
      <c r="E12" s="10">
        <f>'Segment - Americas'!E34</f>
        <v>0.06497622820919169</v>
      </c>
      <c r="F12" s="10">
        <f>'Segment - Americas'!F34</f>
        <v>-0.036367289531846425</v>
      </c>
      <c r="G12" s="10">
        <f>'Segment - Americas'!G34</f>
        <v>0.030119352621383433</v>
      </c>
      <c r="H12" s="10">
        <f>'Segment - Americas'!H34</f>
        <v>0.09284802043422746</v>
      </c>
      <c r="I12" s="10">
        <f>'Segment - Americas'!I34</f>
        <v>0.08965793693212198</v>
      </c>
      <c r="J12" s="52">
        <f>'Segment - Americas'!J34</f>
        <v>0.05034536210317464</v>
      </c>
      <c r="K12" s="2"/>
      <c r="L12" s="2"/>
    </row>
    <row r="13">
      <c r="A13" s="2"/>
      <c r="B13" s="3" t="s">
        <v>95</v>
      </c>
      <c r="C13" s="5" t="s">
        <v>62</v>
      </c>
      <c r="D13" s="5">
        <f>IFERROR(IF(C11&lt;=0,"n/m",D11/C11-1),"n/a")</f>
        <v>-0.044189016602809716</v>
      </c>
      <c r="E13" s="5">
        <f>IFERROR(IF(D11&lt;=0,"n/m",E11/D11-1),"n/a")</f>
        <v>0.07749866381614101</v>
      </c>
      <c r="F13" s="5">
        <f>IFERROR(IF(E11&lt;=0,"n/m",F11/E11-1),"n/a")</f>
        <v>0.18948412698412698</v>
      </c>
      <c r="G13" s="5" t="s">
        <v>62</v>
      </c>
      <c r="H13" s="5">
        <f>IFERROR(IF(F11&lt;=0,"n/m",H11/F11-1),"n/a")</f>
        <v>-0.10790241868223516</v>
      </c>
      <c r="I13" s="5">
        <f>IFERROR(IF(H11&lt;=0,"n/m",I11/H11-1),"n/a")</f>
        <v>-0.0469790814537806</v>
      </c>
      <c r="J13" s="31">
        <f>IFERROR(IF(I11&lt;=0,"n/m",J11/I11-1),"n/a")</f>
        <v>0.03862477007970555</v>
      </c>
      <c r="K13" s="2"/>
      <c r="L13" s="2"/>
    </row>
    <row r="14">
      <c r="A14" s="2"/>
      <c r="B14" s="41" t="s">
        <v>96</v>
      </c>
      <c r="C14" s="7" t="s">
        <v>62</v>
      </c>
      <c r="D14" s="7">
        <f>IFERROR(D11-C11,"n/a")</f>
        <v>-34.60000000000002</v>
      </c>
      <c r="E14" s="7">
        <f>IFERROR(E11-D11,"n/a")</f>
        <v>58</v>
      </c>
      <c r="F14" s="7">
        <f>IFERROR(F11-E11,"n/a")</f>
        <v>152.80000000000007</v>
      </c>
      <c r="G14" s="7" t="s">
        <v>62</v>
      </c>
      <c r="H14" s="7">
        <f>IFERROR(H11-F11,"n/a")</f>
        <v>-103.5</v>
      </c>
      <c r="I14" s="7">
        <f>IFERROR(I11-H11,"n/a")</f>
        <v>-40.200000000000045</v>
      </c>
      <c r="J14" s="46">
        <f>IFERROR(J11-I11,"n/a")</f>
        <v>31.498499999999922</v>
      </c>
      <c r="K14" s="2"/>
      <c r="L14" s="2"/>
    </row>
    <row r="15">
      <c r="A15" s="2"/>
      <c r="B15" s="3" t="s">
        <v>97</v>
      </c>
      <c r="C15" s="5">
        <f>IFERROR(C11/C43,"n/a")</f>
        <v>0.5128373067854336</v>
      </c>
      <c r="D15" s="5">
        <f>IFERROR(D11/D43,"n/a")</f>
        <v>0.5175656984785615</v>
      </c>
      <c r="E15" s="5">
        <f>IFERROR(E11/E43,"n/a")</f>
        <v>0.5224828301153297</v>
      </c>
      <c r="F15" s="5">
        <f>IFERROR(F11/F43,"n/a")</f>
        <v>0.5432098765432097</v>
      </c>
      <c r="G15" s="5">
        <f>IFERROR(G11/G43,"n/a")</f>
        <v>0.5248328557784144</v>
      </c>
      <c r="H15" s="5">
        <f>IFERROR(H11/H43,"n/a")</f>
        <v>0.49107604017216644</v>
      </c>
      <c r="I15" s="5">
        <f>IFERROR(I11/I43,"n/a")</f>
        <v>0.5220870678617158</v>
      </c>
      <c r="J15" s="31">
        <f>IFERROR(J11/J43,"n/a")</f>
        <v>0.5182682001321837</v>
      </c>
      <c r="K15" s="2"/>
      <c r="L15" s="2"/>
    </row>
    <row r="16">
      <c r="A16" s="2"/>
      <c r="B16" s="3" t="s">
        <v>98</v>
      </c>
      <c r="C16" s="10">
        <f>'Segment - Americas'!C40</f>
        <v>-0.025550421310138627</v>
      </c>
      <c r="D16" s="10">
        <f>'Segment - Americas'!D40</f>
        <v>-0.021342319573153606</v>
      </c>
      <c r="E16" s="10">
        <f>'Segment - Americas'!E40</f>
        <v>-0.003037506603275224</v>
      </c>
      <c r="F16" s="10">
        <f>'Segment - Americas'!F40</f>
        <v>0.00954390194896524</v>
      </c>
      <c r="G16" s="10">
        <f>'Segment - Americas'!G40</f>
        <v>-0.008373429981878398</v>
      </c>
      <c r="H16" s="10">
        <f>'Segment - Americas'!H40</f>
        <v>0.02349936143039591</v>
      </c>
      <c r="I16" s="10">
        <f>'Segment - Americas'!I40</f>
        <v>0.02071084981293426</v>
      </c>
      <c r="J16" s="52">
        <f>'Segment - Americas'!J40</f>
        <v>0</v>
      </c>
      <c r="K16" s="2"/>
      <c r="L16" s="2"/>
    </row>
    <row r="17">
      <c r="A17" s="2"/>
      <c r="B17" s="3" t="s">
        <v>99</v>
      </c>
      <c r="C17" s="10">
        <f>'Segment - Americas'!C42</f>
        <v>-0.016917014180493628</v>
      </c>
      <c r="D17" s="10">
        <f>'Segment - Americas'!D42</f>
        <v>-0.013773314203730402</v>
      </c>
      <c r="E17" s="10">
        <f>'Segment - Americas'!E42</f>
        <v>-0.004238972049278145</v>
      </c>
      <c r="F17" s="10">
        <f>'Segment - Americas'!F42</f>
        <v>-0.06120011941486714</v>
      </c>
      <c r="G17" s="10">
        <f>'Segment - Americas'!G42</f>
        <v>-0.02720592987234627</v>
      </c>
      <c r="H17" s="10">
        <f>'Segment - Americas'!H42</f>
        <v>-0.002869977539306179</v>
      </c>
      <c r="I17" s="10">
        <f>'Segment - Americas'!I42</f>
        <v>0</v>
      </c>
      <c r="J17" s="52">
        <f>'Segment - Americas'!J42</f>
        <v>0</v>
      </c>
      <c r="K17" s="2"/>
      <c r="L17" s="2"/>
    </row>
    <row r="18">
      <c r="A18" s="2"/>
      <c r="B18" s="3" t="s">
        <v>100</v>
      </c>
      <c r="C18" s="10">
        <f>'Segment - Americas'!C43</f>
        <v>0.11084234490609002</v>
      </c>
      <c r="D18" s="10">
        <f>'Segment - Americas'!D43</f>
        <v>0.08874018038987486</v>
      </c>
      <c r="E18" s="10">
        <f>'Segment - Americas'!E43</f>
        <v>0.07276839164560323</v>
      </c>
      <c r="F18" s="10">
        <f>'Segment - Americas'!F43</f>
        <v>0.016747933008268046</v>
      </c>
      <c r="G18" s="10">
        <f>'Segment - Americas'!G43</f>
        <v>0.06787022331701942</v>
      </c>
      <c r="H18" s="10">
        <f>'Segment - Americas'!H43</f>
        <v>0.07082968339381801</v>
      </c>
      <c r="I18" s="10">
        <f>'Segment - Americas'!I43</f>
        <v>0.06754810839115089</v>
      </c>
      <c r="J18" s="52">
        <f>'Segment - Americas'!J43</f>
        <v>0.05034536210317464</v>
      </c>
      <c r="K18" s="2"/>
      <c r="L18" s="2"/>
    </row>
    <row r="19">
      <c r="A19" s="2"/>
      <c r="B19" s="2" t="s">
        <v>101</v>
      </c>
      <c r="C19" s="16">
        <f>'Segment - Europe'!C27</f>
        <v>400.5</v>
      </c>
      <c r="D19" s="16">
        <f>'Segment - Europe'!D27</f>
        <v>403.1</v>
      </c>
      <c r="E19" s="16">
        <f>'Segment - Europe'!E27</f>
        <v>426.3</v>
      </c>
      <c r="F19" s="16">
        <f>'Segment - Europe'!F27</f>
        <v>469.4000000000002</v>
      </c>
      <c r="G19" s="16">
        <f>'Segment - Europe'!G27</f>
        <v>1699.3000000000002</v>
      </c>
      <c r="H19" s="16">
        <f>'Segment - Europe'!H27</f>
        <v>496</v>
      </c>
      <c r="I19" s="16">
        <f>'Segment - Europe'!I27</f>
        <v>420.2</v>
      </c>
      <c r="J19" s="19">
        <f>'Segment - Europe'!J27</f>
        <v>448.41357000000005</v>
      </c>
      <c r="K19" s="4" t="s">
        <v>102</v>
      </c>
      <c r="L19" s="2"/>
    </row>
    <row r="20">
      <c r="A20" s="2"/>
      <c r="B20" s="3" t="s">
        <v>94</v>
      </c>
      <c r="C20" s="10">
        <f>'Segment - Europe'!C34</f>
        <v>-0.05430932703659974</v>
      </c>
      <c r="D20" s="10">
        <f>'Segment - Europe'!D34</f>
        <v>0.13966638394119313</v>
      </c>
      <c r="E20" s="10">
        <f>'Segment - Europe'!E34</f>
        <v>0.04845056566650263</v>
      </c>
      <c r="F20" s="10">
        <f>'Segment - Europe'!F34</f>
        <v>0.08131766873992219</v>
      </c>
      <c r="G20" s="10">
        <f>'Segment - Europe'!G34</f>
        <v>0.05031213301192916</v>
      </c>
      <c r="H20" s="10">
        <f>'Segment - Europe'!H34</f>
        <v>0.23845193508114848</v>
      </c>
      <c r="I20" s="10">
        <f>'Segment - Europe'!I34</f>
        <v>0.04242123542545273</v>
      </c>
      <c r="J20" s="52">
        <f>'Segment - Europe'!J34</f>
        <v>0.05187325826882483</v>
      </c>
      <c r="K20" s="2"/>
      <c r="L20" s="2"/>
    </row>
    <row r="21">
      <c r="A21" s="2"/>
      <c r="B21" s="3" t="s">
        <v>95</v>
      </c>
      <c r="C21" s="5" t="s">
        <v>62</v>
      </c>
      <c r="D21" s="5">
        <f>IFERROR(IF(C19&lt;=0,"n/m",D19/C19-1),"n/a")</f>
        <v>0.006491885143570686</v>
      </c>
      <c r="E21" s="5">
        <f>IFERROR(IF(D19&lt;=0,"n/m",E19/D19-1),"n/a")</f>
        <v>0.05755395683453224</v>
      </c>
      <c r="F21" s="5">
        <f>IFERROR(IF(E19&lt;=0,"n/m",F19/E19-1),"n/a")</f>
        <v>0.10110250996950554</v>
      </c>
      <c r="G21" s="5" t="s">
        <v>62</v>
      </c>
      <c r="H21" s="5">
        <f>IFERROR(IF(F19&lt;=0,"n/m",H19/F19-1),"n/a")</f>
        <v>0.05666808691947112</v>
      </c>
      <c r="I21" s="5">
        <f>IFERROR(IF(H19&lt;=0,"n/m",I19/H19-1),"n/a")</f>
        <v>-0.1528225806451613</v>
      </c>
      <c r="J21" s="31">
        <f>IFERROR(IF(I19&lt;=0,"n/m",J19/I19-1),"n/a")</f>
        <v>0.06714319371727773</v>
      </c>
      <c r="K21" s="2"/>
      <c r="L21" s="2"/>
    </row>
    <row r="22">
      <c r="A22" s="2"/>
      <c r="B22" s="41" t="s">
        <v>96</v>
      </c>
      <c r="C22" s="7" t="s">
        <v>62</v>
      </c>
      <c r="D22" s="7">
        <f>IFERROR(D19-C19,"n/a")</f>
        <v>2.6000000000000227</v>
      </c>
      <c r="E22" s="7">
        <f>IFERROR(E19-D19,"n/a")</f>
        <v>23.19999999999999</v>
      </c>
      <c r="F22" s="7">
        <f>IFERROR(F19-E19,"n/a")</f>
        <v>43.10000000000019</v>
      </c>
      <c r="G22" s="7" t="s">
        <v>62</v>
      </c>
      <c r="H22" s="7">
        <f>IFERROR(H19-F19,"n/a")</f>
        <v>26.599999999999795</v>
      </c>
      <c r="I22" s="7">
        <f>IFERROR(I19-H19,"n/a")</f>
        <v>-75.80000000000001</v>
      </c>
      <c r="J22" s="46">
        <f>IFERROR(J19-I19,"n/a")</f>
        <v>28.21357000000006</v>
      </c>
      <c r="K22" s="2"/>
      <c r="L22" s="2"/>
    </row>
    <row r="23">
      <c r="A23" s="2"/>
      <c r="B23" s="3" t="s">
        <v>97</v>
      </c>
      <c r="C23" s="5">
        <f>IFERROR(C19/C43,"n/a")</f>
        <v>0.2623133350799057</v>
      </c>
      <c r="D23" s="5">
        <f>IFERROR(D19/D43,"n/a")</f>
        <v>0.27876901798063625</v>
      </c>
      <c r="E23" s="5">
        <f>IFERROR(E19/E43,"n/a")</f>
        <v>0.2762083711286769</v>
      </c>
      <c r="F23" s="5">
        <f>IFERROR(F19/F43,"n/a")</f>
        <v>0.2658285196511497</v>
      </c>
      <c r="G23" s="5">
        <f>IFERROR(G19/G43,"n/a")</f>
        <v>0.2705030245144858</v>
      </c>
      <c r="H23" s="5">
        <f>IFERROR(H19/H43,"n/a")</f>
        <v>0.284648493543759</v>
      </c>
      <c r="I23" s="5">
        <f>IFERROR(I19/I43,"n/a")</f>
        <v>0.26901408450704223</v>
      </c>
      <c r="J23" s="31">
        <f>IFERROR(J19/J43,"n/a")</f>
        <v>0.27437887297173136</v>
      </c>
      <c r="K23" s="2"/>
      <c r="L23" s="2"/>
    </row>
    <row r="24">
      <c r="A24" s="2"/>
      <c r="B24" s="3" t="s">
        <v>98</v>
      </c>
      <c r="C24" s="10">
        <f>'Segment - Europe'!C40</f>
        <v>-0.04344746162927981</v>
      </c>
      <c r="D24" s="10">
        <f>'Segment - Europe'!D40</f>
        <v>0.02855527283008199</v>
      </c>
      <c r="E24" s="10">
        <f>'Segment - Europe'!E40</f>
        <v>0.07083128381701918</v>
      </c>
      <c r="F24" s="10">
        <f>'Segment - Europe'!F40</f>
        <v>0.0681870536742686</v>
      </c>
      <c r="G24" s="10">
        <f>'Segment - Europe'!G40</f>
        <v>0.03090425860683602</v>
      </c>
      <c r="H24" s="10">
        <f>'Segment - Europe'!H40</f>
        <v>0.12808988764044943</v>
      </c>
      <c r="I24" s="10">
        <f>'Segment - Europe'!I40</f>
        <v>0.050359712230215826</v>
      </c>
      <c r="J24" s="52">
        <f>'Segment - Europe'!J40</f>
        <v>-0.01</v>
      </c>
      <c r="K24" s="2"/>
      <c r="L24" s="2"/>
    </row>
    <row r="25">
      <c r="A25" s="2"/>
      <c r="B25" s="3" t="s">
        <v>99</v>
      </c>
      <c r="C25" s="10">
        <f>'Segment - Europe'!C42</f>
        <v>-0.03949642063687975</v>
      </c>
      <c r="D25" s="10">
        <f>'Segment - Europe'!D42</f>
        <v>-0.03353490929081915</v>
      </c>
      <c r="E25" s="10">
        <f>'Segment - Europe'!E42</f>
        <v>-0.05075792374827748</v>
      </c>
      <c r="F25" s="10">
        <f>'Segment - Europe'!F42</f>
        <v>-0.07763640284666795</v>
      </c>
      <c r="G25" s="10">
        <f>'Segment - Europe'!G42</f>
        <v>-0.05174171113376114</v>
      </c>
      <c r="H25" s="10">
        <f>'Segment - Europe'!H42</f>
        <v>0</v>
      </c>
      <c r="I25" s="10">
        <f>'Segment - Europe'!I42</f>
        <v>0</v>
      </c>
      <c r="J25" s="52">
        <f>'Segment - Europe'!J42</f>
        <v>0</v>
      </c>
      <c r="K25" s="2"/>
      <c r="L25" s="2"/>
    </row>
    <row r="26">
      <c r="A26" s="2"/>
      <c r="B26" s="3" t="s">
        <v>100</v>
      </c>
      <c r="C26" s="10">
        <f>'Segment - Europe'!C43</f>
        <v>0.029298380878951313</v>
      </c>
      <c r="D26" s="10">
        <f>'Segment - Europe'!D43</f>
        <v>0.14647326507394776</v>
      </c>
      <c r="E26" s="10">
        <f>'Segment - Europe'!E43</f>
        <v>0.0314541495281877</v>
      </c>
      <c r="F26" s="10">
        <f>'Segment - Europe'!F43</f>
        <v>0.09749824643441696</v>
      </c>
      <c r="G26" s="10">
        <f>'Segment - Europe'!G43</f>
        <v>0.07441831057157344</v>
      </c>
      <c r="H26" s="10">
        <f>'Segment - Europe'!H43</f>
        <v>0.09783089862771122</v>
      </c>
      <c r="I26" s="10">
        <f>'Segment - Europe'!I43</f>
        <v>-0.00755786490316479</v>
      </c>
      <c r="J26" s="52">
        <f>'Segment - Europe'!J43</f>
        <v>0.06249824067558074</v>
      </c>
      <c r="K26" s="2"/>
      <c r="L26" s="2"/>
    </row>
    <row r="27">
      <c r="A27" s="2"/>
      <c r="B27" s="2" t="s">
        <v>103</v>
      </c>
      <c r="C27" s="16">
        <f>'Segment - Asia'!C27</f>
        <v>308.1</v>
      </c>
      <c r="D27" s="16">
        <f>'Segment - Asia'!D27</f>
        <v>257.7</v>
      </c>
      <c r="E27" s="16">
        <f>'Segment - Asia'!E27</f>
        <v>277.7</v>
      </c>
      <c r="F27" s="16">
        <f>'Segment - Asia'!F27</f>
        <v>290.90000000000003</v>
      </c>
      <c r="G27" s="16">
        <f>'Segment - Asia'!G27</f>
        <v>1134.4</v>
      </c>
      <c r="H27" s="16">
        <f>'Segment - Asia'!H27</f>
        <v>347.5</v>
      </c>
      <c r="I27" s="16">
        <f>'Segment - Asia'!I27</f>
        <v>283.7</v>
      </c>
      <c r="J27" s="19">
        <f>'Segment - Asia'!J27</f>
        <v>301.429</v>
      </c>
      <c r="K27" s="4" t="s">
        <v>104</v>
      </c>
      <c r="L27" s="2"/>
    </row>
    <row r="28">
      <c r="A28" s="2"/>
      <c r="B28" s="3" t="s">
        <v>94</v>
      </c>
      <c r="C28" s="10">
        <f>'Segment - Asia'!C34</f>
        <v>0.06682825484764554</v>
      </c>
      <c r="D28" s="10">
        <f>'Segment - Asia'!D34</f>
        <v>-0.008846153846153837</v>
      </c>
      <c r="E28" s="10">
        <f>'Segment - Asia'!E34</f>
        <v>0.12383650343990293</v>
      </c>
      <c r="F28" s="10">
        <f>'Segment - Asia'!F34</f>
        <v>0.015357766143106577</v>
      </c>
      <c r="G28" s="10">
        <f>'Segment - Asia'!G34</f>
        <v>0.04804138950480419</v>
      </c>
      <c r="H28" s="10">
        <f>'Segment - Asia'!H34</f>
        <v>0.1278805582603051</v>
      </c>
      <c r="I28" s="10">
        <f>'Segment - Asia'!I34</f>
        <v>0.10089251067132321</v>
      </c>
      <c r="J28" s="52">
        <f>'Segment - Asia'!J34</f>
        <v>0.08544832553114867</v>
      </c>
      <c r="K28" s="2"/>
      <c r="L28" s="2"/>
    </row>
    <row r="29">
      <c r="A29" s="2"/>
      <c r="B29" s="3" t="s">
        <v>95</v>
      </c>
      <c r="C29" s="5" t="s">
        <v>62</v>
      </c>
      <c r="D29" s="5">
        <f>IFERROR(IF(C27&lt;=0,"n/m",D27/C27-1),"n/a")</f>
        <v>-0.16358325219084724</v>
      </c>
      <c r="E29" s="5">
        <f>IFERROR(IF(D27&lt;=0,"n/m",E27/D27-1),"n/a")</f>
        <v>0.07760962359332568</v>
      </c>
      <c r="F29" s="5">
        <f>IFERROR(IF(E27&lt;=0,"n/m",F27/E27-1),"n/a")</f>
        <v>0.047533309326611706</v>
      </c>
      <c r="G29" s="5" t="s">
        <v>62</v>
      </c>
      <c r="H29" s="5">
        <f>IFERROR(IF(F27&lt;=0,"n/m",H27/F27-1),"n/a")</f>
        <v>0.19456858026813317</v>
      </c>
      <c r="I29" s="5">
        <f>IFERROR(IF(H27&lt;=0,"n/m",I27/H27-1),"n/a")</f>
        <v>-0.1835971223021583</v>
      </c>
      <c r="J29" s="31">
        <f>IFERROR(IF(I27&lt;=0,"n/m",J27/I27-1),"n/a")</f>
        <v>0.06249206908706384</v>
      </c>
      <c r="K29" s="2"/>
      <c r="L29" s="2"/>
    </row>
    <row r="30">
      <c r="A30" s="2"/>
      <c r="B30" s="41" t="s">
        <v>96</v>
      </c>
      <c r="C30" s="7" t="s">
        <v>62</v>
      </c>
      <c r="D30" s="7">
        <f>IFERROR(D27-C27,"n/a")</f>
        <v>-50.400000000000034</v>
      </c>
      <c r="E30" s="7">
        <f>IFERROR(E27-D27,"n/a")</f>
        <v>20</v>
      </c>
      <c r="F30" s="7">
        <f>IFERROR(F27-E27,"n/a")</f>
        <v>13.200000000000045</v>
      </c>
      <c r="G30" s="7" t="s">
        <v>62</v>
      </c>
      <c r="H30" s="7">
        <f>IFERROR(H27-F27,"n/a")</f>
        <v>56.599999999999966</v>
      </c>
      <c r="I30" s="7">
        <f>IFERROR(I27-H27,"n/a")</f>
        <v>-63.80000000000001</v>
      </c>
      <c r="J30" s="46">
        <f>IFERROR(J27-I27,"n/a")</f>
        <v>17.728999999999985</v>
      </c>
      <c r="K30" s="2"/>
      <c r="L30" s="2"/>
    </row>
    <row r="31">
      <c r="A31" s="2"/>
      <c r="B31" s="3" t="s">
        <v>97</v>
      </c>
      <c r="C31" s="5">
        <f>IFERROR(C27/C43,"n/a")</f>
        <v>0.20179460309143307</v>
      </c>
      <c r="D31" s="5">
        <f>IFERROR(D27/D43,"n/a")</f>
        <v>0.17821576763485478</v>
      </c>
      <c r="E31" s="5">
        <f>IFERROR(E27/E43,"n/a")</f>
        <v>0.17992743294026176</v>
      </c>
      <c r="F31" s="5">
        <f>IFERROR(F27/F43,"n/a")</f>
        <v>0.16474119379318153</v>
      </c>
      <c r="G31" s="5">
        <f>IFERROR(G27/G43,"n/a")</f>
        <v>0.18057943330149634</v>
      </c>
      <c r="H31" s="5">
        <f>IFERROR(H27/H43,"n/a")</f>
        <v>0.1994261119081779</v>
      </c>
      <c r="I31" s="5">
        <f>IFERROR(I27/I43,"n/a")</f>
        <v>0.18162612035851472</v>
      </c>
      <c r="J31" s="31">
        <f>IFERROR(J27/J43,"n/a")</f>
        <v>0.1844407815334313</v>
      </c>
      <c r="K31" s="2"/>
      <c r="L31" s="2"/>
    </row>
    <row r="32">
      <c r="A32" s="2"/>
      <c r="B32" s="3" t="s">
        <v>98</v>
      </c>
      <c r="C32" s="10">
        <f>'Segment - Asia'!C40</f>
        <v>-0.030124653739612185</v>
      </c>
      <c r="D32" s="10">
        <f>'Segment - Asia'!D40</f>
        <v>-0.010384615384615384</v>
      </c>
      <c r="E32" s="10">
        <f>'Segment - Asia'!E40</f>
        <v>0.00040469445568595716</v>
      </c>
      <c r="F32" s="10">
        <f>'Segment - Asia'!F40</f>
        <v>-0.02617801047120419</v>
      </c>
      <c r="G32" s="10">
        <f>'Segment - Asia'!G40</f>
        <v>-0.01727642276422764</v>
      </c>
      <c r="H32" s="10">
        <f>'Segment - Asia'!H40</f>
        <v>0.0035702693930542034</v>
      </c>
      <c r="I32" s="10">
        <f>'Segment - Asia'!I40</f>
        <v>-0.016298020954598372</v>
      </c>
      <c r="J32" s="52">
        <f>'Segment - Asia'!J40</f>
        <v>0</v>
      </c>
      <c r="K32" s="2"/>
      <c r="L32" s="2"/>
    </row>
    <row r="33">
      <c r="A33" s="2"/>
      <c r="B33" s="3" t="s">
        <v>99</v>
      </c>
      <c r="C33" s="10">
        <f>'Segment - Asia'!C42</f>
        <v>0</v>
      </c>
      <c r="D33" s="10">
        <f>'Segment - Asia'!D42</f>
        <v>0</v>
      </c>
      <c r="E33" s="10">
        <f>'Segment - Asia'!E42</f>
        <v>0</v>
      </c>
      <c r="F33" s="10">
        <f>'Segment - Asia'!F42</f>
        <v>0</v>
      </c>
      <c r="G33" s="10">
        <f>'Segment - Asia'!G42</f>
        <v>0</v>
      </c>
      <c r="H33" s="10">
        <f>'Segment - Asia'!H42</f>
        <v>0</v>
      </c>
      <c r="I33" s="10">
        <f>'Segment - Asia'!I42</f>
        <v>0</v>
      </c>
      <c r="J33" s="52">
        <f>'Segment - Asia'!J42</f>
        <v>0</v>
      </c>
      <c r="K33" s="2"/>
      <c r="L33" s="2"/>
    </row>
    <row r="34">
      <c r="A34" s="2"/>
      <c r="B34" s="3" t="s">
        <v>100</v>
      </c>
      <c r="C34" s="10">
        <f>'Segment - Asia'!C43</f>
        <v>0.09996429846483412</v>
      </c>
      <c r="D34" s="10">
        <f>'Segment - Asia'!D43</f>
        <v>0.001554605518849561</v>
      </c>
      <c r="E34" s="10">
        <f>'Segment - Asia'!E43</f>
        <v>0.1233818770226538</v>
      </c>
      <c r="F34" s="10">
        <f>'Segment - Asia'!F43</f>
        <v>0.042652329749103934</v>
      </c>
      <c r="G34" s="10">
        <f>'Segment - Asia'!G43</f>
        <v>0.06646610886528159</v>
      </c>
      <c r="H34" s="10">
        <f>'Segment - Asia'!H43</f>
        <v>0.12386804657179828</v>
      </c>
      <c r="I34" s="10">
        <f>'Segment - Asia'!I43</f>
        <v>0.11913214990138066</v>
      </c>
      <c r="J34" s="52">
        <f>'Segment - Asia'!J43</f>
        <v>0.08544832553114867</v>
      </c>
      <c r="K34" s="2"/>
      <c r="L34" s="2"/>
    </row>
    <row r="35">
      <c r="A35" s="2"/>
      <c r="B35" s="2" t="s">
        <v>105</v>
      </c>
      <c r="C35" s="16">
        <f>'Segment - Beyond Yoga'!C27</f>
        <v>35.2</v>
      </c>
      <c r="D35" s="16">
        <f>'Segment - Beyond Yoga'!D27</f>
        <v>36.8</v>
      </c>
      <c r="E35" s="16">
        <f>'Segment - Beyond Yoga'!E27</f>
        <v>33</v>
      </c>
      <c r="F35" s="16">
        <f>'Segment - Beyond Yoga'!F27</f>
        <v>46.300000000000004</v>
      </c>
      <c r="G35" s="16">
        <f>'Segment - Beyond Yoga'!G27</f>
        <v>151.3</v>
      </c>
      <c r="H35" s="16">
        <f>'Segment - Beyond Yoga'!H27</f>
        <v>43.3</v>
      </c>
      <c r="I35" s="16">
        <f>'Segment - Beyond Yoga'!I27</f>
        <v>42.6</v>
      </c>
      <c r="J35" s="19">
        <f>'Segment - Beyond Yoga'!J27</f>
        <v>37.445</v>
      </c>
      <c r="K35" s="4" t="s">
        <v>106</v>
      </c>
      <c r="L35" s="2"/>
    </row>
    <row r="36">
      <c r="A36" s="2"/>
      <c r="B36" s="3" t="s">
        <v>94</v>
      </c>
      <c r="C36" s="10">
        <f>'Segment - Beyond Yoga'!C34</f>
        <v>0.09657320872274155</v>
      </c>
      <c r="D36" s="10">
        <f>'Segment - Beyond Yoga'!D34</f>
        <v>0.11854103343465017</v>
      </c>
      <c r="E36" s="10">
        <f>'Segment - Beyond Yoga'!E34</f>
        <v>0.024844720496894235</v>
      </c>
      <c r="F36" s="10">
        <f>'Segment - Beyond Yoga'!F34</f>
        <v>0.36578171091445455</v>
      </c>
      <c r="G36" s="10">
        <f>'Segment - Beyond Yoga'!G34</f>
        <v>0.15408085430968743</v>
      </c>
      <c r="H36" s="10">
        <f>'Segment - Beyond Yoga'!H34</f>
        <v>0.23011363636363624</v>
      </c>
      <c r="I36" s="10">
        <f>'Segment - Beyond Yoga'!I34</f>
        <v>0.15760869565217406</v>
      </c>
      <c r="J36" s="52">
        <f>'Segment - Beyond Yoga'!J34</f>
        <v>0.13469696969696976</v>
      </c>
      <c r="K36" s="2"/>
      <c r="L36" s="2"/>
    </row>
    <row r="37">
      <c r="A37" s="2"/>
      <c r="B37" s="3" t="s">
        <v>95</v>
      </c>
      <c r="C37" s="5" t="s">
        <v>62</v>
      </c>
      <c r="D37" s="5">
        <f>IFERROR(IF(C35&lt;=0,"n/m",D35/C35-1),"n/a")</f>
        <v>0.04545454545454519</v>
      </c>
      <c r="E37" s="5">
        <f>IFERROR(IF(D35&lt;=0,"n/m",E35/D35-1),"n/a")</f>
        <v>-0.1032608695652173</v>
      </c>
      <c r="F37" s="5">
        <f>IFERROR(IF(E35&lt;=0,"n/m",F35/E35-1),"n/a")</f>
        <v>0.40303030303030307</v>
      </c>
      <c r="G37" s="5" t="s">
        <v>62</v>
      </c>
      <c r="H37" s="5">
        <f>IFERROR(IF(F35&lt;=0,"n/m",H35/F35-1),"n/a")</f>
        <v>-0.06479481641468698</v>
      </c>
      <c r="I37" s="5">
        <f>IFERROR(IF(H35&lt;=0,"n/m",I35/H35-1),"n/a")</f>
        <v>-0.016166281755196188</v>
      </c>
      <c r="J37" s="31">
        <f>IFERROR(IF(I35&lt;=0,"n/m",J35/I35-1),"n/a")</f>
        <v>-0.12100938967136154</v>
      </c>
      <c r="K37" s="2"/>
      <c r="L37" s="2"/>
    </row>
    <row r="38">
      <c r="A38" s="2"/>
      <c r="B38" s="41" t="s">
        <v>96</v>
      </c>
      <c r="C38" s="7" t="s">
        <v>62</v>
      </c>
      <c r="D38" s="7">
        <f>IFERROR(D35-C35,"n/a")</f>
        <v>1.5999999999999943</v>
      </c>
      <c r="E38" s="7">
        <f>IFERROR(E35-D35,"n/a")</f>
        <v>-3.799999999999997</v>
      </c>
      <c r="F38" s="7">
        <f>IFERROR(F35-E35,"n/a")</f>
        <v>13.300000000000004</v>
      </c>
      <c r="G38" s="7" t="s">
        <v>62</v>
      </c>
      <c r="H38" s="7">
        <f>IFERROR(H35-F35,"n/a")</f>
        <v>-3.000000000000007</v>
      </c>
      <c r="I38" s="7">
        <f>IFERROR(I35-H35,"n/a")</f>
        <v>-0.6999999999999957</v>
      </c>
      <c r="J38" s="46">
        <f>IFERROR(J35-I35,"n/a")</f>
        <v>-5.155000000000001</v>
      </c>
      <c r="K38" s="2"/>
      <c r="L38" s="2"/>
    </row>
    <row r="39">
      <c r="A39" s="2"/>
      <c r="B39" s="3" t="s">
        <v>97</v>
      </c>
      <c r="C39" s="5">
        <f>IFERROR(C35/C43,"n/a")</f>
        <v>0.023054755043227668</v>
      </c>
      <c r="D39" s="5">
        <f>IFERROR(D35/D43,"n/a")</f>
        <v>0.025449515905947438</v>
      </c>
      <c r="E39" s="5">
        <f>IFERROR(E35/E43,"n/a")</f>
        <v>0.0213813658157315</v>
      </c>
      <c r="F39" s="5">
        <f>IFERROR(F35/F43,"n/a")</f>
        <v>0.02622041001245894</v>
      </c>
      <c r="G39" s="5">
        <f>IFERROR(G35/G43,"n/a")</f>
        <v>0.02408468640560331</v>
      </c>
      <c r="H39" s="5">
        <f>IFERROR(H35/H43,"n/a")</f>
        <v>0.0248493543758967</v>
      </c>
      <c r="I39" s="5">
        <f>IFERROR(I35/I43,"n/a")</f>
        <v>0.027272727272727275</v>
      </c>
      <c r="J39" s="31">
        <f>IFERROR(J35/J43,"n/a")</f>
        <v>0.022912145362653676</v>
      </c>
      <c r="K39" s="2"/>
      <c r="L39" s="2"/>
    </row>
    <row r="40">
      <c r="A40" s="2"/>
      <c r="B40" s="3" t="s">
        <v>98</v>
      </c>
      <c r="C40" s="10">
        <f>'Segment - Beyond Yoga'!C40</f>
        <v>0</v>
      </c>
      <c r="D40" s="10">
        <f>'Segment - Beyond Yoga'!D40</f>
        <v>0</v>
      </c>
      <c r="E40" s="10">
        <f>'Segment - Beyond Yoga'!E40</f>
        <v>0</v>
      </c>
      <c r="F40" s="10">
        <f>'Segment - Beyond Yoga'!F40</f>
        <v>0</v>
      </c>
      <c r="G40" s="10">
        <f>'Segment - Beyond Yoga'!G40</f>
        <v>0</v>
      </c>
      <c r="H40" s="10">
        <f>'Segment - Beyond Yoga'!H40</f>
        <v>0</v>
      </c>
      <c r="I40" s="10">
        <f>'Segment - Beyond Yoga'!I40</f>
        <v>0</v>
      </c>
      <c r="J40" s="52">
        <f>'Segment - Beyond Yoga'!J40</f>
        <v>0</v>
      </c>
      <c r="K40" s="2"/>
      <c r="L40" s="2"/>
    </row>
    <row r="41">
      <c r="A41" s="2"/>
      <c r="B41" s="3" t="s">
        <v>99</v>
      </c>
      <c r="C41" s="10">
        <f>'Segment - Beyond Yoga'!C42</f>
        <v>0</v>
      </c>
      <c r="D41" s="10">
        <f>'Segment - Beyond Yoga'!D42</f>
        <v>0</v>
      </c>
      <c r="E41" s="10">
        <f>'Segment - Beyond Yoga'!E42</f>
        <v>0</v>
      </c>
      <c r="F41" s="10">
        <f>'Segment - Beyond Yoga'!F42</f>
        <v>-0.05604719764011801</v>
      </c>
      <c r="G41" s="10">
        <f>'Segment - Beyond Yoga'!G42</f>
        <v>-0.01449275362318847</v>
      </c>
      <c r="H41" s="10">
        <f>'Segment - Beyond Yoga'!H42</f>
        <v>0</v>
      </c>
      <c r="I41" s="10">
        <f>'Segment - Beyond Yoga'!I42</f>
        <v>0</v>
      </c>
      <c r="J41" s="52">
        <f>'Segment - Beyond Yoga'!J42</f>
        <v>0</v>
      </c>
      <c r="K41" s="2"/>
      <c r="L41" s="2"/>
    </row>
    <row r="42">
      <c r="A42" s="2"/>
      <c r="B42" s="3" t="s">
        <v>100</v>
      </c>
      <c r="C42" s="10">
        <f>'Segment - Beyond Yoga'!C43</f>
        <v>0.09657320872274155</v>
      </c>
      <c r="D42" s="10">
        <f>'Segment - Beyond Yoga'!D43</f>
        <v>0.11854103343465017</v>
      </c>
      <c r="E42" s="10">
        <f>'Segment - Beyond Yoga'!E43</f>
        <v>0.024844720496894235</v>
      </c>
      <c r="F42" s="10">
        <f>'Segment - Beyond Yoga'!F43</f>
        <v>0.44687500000000036</v>
      </c>
      <c r="G42" s="10">
        <f>'Segment - Beyond Yoga'!G43</f>
        <v>0.17105263157894757</v>
      </c>
      <c r="H42" s="10">
        <f>'Segment - Beyond Yoga'!H43</f>
        <v>0.23011363636363624</v>
      </c>
      <c r="I42" s="10">
        <f>'Segment - Beyond Yoga'!I43</f>
        <v>0.15760869565217406</v>
      </c>
      <c r="J42" s="52">
        <f>'Segment - Beyond Yoga'!J43</f>
        <v>0.13469696969696976</v>
      </c>
      <c r="K42" s="2"/>
      <c r="L42" s="2"/>
    </row>
    <row r="43">
      <c r="A43" s="2"/>
      <c r="B43" s="47" t="s">
        <v>107</v>
      </c>
      <c r="C43" s="14">
        <f>C11+C19+C27+C35</f>
        <v>1526.8</v>
      </c>
      <c r="D43" s="14">
        <f>D11+D19+D27+D35</f>
        <v>1446</v>
      </c>
      <c r="E43" s="14">
        <f>E11+E19+E27+E35</f>
        <v>1543.4</v>
      </c>
      <c r="F43" s="14">
        <f>F11+F19+F27+F35</f>
        <v>1765.8000000000004</v>
      </c>
      <c r="G43" s="14">
        <f>G11+G19+G27+G35</f>
        <v>6282.000000000001</v>
      </c>
      <c r="H43" s="14">
        <f>H11+H19+H27+H35</f>
        <v>1742.5</v>
      </c>
      <c r="I43" s="14">
        <f>I11+I19+I27+I35</f>
        <v>1562</v>
      </c>
      <c r="J43" s="36">
        <f>J11+J19+J27+J35</f>
        <v>1634.2860699999999</v>
      </c>
      <c r="K43" s="2"/>
      <c r="L43" s="2"/>
    </row>
    <row r="44">
      <c r="A44" s="2"/>
      <c r="B44" s="41" t="s">
        <v>108</v>
      </c>
      <c r="C44" s="16">
        <f>'Segment - Americas'!C28+'Segment - Europe'!C28+'Segment - Asia'!C28+'Segment - Beyond Yoga'!C28</f>
        <v>1480.1999999999998</v>
      </c>
      <c r="D44" s="16">
        <f>'Segment - Americas'!D28+'Segment - Europe'!D28+'Segment - Asia'!D28+'Segment - Beyond Yoga'!D28</f>
        <v>1358.8000000000002</v>
      </c>
      <c r="E44" s="16">
        <f>'Segment - Americas'!E28+'Segment - Europe'!E28+'Segment - Asia'!E28+'Segment - Beyond Yoga'!E28</f>
        <v>1443.1000000000001</v>
      </c>
      <c r="F44" s="16">
        <f>'Segment - Americas'!F28+'Segment - Europe'!F28+'Segment - Asia'!F28+'Segment - Beyond Yoga'!F28</f>
        <v>1749.9</v>
      </c>
      <c r="G44" s="16">
        <f>'Segment - Americas'!G28+'Segment - Europe'!G28+'Segment - Asia'!G28+'Segment - Beyond Yoga'!G28</f>
        <v>6032</v>
      </c>
      <c r="H44" s="7">
        <f>C43</f>
        <v>1526.8</v>
      </c>
      <c r="I44" s="7">
        <f>D43</f>
        <v>1446</v>
      </c>
      <c r="J44" s="46">
        <f>E43</f>
        <v>1543.4</v>
      </c>
      <c r="K44" s="4" t="s">
        <v>109</v>
      </c>
      <c r="L44" s="2"/>
    </row>
    <row r="45">
      <c r="A45" s="2"/>
      <c r="B45" s="3" t="s">
        <v>95</v>
      </c>
      <c r="C45" s="5" t="s">
        <v>62</v>
      </c>
      <c r="D45" s="5">
        <f>IFERROR(IF(C43&lt;=0,"n/m",D43/C43-1),"n/a")</f>
        <v>-0.05292114225831801</v>
      </c>
      <c r="E45" s="5">
        <f>IFERROR(IF(D43&lt;=0,"n/m",E43/D43-1),"n/a")</f>
        <v>0.06735822959889348</v>
      </c>
      <c r="F45" s="5">
        <f>IFERROR(IF(E43&lt;=0,"n/m",F43/E43-1),"n/a")</f>
        <v>0.1440974471945058</v>
      </c>
      <c r="G45" s="5" t="s">
        <v>62</v>
      </c>
      <c r="H45" s="5">
        <f>IFERROR(IF(F43&lt;=0,"n/m",H43/F43-1),"n/a")</f>
        <v>-0.013195152338883465</v>
      </c>
      <c r="I45" s="5">
        <f>IFERROR(IF(H43&lt;=0,"n/m",I43/H43-1),"n/a")</f>
        <v>-0.10358680057388814</v>
      </c>
      <c r="J45" s="31">
        <f>IFERROR(IF(I43&lt;=0,"n/m",J43/I43-1),"n/a")</f>
        <v>0.046277893725992225</v>
      </c>
      <c r="K45" s="2"/>
      <c r="L45" s="2"/>
    </row>
    <row r="46">
      <c r="A46" s="2"/>
      <c r="B46" s="34" t="s">
        <v>110</v>
      </c>
      <c r="C46" s="12">
        <v>1526.8</v>
      </c>
      <c r="D46" s="12">
        <v>1446</v>
      </c>
      <c r="E46" s="12">
        <v>1543.4</v>
      </c>
      <c r="F46" s="12">
        <v>1765.8</v>
      </c>
      <c r="G46" s="12">
        <v>6282</v>
      </c>
      <c r="H46" s="12">
        <v>1742.5</v>
      </c>
      <c r="I46" s="12">
        <v>1562</v>
      </c>
      <c r="J46" s="46" t="s">
        <v>62</v>
      </c>
      <c r="K46" s="4" t="s">
        <v>111</v>
      </c>
      <c r="L46" s="2"/>
    </row>
    <row r="47">
      <c r="A47" s="2"/>
      <c r="B47" s="34" t="s">
        <v>112</v>
      </c>
      <c r="C47" s="7">
        <f>ROUND(C43-C46,1)</f>
        <v>0</v>
      </c>
      <c r="D47" s="7">
        <f>ROUND(D43-D46,1)</f>
        <v>0</v>
      </c>
      <c r="E47" s="7">
        <f>ROUND(E43-E46,1)</f>
        <v>0</v>
      </c>
      <c r="F47" s="7">
        <f>ROUND(F43-F46,1)</f>
        <v>0</v>
      </c>
      <c r="G47" s="7">
        <f>ROUND(G43-G46,1)</f>
        <v>0</v>
      </c>
      <c r="H47" s="7">
        <f>ROUND(H43-H46,1)</f>
        <v>0</v>
      </c>
      <c r="I47" s="7">
        <f>ROUND(I43-I46,1)</f>
        <v>0</v>
      </c>
      <c r="J47" s="46" t="s">
        <v>62</v>
      </c>
      <c r="K47" s="2"/>
      <c r="L47" s="2"/>
    </row>
    <row r="48">
      <c r="A48" s="2"/>
      <c r="B48" s="2" t="s">
        <v>113</v>
      </c>
      <c r="C48" s="107" t="s">
        <v>114</v>
      </c>
      <c r="D48" s="85"/>
      <c r="E48" s="85"/>
      <c r="F48" s="85"/>
      <c r="G48" s="85"/>
      <c r="H48" s="85"/>
      <c r="I48" s="85"/>
      <c r="J48" s="79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43" t="s">
        <v>115</v>
      </c>
      <c r="C50" s="2"/>
      <c r="D50" s="2"/>
      <c r="E50" s="2"/>
      <c r="F50" s="2"/>
      <c r="G50" s="2"/>
      <c r="H50" s="2"/>
      <c r="I50" s="2"/>
      <c r="J50" s="23"/>
      <c r="K50" s="2"/>
      <c r="L50" s="2"/>
    </row>
    <row r="51">
      <c r="A51" s="2"/>
      <c r="B51" s="3" t="s">
        <v>116</v>
      </c>
      <c r="C51" s="5">
        <f>IFERROR(IF(OR(C44&lt;=0,ABS(C43/C44-1)&gt;5),"n/m",C43/C44-1),"n/a")</f>
        <v>0.031482232130793264</v>
      </c>
      <c r="D51" s="5">
        <f>IFERROR(IF(OR(D44&lt;=0,ABS(D43/D44-1)&gt;5),"n/m",D43/D44-1),"n/a")</f>
        <v>0.06417427141595522</v>
      </c>
      <c r="E51" s="5">
        <f>IFERROR(IF(OR(E44&lt;=0,ABS(E43/E44-1)&gt;5),"n/m",E43/E44-1),"n/a")</f>
        <v>0.06950315293465459</v>
      </c>
      <c r="F51" s="5">
        <f>IFERROR(IF(OR(F44&lt;=0,ABS(F43/F44-1)&gt;5),"n/m",F43/F44-1),"n/a")</f>
        <v>0.00908623349905735</v>
      </c>
      <c r="G51" s="5">
        <f>IFERROR(IF(OR(G44&lt;=0,ABS(G43/G44-1)&gt;5),"n/m",G43/G44-1),"n/a")</f>
        <v>0.041445623342175164</v>
      </c>
      <c r="H51" s="5">
        <f>IFERROR(IF(OR(H44&lt;=0,ABS(H43/H44-1)&gt;5),"n/m",H43/H44-1),"n/a")</f>
        <v>0.14127587110296047</v>
      </c>
      <c r="I51" s="5">
        <f>IFERROR(IF(OR(I44&lt;=0,ABS(I43/I44-1)&gt;5),"n/m",I43/I44-1),"n/a")</f>
        <v>0.08022130013831252</v>
      </c>
      <c r="J51" s="31">
        <f>IFERROR(IF(OR(J44&lt;=0,ABS(J43/J44-1)&gt;5),"n/m",J43/J44-1),"n/a")</f>
        <v>0.05888691849164163</v>
      </c>
      <c r="K51" s="2"/>
      <c r="L51" s="2"/>
    </row>
    <row r="52">
      <c r="A52" s="2"/>
      <c r="B52" s="41" t="s">
        <v>117</v>
      </c>
      <c r="C52" s="16">
        <f>'Segment - Americas'!C35+'Segment - Europe'!C35+'Segment - Asia'!C35+'Segment - Beyond Yoga'!C35</f>
        <v>-45.900000000000006</v>
      </c>
      <c r="D52" s="16">
        <f>'Segment - Americas'!D35+'Segment - Europe'!D35+'Segment - Asia'!D35+'Segment - Beyond Yoga'!D35</f>
        <v>-7.8</v>
      </c>
      <c r="E52" s="16">
        <f>'Segment - Americas'!E35+'Segment - Europe'!E35+'Segment - Asia'!E35+'Segment - Beyond Yoga'!E35</f>
        <v>26.6</v>
      </c>
      <c r="F52" s="16">
        <f>'Segment - Americas'!F35+'Segment - Europe'!F35+'Segment - Asia'!F35+'Segment - Beyond Yoga'!F35</f>
        <v>31.6</v>
      </c>
      <c r="G52" s="16">
        <f>'Segment - Americas'!G35+'Segment - Europe'!G35+'Segment - Asia'!G35+'Segment - Beyond Yoga'!G35</f>
        <v>4.5</v>
      </c>
      <c r="H52" s="16">
        <f>'Segment - Americas'!H35+'Segment - Europe'!H35+'Segment - Asia'!H35+'Segment - Beyond Yoga'!H35</f>
        <v>70.79999999999998</v>
      </c>
      <c r="I52" s="16">
        <f>'Segment - Americas'!I35+'Segment - Europe'!I35+'Segment - Asia'!I35+'Segment - Beyond Yoga'!I35</f>
        <v>31.599999999999998</v>
      </c>
      <c r="J52" s="19">
        <f>'Segment - Americas'!J35+'Segment - Europe'!J35+'Segment - Asia'!J35+'Segment - Beyond Yoga'!J35</f>
        <v>-4.263</v>
      </c>
      <c r="K52" s="4" t="s">
        <v>118</v>
      </c>
      <c r="L52" s="2"/>
    </row>
    <row r="53">
      <c r="A53" s="2"/>
      <c r="B53" s="41" t="s">
        <v>119</v>
      </c>
      <c r="C53" s="16">
        <f>'Segment - Americas'!C36+'Segment - Europe'!C36+'Segment - Asia'!C36+'Segment - Beyond Yoga'!C36</f>
        <v>-30.2</v>
      </c>
      <c r="D53" s="16">
        <f>'Segment - Americas'!D36+'Segment - Europe'!D36+'Segment - Asia'!D36+'Segment - Beyond Yoga'!D36</f>
        <v>-21.799999999999997</v>
      </c>
      <c r="E53" s="16">
        <f>'Segment - Americas'!E36+'Segment - Europe'!E36+'Segment - Asia'!E36+'Segment - Beyond Yoga'!E36</f>
        <v>-25.3</v>
      </c>
      <c r="F53" s="16">
        <f>'Segment - Americas'!F36+'Segment - Europe'!F36+'Segment - Asia'!F36+'Segment - Beyond Yoga'!F36</f>
        <v>-99.4</v>
      </c>
      <c r="G53" s="16">
        <f>'Segment - Americas'!G36+'Segment - Europe'!G36+'Segment - Asia'!G36+'Segment - Beyond Yoga'!G36</f>
        <v>-176.70000000000002</v>
      </c>
      <c r="H53" s="16">
        <f>'Segment - Americas'!H36+'Segment - Europe'!H36+'Segment - Asia'!H36+'Segment - Beyond Yoga'!H36</f>
        <v>-2.3</v>
      </c>
      <c r="I53" s="16">
        <f>'Segment - Americas'!I36+'Segment - Europe'!I36+'Segment - Asia'!I36+'Segment - Beyond Yoga'!I36</f>
        <v>0</v>
      </c>
      <c r="J53" s="19">
        <f>'Segment - Americas'!J36+'Segment - Europe'!J36+'Segment - Asia'!J36+'Segment - Beyond Yoga'!J36</f>
        <v>0</v>
      </c>
      <c r="K53" s="2"/>
      <c r="L53" s="2"/>
    </row>
    <row r="54">
      <c r="A54" s="2"/>
      <c r="B54" s="41" t="s">
        <v>120</v>
      </c>
      <c r="C54" s="16">
        <f>'Segment - Americas'!C37+'Segment - Europe'!C37+'Segment - Asia'!C37+'Segment - Beyond Yoga'!C37</f>
        <v>-2.3</v>
      </c>
      <c r="D54" s="16">
        <f>'Segment - Americas'!D37+'Segment - Europe'!D37+'Segment - Asia'!D37+'Segment - Beyond Yoga'!D37</f>
        <v>0</v>
      </c>
      <c r="E54" s="16">
        <f>'Segment - Americas'!E37+'Segment - Europe'!E37+'Segment - Asia'!E37+'Segment - Beyond Yoga'!E37</f>
        <v>0</v>
      </c>
      <c r="F54" s="16">
        <f>'Segment - Americas'!F37+'Segment - Europe'!F37+'Segment - Asia'!F37+'Segment - Beyond Yoga'!F37</f>
        <v>0</v>
      </c>
      <c r="G54" s="16">
        <f>'Segment - Americas'!G37+'Segment - Europe'!G37+'Segment - Asia'!G37+'Segment - Beyond Yoga'!G37</f>
        <v>-2.3</v>
      </c>
      <c r="H54" s="16">
        <f>'Segment - Americas'!H37+'Segment - Europe'!H37+'Segment - Asia'!H37+'Segment - Beyond Yoga'!H37</f>
        <v>0</v>
      </c>
      <c r="I54" s="16">
        <f>'Segment - Americas'!I37+'Segment - Europe'!I37+'Segment - Asia'!I37+'Segment - Beyond Yoga'!I37</f>
        <v>0</v>
      </c>
      <c r="J54" s="19">
        <f>'Segment - Americas'!J37+'Segment - Europe'!J37+'Segment - Asia'!J37+'Segment - Beyond Yoga'!J37</f>
        <v>0</v>
      </c>
      <c r="K54" s="2"/>
      <c r="L54" s="2"/>
    </row>
    <row r="55">
      <c r="A55" s="2"/>
      <c r="B55" s="41" t="s">
        <v>121</v>
      </c>
      <c r="C55" s="7">
        <f>C43+C54</f>
        <v>1524.5</v>
      </c>
      <c r="D55" s="7">
        <f>D43+D54</f>
        <v>1446</v>
      </c>
      <c r="E55" s="7">
        <f>E43+E54</f>
        <v>1543.4</v>
      </c>
      <c r="F55" s="7">
        <f>F43+F54</f>
        <v>1765.8000000000004</v>
      </c>
      <c r="G55" s="7">
        <f>G43+G54</f>
        <v>6279.700000000001</v>
      </c>
      <c r="H55" s="7">
        <f>H43+H54</f>
        <v>1742.5</v>
      </c>
      <c r="I55" s="7">
        <f>I43+I54</f>
        <v>1562</v>
      </c>
      <c r="J55" s="46">
        <f>J43+J54</f>
        <v>1634.2860699999999</v>
      </c>
      <c r="K55" s="2"/>
      <c r="L55" s="2"/>
    </row>
    <row r="56">
      <c r="A56" s="2"/>
      <c r="B56" s="41" t="s">
        <v>122</v>
      </c>
      <c r="C56" s="7">
        <f>C44+C52+C53</f>
        <v>1404.0999999999997</v>
      </c>
      <c r="D56" s="7">
        <f>D44+D52+D53</f>
        <v>1329.2000000000003</v>
      </c>
      <c r="E56" s="7">
        <f>E44+E52+E53</f>
        <v>1444.4</v>
      </c>
      <c r="F56" s="7">
        <f>F44+F52+F53</f>
        <v>1682.1</v>
      </c>
      <c r="G56" s="7">
        <f>G44+G52+G53</f>
        <v>5859.8</v>
      </c>
      <c r="H56" s="7">
        <f>H44+H52+H53</f>
        <v>1595.3</v>
      </c>
      <c r="I56" s="7">
        <f>I44+I52+I53</f>
        <v>1477.6</v>
      </c>
      <c r="J56" s="46">
        <f>J44+J52+J53</f>
        <v>1539.1370000000002</v>
      </c>
      <c r="K56" s="2"/>
      <c r="L56" s="2"/>
    </row>
    <row r="57">
      <c r="A57" s="2"/>
      <c r="B57" s="3" t="s">
        <v>98</v>
      </c>
      <c r="C57" s="5">
        <f>IFERROR(C52/C44,"n/a")</f>
        <v>-0.03100932306445076</v>
      </c>
      <c r="D57" s="5">
        <f>IFERROR(D52/D44,"n/a")</f>
        <v>-0.005740359140418015</v>
      </c>
      <c r="E57" s="5">
        <f>IFERROR(E52/E44,"n/a")</f>
        <v>0.018432541057445774</v>
      </c>
      <c r="F57" s="5">
        <f>IFERROR(F52/F44,"n/a")</f>
        <v>0.01805817475284302</v>
      </c>
      <c r="G57" s="5">
        <f>IFERROR(G52/G44,"n/a")</f>
        <v>0.0007460212201591511</v>
      </c>
      <c r="H57" s="5">
        <f>IFERROR(H52/H44,"n/a")</f>
        <v>0.04637149593921927</v>
      </c>
      <c r="I57" s="5">
        <f>IFERROR(I52/I44,"n/a")</f>
        <v>0.02185338865836791</v>
      </c>
      <c r="J57" s="31">
        <f>IFERROR(J52/J44,"n/a")</f>
        <v>-0.0027620837112867693</v>
      </c>
      <c r="K57" s="2"/>
      <c r="L57" s="2"/>
    </row>
    <row r="58">
      <c r="A58" s="2"/>
      <c r="B58" s="3" t="s">
        <v>99</v>
      </c>
      <c r="C58" s="5">
        <f>IFERROR((C44+C52+C53)/(C44+C52)*C43/(C43+C54)-1,"n/a")</f>
        <v>-0.019578642153981973</v>
      </c>
      <c r="D58" s="5">
        <f>IFERROR((D44+D52+D53)/(D44+D52)*D43/(D43+D54)-1,"n/a")</f>
        <v>-0.016136195410806797</v>
      </c>
      <c r="E58" s="5">
        <f>IFERROR((E44+E52+E53)/(E44+E52)*E43/(E43+E54)-1,"n/a")</f>
        <v>-0.017214397496087663</v>
      </c>
      <c r="F58" s="5">
        <f>IFERROR((F44+F52+F53)/(F44+F52)*F43/(F43+F54)-1,"n/a")</f>
        <v>-0.055795677799607146</v>
      </c>
      <c r="G58" s="5">
        <f>IFERROR((G44+G52+G53)/(G44+G52)*G43/(G43+G54)-1,"n/a")</f>
        <v>-0.02891639068642704</v>
      </c>
      <c r="H58" s="5">
        <f>IFERROR((H44+H52+H53)/(H44+H52)*H43/(H43+H54)-1,"n/a")</f>
        <v>-0.0014396594892338577</v>
      </c>
      <c r="I58" s="5">
        <f>IFERROR((I44+I52+I53)/(I44+I52)*I43/(I43+I54)-1,"n/a")</f>
        <v>0</v>
      </c>
      <c r="J58" s="31">
        <f>IFERROR((J44+J52+J53)/(J44+J52)*J43/(J43+J54)-1,"n/a")</f>
        <v>0</v>
      </c>
      <c r="K58" s="2"/>
      <c r="L58" s="2"/>
    </row>
    <row r="59">
      <c r="A59" s="2"/>
      <c r="B59" s="3" t="s">
        <v>100</v>
      </c>
      <c r="C59" s="5">
        <f>IFERROR((1+C51)/((1+C58)*(1+C57))-1,"n/a")</f>
        <v>0.08574887828502264</v>
      </c>
      <c r="D59" s="5">
        <f>IFERROR((1+D51)/((1+D58)*(1+D57))-1,"n/a")</f>
        <v>0.08787240445380662</v>
      </c>
      <c r="E59" s="5">
        <f>IFERROR((1+E51)/((1+E58)*(1+E57))-1,"n/a")</f>
        <v>0.06854057047909179</v>
      </c>
      <c r="F59" s="5">
        <f>IFERROR((1+F51)/((1+F58)*(1+F57))-1,"n/a")</f>
        <v>0.04975922953451084</v>
      </c>
      <c r="G59" s="5">
        <f>IFERROR((1+G51)/((1+G58)*(1+G57))-1,"n/a")</f>
        <v>0.07165773575889967</v>
      </c>
      <c r="H59" s="5">
        <f>IFERROR((1+H51)/((1+H58)*(1+H57))-1,"n/a")</f>
        <v>0.09227104619820725</v>
      </c>
      <c r="I59" s="5">
        <f>IFERROR((1+I51)/((1+I58)*(1+I57))-1,"n/a")</f>
        <v>0.057119653492149425</v>
      </c>
      <c r="J59" s="31">
        <f>IFERROR((1+J51)/((1+J58)*(1+J57))-1,"n/a")</f>
        <v>0.06181975353720914</v>
      </c>
      <c r="K59" s="2"/>
      <c r="L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A61" s="2"/>
      <c r="B61" s="43" t="s">
        <v>123</v>
      </c>
      <c r="C61" s="2"/>
      <c r="D61" s="2"/>
      <c r="E61" s="2"/>
      <c r="F61" s="2"/>
      <c r="G61" s="2"/>
      <c r="H61" s="2"/>
      <c r="I61" s="2"/>
      <c r="J61" s="23"/>
      <c r="K61" s="2"/>
      <c r="L61" s="2"/>
    </row>
    <row r="62">
      <c r="A62" s="2"/>
      <c r="B62" s="2" t="s">
        <v>124</v>
      </c>
      <c r="C62" s="16">
        <f>'Segment - Americas'!C11+'Segment - Europe'!C11+'Segment - Asia'!C11+'Segment - Beyond Yoga'!C11</f>
        <v>739.3</v>
      </c>
      <c r="D62" s="16">
        <f>'Segment - Americas'!D11+'Segment - Europe'!D11+'Segment - Asia'!D11+'Segment - Beyond Yoga'!D11</f>
        <v>729.9</v>
      </c>
      <c r="E62" s="16">
        <f>'Segment - Americas'!E11+'Segment - Europe'!E11+'Segment - Asia'!E11+'Segment - Beyond Yoga'!E11</f>
        <v>832.2</v>
      </c>
      <c r="F62" s="16">
        <f>'Segment - Americas'!F11+'Segment - Europe'!F11+'Segment - Asia'!F11+'Segment - Beyond Yoga'!F11</f>
        <v>903.8000000000001</v>
      </c>
      <c r="G62" s="16">
        <f>'Segment - Americas'!G11+'Segment - Europe'!G11+'Segment - Asia'!G11+'Segment - Beyond Yoga'!G11</f>
        <v>3205.2</v>
      </c>
      <c r="H62" s="16">
        <f>'Segment - Americas'!H11+'Segment - Europe'!H11+'Segment - Asia'!H11+'Segment - Beyond Yoga'!H11</f>
        <v>831</v>
      </c>
      <c r="I62" s="16">
        <f>'Segment - Americas'!I11+'Segment - Europe'!I11+'Segment - Asia'!I11+'Segment - Beyond Yoga'!I11</f>
        <v>768.4</v>
      </c>
      <c r="J62" s="19">
        <f>'Segment - Americas'!J11+'Segment - Europe'!J11+'Segment - Asia'!J11+'Segment - Beyond Yoga'!J11</f>
        <v>871.6490200000001</v>
      </c>
      <c r="K62" s="4" t="s">
        <v>125</v>
      </c>
      <c r="L62" s="2"/>
    </row>
    <row r="63">
      <c r="A63" s="2"/>
      <c r="B63" s="41" t="s">
        <v>108</v>
      </c>
      <c r="C63" s="16">
        <f>'Segment - Americas'!C12+'Segment - Europe'!C12+'Segment - Asia'!C12+'Segment - Beyond Yoga'!C12</f>
        <v>758.3999999999999</v>
      </c>
      <c r="D63" s="16">
        <f>'Segment - Americas'!D12+'Segment - Europe'!D12+'Segment - Asia'!D12+'Segment - Beyond Yoga'!D12</f>
        <v>710.8</v>
      </c>
      <c r="E63" s="16">
        <f>'Segment - Americas'!E12+'Segment - Europe'!E12+'Segment - Asia'!E12+'Segment - Beyond Yoga'!E12</f>
        <v>804.0999999999999</v>
      </c>
      <c r="F63" s="16">
        <f>'Segment - Americas'!F12+'Segment - Europe'!F12+'Segment - Asia'!F12+'Segment - Beyond Yoga'!F12</f>
        <v>949.6</v>
      </c>
      <c r="G63" s="16">
        <f>'Segment - Americas'!G12+'Segment - Europe'!G12+'Segment - Asia'!G12+'Segment - Beyond Yoga'!G12</f>
        <v>3222.9</v>
      </c>
      <c r="H63" s="7">
        <f>C62</f>
        <v>739.3</v>
      </c>
      <c r="I63" s="7">
        <f>D62</f>
        <v>729.9</v>
      </c>
      <c r="J63" s="46">
        <f>E62</f>
        <v>832.2</v>
      </c>
      <c r="K63" s="4" t="s">
        <v>126</v>
      </c>
      <c r="L63" s="2"/>
    </row>
    <row r="64">
      <c r="A64" s="2"/>
      <c r="B64" s="3" t="s">
        <v>95</v>
      </c>
      <c r="C64" s="5" t="s">
        <v>62</v>
      </c>
      <c r="D64" s="5">
        <f>IFERROR(IF(C62&lt;=0,"n/m",D62/C62-1),"n/a")</f>
        <v>-0.012714730150142017</v>
      </c>
      <c r="E64" s="5">
        <f>IFERROR(IF(D62&lt;=0,"n/m",E62/D62-1),"n/a")</f>
        <v>0.140156185778874</v>
      </c>
      <c r="F64" s="5">
        <f>IFERROR(IF(E62&lt;=0,"n/m",F62/E62-1),"n/a")</f>
        <v>0.08603701033405442</v>
      </c>
      <c r="G64" s="5" t="s">
        <v>62</v>
      </c>
      <c r="H64" s="5">
        <f>IFERROR(IF(F62&lt;=0,"n/m",H62/F62-1),"n/a")</f>
        <v>-0.08054879398096926</v>
      </c>
      <c r="I64" s="5">
        <f>IFERROR(IF(H62&lt;=0,"n/m",I62/H62-1),"n/a")</f>
        <v>-0.0753309265944645</v>
      </c>
      <c r="J64" s="31">
        <f>IFERROR(IF(I62&lt;=0,"n/m",J62/I62-1),"n/a")</f>
        <v>0.13436884435190022</v>
      </c>
      <c r="K64" s="2"/>
      <c r="L64" s="2"/>
    </row>
    <row r="65">
      <c r="A65" s="2"/>
      <c r="B65" s="3" t="s">
        <v>97</v>
      </c>
      <c r="C65" s="5">
        <f>IFERROR(C62/C43,"n/a")</f>
        <v>0.48421535237097196</v>
      </c>
      <c r="D65" s="5">
        <f>IFERROR(D62/D43,"n/a")</f>
        <v>0.5047717842323651</v>
      </c>
      <c r="E65" s="5">
        <f>IFERROR(E62/E43,"n/a")</f>
        <v>0.5391991706621744</v>
      </c>
      <c r="F65" s="5">
        <f>IFERROR(F62/F43,"n/a")</f>
        <v>0.5118359950164231</v>
      </c>
      <c r="G65" s="5">
        <f>IFERROR(G62/G43,"n/a")</f>
        <v>0.5102196752626551</v>
      </c>
      <c r="H65" s="5">
        <f>IFERROR(H62/H43,"n/a")</f>
        <v>0.4769010043041607</v>
      </c>
      <c r="I65" s="5">
        <f>IFERROR(I62/I43,"n/a")</f>
        <v>0.49193341869398205</v>
      </c>
      <c r="J65" s="31">
        <f>IFERROR(J62/J43,"n/a")</f>
        <v>0.5333515569890406</v>
      </c>
      <c r="K65" s="2"/>
      <c r="L65" s="2"/>
    </row>
    <row r="66">
      <c r="A66" s="2"/>
      <c r="B66" s="3" t="s">
        <v>116</v>
      </c>
      <c r="C66" s="5">
        <f>IFERROR(IF(OR(C63&lt;=0,ABS(C62/C63-1)&gt;5),"n/m",C62/C63-1),"n/a")</f>
        <v>-0.025184599156118037</v>
      </c>
      <c r="D66" s="5">
        <f>IFERROR(IF(OR(D63&lt;=0,ABS(D62/D63-1)&gt;5),"n/m",D62/D63-1),"n/a")</f>
        <v>0.026871131119865055</v>
      </c>
      <c r="E66" s="5">
        <f>IFERROR(IF(OR(E63&lt;=0,ABS(E62/E63-1)&gt;5),"n/m",E62/E63-1),"n/a")</f>
        <v>0.034945902250963945</v>
      </c>
      <c r="F66" s="5">
        <f>IFERROR(IF(OR(F63&lt;=0,ABS(F62/F63-1)&gt;5),"n/m",F62/F63-1),"n/a")</f>
        <v>-0.04823083403538331</v>
      </c>
      <c r="G66" s="5">
        <f>IFERROR(IF(OR(G63&lt;=0,ABS(G62/G63-1)&gt;5),"n/m",G62/G63-1),"n/a")</f>
        <v>-0.005491948245369138</v>
      </c>
      <c r="H66" s="5">
        <f>IFERROR(IF(OR(H63&lt;=0,ABS(H62/H63-1)&gt;5),"n/m",H62/H63-1),"n/a")</f>
        <v>0.12403625050723655</v>
      </c>
      <c r="I66" s="5">
        <f>IFERROR(IF(OR(I63&lt;=0,ABS(I62/I63-1)&gt;5),"n/m",I62/I63-1),"n/a")</f>
        <v>0.05274695163721055</v>
      </c>
      <c r="J66" s="31">
        <f>IFERROR(IF(OR(J63&lt;=0,ABS(J62/J63-1)&gt;5),"n/m",J62/J63-1),"n/a")</f>
        <v>0.047403292477769865</v>
      </c>
      <c r="K66" s="2"/>
      <c r="L66" s="2"/>
    </row>
    <row r="67">
      <c r="A67" s="2"/>
      <c r="B67" s="41" t="s">
        <v>117</v>
      </c>
      <c r="C67" s="12">
        <v>-24.1</v>
      </c>
      <c r="D67" s="12">
        <v>-8.9</v>
      </c>
      <c r="E67" s="12">
        <v>11.8</v>
      </c>
      <c r="F67" s="12">
        <v>13.8</v>
      </c>
      <c r="G67" s="12">
        <v>-7.4</v>
      </c>
      <c r="H67" s="12">
        <v>29.5</v>
      </c>
      <c r="I67" s="12">
        <v>15.6</v>
      </c>
      <c r="J67" s="46">
        <f>J63*J57</f>
        <v>-2.2986060645328497</v>
      </c>
      <c r="K67" s="4" t="s">
        <v>127</v>
      </c>
      <c r="L67" s="2"/>
    </row>
    <row r="68">
      <c r="A68" s="2"/>
      <c r="B68" s="41" t="s">
        <v>119</v>
      </c>
      <c r="C68" s="12">
        <v>-30.2</v>
      </c>
      <c r="D68" s="12">
        <v>-21.8</v>
      </c>
      <c r="E68" s="12">
        <v>-25.3</v>
      </c>
      <c r="F68" s="12">
        <v>-62.4</v>
      </c>
      <c r="G68" s="12">
        <v>-139.7</v>
      </c>
      <c r="H68" s="12">
        <v>-2.3</v>
      </c>
      <c r="I68" s="12">
        <v>0</v>
      </c>
      <c r="J68" s="49">
        <v>0</v>
      </c>
      <c r="K68" s="2"/>
      <c r="L68" s="2"/>
    </row>
    <row r="69">
      <c r="A69" s="2"/>
      <c r="B69" s="41" t="s">
        <v>120</v>
      </c>
      <c r="C69" s="12">
        <v>-2.3</v>
      </c>
      <c r="D69" s="12">
        <v>0</v>
      </c>
      <c r="E69" s="12">
        <v>0</v>
      </c>
      <c r="F69" s="12">
        <v>0</v>
      </c>
      <c r="G69" s="12">
        <v>-2.3</v>
      </c>
      <c r="H69" s="12">
        <v>0</v>
      </c>
      <c r="I69" s="12">
        <v>0</v>
      </c>
      <c r="J69" s="49">
        <v>0</v>
      </c>
      <c r="K69" s="2"/>
      <c r="L69" s="2"/>
    </row>
    <row r="70">
      <c r="A70" s="2"/>
      <c r="B70" s="41" t="s">
        <v>121</v>
      </c>
      <c r="C70" s="7">
        <f>C62+C69</f>
        <v>737</v>
      </c>
      <c r="D70" s="7">
        <f>D62+D69</f>
        <v>729.9</v>
      </c>
      <c r="E70" s="7">
        <f>E62+E69</f>
        <v>832.2</v>
      </c>
      <c r="F70" s="7">
        <f>F62+F69</f>
        <v>903.8000000000001</v>
      </c>
      <c r="G70" s="7">
        <f>G62+G69</f>
        <v>3202.8999999999996</v>
      </c>
      <c r="H70" s="7">
        <f>H62+H69</f>
        <v>831</v>
      </c>
      <c r="I70" s="7">
        <f>I62+I69</f>
        <v>768.4</v>
      </c>
      <c r="J70" s="46">
        <f>J62+J69</f>
        <v>871.6490200000001</v>
      </c>
      <c r="K70" s="2"/>
      <c r="L70" s="2"/>
    </row>
    <row r="71">
      <c r="A71" s="2"/>
      <c r="B71" s="41" t="s">
        <v>122</v>
      </c>
      <c r="C71" s="7">
        <f>C63+C67+C68</f>
        <v>704.0999999999998</v>
      </c>
      <c r="D71" s="7">
        <f>D63+D67+D68</f>
        <v>680.1</v>
      </c>
      <c r="E71" s="7">
        <f>E63+E67+E68</f>
        <v>790.5999999999999</v>
      </c>
      <c r="F71" s="7">
        <f>F63+F67+F68</f>
        <v>901</v>
      </c>
      <c r="G71" s="7">
        <f>G63+G67+G68</f>
        <v>3075.8</v>
      </c>
      <c r="H71" s="7">
        <f>H63+H67+H68</f>
        <v>766.5</v>
      </c>
      <c r="I71" s="7">
        <f>I63+I67+I68</f>
        <v>745.5</v>
      </c>
      <c r="J71" s="46">
        <f>J63+J67+J68</f>
        <v>829.9013939354672</v>
      </c>
      <c r="K71" s="2"/>
      <c r="L71" s="2"/>
    </row>
    <row r="72">
      <c r="A72" s="2"/>
      <c r="B72" s="3" t="s">
        <v>98</v>
      </c>
      <c r="C72" s="5">
        <f>IFERROR(C67/C63,"n/a")</f>
        <v>-0.03177742616033756</v>
      </c>
      <c r="D72" s="5">
        <f>IFERROR(D67/D63,"n/a")</f>
        <v>-0.012521102982554868</v>
      </c>
      <c r="E72" s="5">
        <f>IFERROR(E67/E63,"n/a")</f>
        <v>0.014674791692575552</v>
      </c>
      <c r="F72" s="5">
        <f>IFERROR(F67/F63,"n/a")</f>
        <v>0.014532434709351305</v>
      </c>
      <c r="G72" s="5">
        <f>IFERROR(G67/G63,"n/a")</f>
        <v>-0.002296068757950914</v>
      </c>
      <c r="H72" s="5">
        <f>IFERROR(H67/H63,"n/a")</f>
        <v>0.03990261057757338</v>
      </c>
      <c r="I72" s="5">
        <f>IFERROR(I67/I63,"n/a")</f>
        <v>0.02137279079325935</v>
      </c>
      <c r="J72" s="31">
        <f>IFERROR(J67/J63,"n/a")</f>
        <v>-0.0027620837112867693</v>
      </c>
      <c r="K72" s="2"/>
      <c r="L72" s="2"/>
    </row>
    <row r="73">
      <c r="A73" s="2"/>
      <c r="B73" s="3" t="s">
        <v>99</v>
      </c>
      <c r="C73" s="5">
        <f>IFERROR((C63+C67+C68)/(C63+C67)*C62/(C62+C69)-1,"n/a")</f>
        <v>-0.03813519406052479</v>
      </c>
      <c r="D73" s="5">
        <f>IFERROR((D63+D67+D68)/(D63+D67)*D62/(D62+D69)-1,"n/a")</f>
        <v>-0.03105855534976487</v>
      </c>
      <c r="E73" s="5">
        <f>IFERROR((E63+E67+E68)/(E63+E67)*E62/(E62+E69)-1,"n/a")</f>
        <v>-0.03100870204681927</v>
      </c>
      <c r="F73" s="5">
        <f>IFERROR((F63+F67+F68)/(F63+F67)*F62/(F62+F69)-1,"n/a")</f>
        <v>-0.06477060411044211</v>
      </c>
      <c r="G73" s="5">
        <f>IFERROR((G63+G67+G68)/(G63+G67)*G62/(G62+G69)-1,"n/a")</f>
        <v>-0.04275890854025477</v>
      </c>
      <c r="H73" s="5">
        <f>IFERROR((H63+H67+H68)/(H63+H67)*H62/(H62+H69)-1,"n/a")</f>
        <v>-0.002991675338189337</v>
      </c>
      <c r="I73" s="5">
        <f>IFERROR((I63+I67+I68)/(I63+I67)*I62/(I62+I69)-1,"n/a")</f>
        <v>0</v>
      </c>
      <c r="J73" s="31">
        <f>IFERROR((J63+J67+J68)/(J63+J67)*J62/(J62+J69)-1,"n/a")</f>
        <v>0</v>
      </c>
      <c r="K73" s="2"/>
      <c r="L73" s="2"/>
    </row>
    <row r="74">
      <c r="A74" s="2"/>
      <c r="B74" s="3" t="s">
        <v>100</v>
      </c>
      <c r="C74" s="5">
        <f>IFERROR((1+C66)/((1+C73)*(1+C72))-1,"n/a")</f>
        <v>0.04672631728447696</v>
      </c>
      <c r="D74" s="5">
        <f>IFERROR((1+D66)/((1+D73)*(1+D72))-1,"n/a")</f>
        <v>0.0732245258050288</v>
      </c>
      <c r="E74" s="5">
        <f>IFERROR((1+E66)/((1+E73)*(1+E72))-1,"n/a")</f>
        <v>0.05261826460915753</v>
      </c>
      <c r="F74" s="5">
        <f>IFERROR((1+F66)/((1+F73)*(1+F72))-1,"n/a")</f>
        <v>0.0031076581576023887</v>
      </c>
      <c r="G74" s="5">
        <f>IFERROR((1+G66)/((1+G73)*(1+G72))-1,"n/a")</f>
        <v>0.04132258274270084</v>
      </c>
      <c r="H74" s="5">
        <f>IFERROR((1+H66)/((1+H73)*(1+H72))-1,"n/a")</f>
        <v>0.08414872798434425</v>
      </c>
      <c r="I74" s="5">
        <f>IFERROR((1+I66)/((1+I73)*(1+I72))-1,"n/a")</f>
        <v>0.03071763916834347</v>
      </c>
      <c r="J74" s="31">
        <f>IFERROR((1+J66)/((1+J73)*(1+J72))-1,"n/a")</f>
        <v>0.05030432093451709</v>
      </c>
      <c r="K74" s="2"/>
      <c r="L74" s="2"/>
    </row>
    <row r="75">
      <c r="A75" s="2"/>
      <c r="B75" s="2" t="s">
        <v>128</v>
      </c>
      <c r="C75" s="16">
        <f>'Segment - Americas'!C19+'Segment - Europe'!C19+'Segment - Asia'!C19+'Segment - Beyond Yoga'!C19</f>
        <v>787.5</v>
      </c>
      <c r="D75" s="16">
        <f>'Segment - Americas'!D19+'Segment - Europe'!D19+'Segment - Asia'!D19+'Segment - Beyond Yoga'!D19</f>
        <v>716.1000000000001</v>
      </c>
      <c r="E75" s="16">
        <f>'Segment - Americas'!E19+'Segment - Europe'!E19+'Segment - Asia'!E19+'Segment - Beyond Yoga'!E19</f>
        <v>711.2</v>
      </c>
      <c r="F75" s="16">
        <f>'Segment - Americas'!F19+'Segment - Europe'!F19+'Segment - Asia'!F19+'Segment - Beyond Yoga'!F19</f>
        <v>862.0000000000001</v>
      </c>
      <c r="G75" s="16">
        <f>'Segment - Americas'!G19+'Segment - Europe'!G19+'Segment - Asia'!G19+'Segment - Beyond Yoga'!G19</f>
        <v>3076.7999999999997</v>
      </c>
      <c r="H75" s="16">
        <f>'Segment - Americas'!H19+'Segment - Europe'!H19+'Segment - Asia'!H19+'Segment - Beyond Yoga'!H19</f>
        <v>911.5</v>
      </c>
      <c r="I75" s="16">
        <f>'Segment - Americas'!I19+'Segment - Europe'!I19+'Segment - Asia'!I19+'Segment - Beyond Yoga'!I19</f>
        <v>793.5999999999999</v>
      </c>
      <c r="J75" s="19">
        <f>'Segment - Americas'!J19+'Segment - Europe'!J19+'Segment - Asia'!J19+'Segment - Beyond Yoga'!J19</f>
        <v>762.6370499999999</v>
      </c>
      <c r="K75" s="4" t="s">
        <v>125</v>
      </c>
      <c r="L75" s="2"/>
    </row>
    <row r="76">
      <c r="A76" s="2"/>
      <c r="B76" s="41" t="s">
        <v>108</v>
      </c>
      <c r="C76" s="16">
        <f>'Segment - Americas'!C20+'Segment - Europe'!C20+'Segment - Asia'!C20+'Segment - Beyond Yoga'!C20</f>
        <v>721.8</v>
      </c>
      <c r="D76" s="16">
        <f>'Segment - Americas'!D20+'Segment - Europe'!D20+'Segment - Asia'!D20+'Segment - Beyond Yoga'!D20</f>
        <v>648.0000000000001</v>
      </c>
      <c r="E76" s="16">
        <f>'Segment - Americas'!E20+'Segment - Europe'!E20+'Segment - Asia'!E20+'Segment - Beyond Yoga'!E20</f>
        <v>639</v>
      </c>
      <c r="F76" s="16">
        <f>'Segment - Americas'!F20+'Segment - Europe'!F20+'Segment - Asia'!F20+'Segment - Beyond Yoga'!F20</f>
        <v>800.3</v>
      </c>
      <c r="G76" s="16">
        <f>'Segment - Americas'!G20+'Segment - Europe'!G20+'Segment - Asia'!G20+'Segment - Beyond Yoga'!G20</f>
        <v>2809.1</v>
      </c>
      <c r="H76" s="7">
        <f>C75</f>
        <v>787.5</v>
      </c>
      <c r="I76" s="7">
        <f>D75</f>
        <v>716.1000000000001</v>
      </c>
      <c r="J76" s="46">
        <f>E75</f>
        <v>711.2</v>
      </c>
      <c r="K76" s="4" t="s">
        <v>126</v>
      </c>
      <c r="L76" s="2"/>
    </row>
    <row r="77">
      <c r="A77" s="2"/>
      <c r="B77" s="3" t="s">
        <v>95</v>
      </c>
      <c r="C77" s="5" t="s">
        <v>62</v>
      </c>
      <c r="D77" s="5">
        <f>IFERROR(IF(C75&lt;=0,"n/m",D75/C75-1),"n/a")</f>
        <v>-0.09066666666666645</v>
      </c>
      <c r="E77" s="5">
        <f>IFERROR(IF(D75&lt;=0,"n/m",E75/D75-1),"n/a")</f>
        <v>-0.006842619745845657</v>
      </c>
      <c r="F77" s="5">
        <f>IFERROR(IF(E75&lt;=0,"n/m",F75/E75-1),"n/a")</f>
        <v>0.2120359955005624</v>
      </c>
      <c r="G77" s="5" t="s">
        <v>62</v>
      </c>
      <c r="H77" s="5">
        <f>IFERROR(IF(F75&lt;=0,"n/m",H75/F75-1),"n/a")</f>
        <v>0.05742459396751731</v>
      </c>
      <c r="I77" s="5">
        <f>IFERROR(IF(H75&lt;=0,"n/m",I75/H75-1),"n/a")</f>
        <v>-0.12934722984092162</v>
      </c>
      <c r="J77" s="31">
        <f>IFERROR(IF(I75&lt;=0,"n/m",J75/I75-1),"n/a")</f>
        <v>-0.03901581401209675</v>
      </c>
      <c r="K77" s="2"/>
      <c r="L77" s="2"/>
    </row>
    <row r="78">
      <c r="A78" s="2"/>
      <c r="B78" s="3" t="s">
        <v>97</v>
      </c>
      <c r="C78" s="5">
        <f>IFERROR(C75/C43,"n/a")</f>
        <v>0.5157846476290281</v>
      </c>
      <c r="D78" s="5">
        <f>IFERROR(D75/D43,"n/a")</f>
        <v>0.4952282157676349</v>
      </c>
      <c r="E78" s="5">
        <f>IFERROR(E75/E43,"n/a")</f>
        <v>0.46080082933782557</v>
      </c>
      <c r="F78" s="5">
        <f>IFERROR(F75/F43,"n/a")</f>
        <v>0.4881640049835768</v>
      </c>
      <c r="G78" s="5">
        <f>IFERROR(G75/G43,"n/a")</f>
        <v>0.4897803247373447</v>
      </c>
      <c r="H78" s="5">
        <f>IFERROR(H75/H43,"n/a")</f>
        <v>0.5230989956958393</v>
      </c>
      <c r="I78" s="5">
        <f>IFERROR(I75/I43,"n/a")</f>
        <v>0.5080665813060179</v>
      </c>
      <c r="J78" s="31">
        <f>IFERROR(J75/J43,"n/a")</f>
        <v>0.46664844301095953</v>
      </c>
      <c r="K78" s="2"/>
      <c r="L78" s="2"/>
    </row>
    <row r="79">
      <c r="A79" s="2"/>
      <c r="B79" s="3" t="s">
        <v>116</v>
      </c>
      <c r="C79" s="5">
        <f>IFERROR(IF(OR(C76&lt;=0,ABS(C75/C76-1)&gt;5),"n/m",C75/C76-1),"n/a")</f>
        <v>0.09102244389027447</v>
      </c>
      <c r="D79" s="5">
        <f>IFERROR(IF(OR(D76&lt;=0,ABS(D75/D76-1)&gt;5),"n/m",D75/D76-1),"n/a")</f>
        <v>0.10509259259259252</v>
      </c>
      <c r="E79" s="5">
        <f>IFERROR(IF(OR(E76&lt;=0,ABS(E75/E76-1)&gt;5),"n/m",E75/E76-1),"n/a")</f>
        <v>0.1129890453834117</v>
      </c>
      <c r="F79" s="5">
        <f>IFERROR(IF(OR(F76&lt;=0,ABS(F75/F76-1)&gt;5),"n/m",F75/F76-1),"n/a")</f>
        <v>0.07709608896663767</v>
      </c>
      <c r="G79" s="5">
        <f>IFERROR(IF(OR(G76&lt;=0,ABS(G75/G76-1)&gt;5),"n/m",G75/G76-1),"n/a")</f>
        <v>0.0952974262219215</v>
      </c>
      <c r="H79" s="5">
        <f>IFERROR(IF(OR(H76&lt;=0,ABS(H75/H76-1)&gt;5),"n/m",H75/H76-1),"n/a")</f>
        <v>0.15746031746031752</v>
      </c>
      <c r="I79" s="5">
        <f>IFERROR(IF(OR(I76&lt;=0,ABS(I75/I76-1)&gt;5),"n/m",I75/I76-1),"n/a")</f>
        <v>0.10822510822510778</v>
      </c>
      <c r="J79" s="31">
        <f>IFERROR(IF(OR(J76&lt;=0,ABS(J75/J76-1)&gt;5),"n/m",J75/J76-1),"n/a")</f>
        <v>0.0723243110236218</v>
      </c>
      <c r="K79" s="2"/>
      <c r="L79" s="2"/>
    </row>
    <row r="80">
      <c r="A80" s="2"/>
      <c r="B80" s="41" t="s">
        <v>117</v>
      </c>
      <c r="C80" s="12">
        <v>-21.8</v>
      </c>
      <c r="D80" s="12">
        <v>1.1</v>
      </c>
      <c r="E80" s="12">
        <v>14.8</v>
      </c>
      <c r="F80" s="12">
        <v>17.8</v>
      </c>
      <c r="G80" s="12">
        <v>11.9</v>
      </c>
      <c r="H80" s="12">
        <v>41.3</v>
      </c>
      <c r="I80" s="12">
        <v>16</v>
      </c>
      <c r="J80" s="46">
        <f>J76*J57</f>
        <v>-1.9643939354671505</v>
      </c>
      <c r="K80" s="4" t="s">
        <v>127</v>
      </c>
      <c r="L80" s="2"/>
    </row>
    <row r="81">
      <c r="A81" s="2"/>
      <c r="B81" s="41" t="s">
        <v>119</v>
      </c>
      <c r="C81" s="12">
        <v>0</v>
      </c>
      <c r="D81" s="12">
        <v>0</v>
      </c>
      <c r="E81" s="12">
        <v>0</v>
      </c>
      <c r="F81" s="12">
        <v>-37</v>
      </c>
      <c r="G81" s="12">
        <v>-37</v>
      </c>
      <c r="H81" s="12">
        <v>0</v>
      </c>
      <c r="I81" s="12">
        <v>0</v>
      </c>
      <c r="J81" s="49">
        <v>0</v>
      </c>
      <c r="K81" s="2"/>
      <c r="L81" s="2"/>
    </row>
    <row r="82">
      <c r="A82" s="2"/>
      <c r="B82" s="41" t="s">
        <v>120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49">
        <v>0</v>
      </c>
      <c r="K82" s="2"/>
      <c r="L82" s="2"/>
    </row>
    <row r="83">
      <c r="A83" s="2"/>
      <c r="B83" s="41" t="s">
        <v>121</v>
      </c>
      <c r="C83" s="7">
        <f>C75+C82</f>
        <v>787.5</v>
      </c>
      <c r="D83" s="7">
        <f>D75+D82</f>
        <v>716.1000000000001</v>
      </c>
      <c r="E83" s="7">
        <f>E75+E82</f>
        <v>711.2</v>
      </c>
      <c r="F83" s="7">
        <f>F75+F82</f>
        <v>862.0000000000001</v>
      </c>
      <c r="G83" s="7">
        <f>G75+G82</f>
        <v>3076.7999999999997</v>
      </c>
      <c r="H83" s="7">
        <f>H75+H82</f>
        <v>911.5</v>
      </c>
      <c r="I83" s="7">
        <f>I75+I82</f>
        <v>793.5999999999999</v>
      </c>
      <c r="J83" s="46">
        <f>J75+J82</f>
        <v>762.6370499999999</v>
      </c>
      <c r="K83" s="2"/>
      <c r="L83" s="2"/>
    </row>
    <row r="84">
      <c r="A84" s="2"/>
      <c r="B84" s="41" t="s">
        <v>122</v>
      </c>
      <c r="C84" s="7">
        <f>C76+C80+C81</f>
        <v>700</v>
      </c>
      <c r="D84" s="7">
        <f>D76+D80+D81</f>
        <v>649.1000000000001</v>
      </c>
      <c r="E84" s="7">
        <f>E76+E80+E81</f>
        <v>653.8</v>
      </c>
      <c r="F84" s="7">
        <f>F76+F80+F81</f>
        <v>781.0999999999999</v>
      </c>
      <c r="G84" s="7">
        <f>G76+G80+G81</f>
        <v>2784</v>
      </c>
      <c r="H84" s="7">
        <f>H76+H80+H81</f>
        <v>828.8</v>
      </c>
      <c r="I84" s="7">
        <f>I76+I80+I81</f>
        <v>732.1000000000001</v>
      </c>
      <c r="J84" s="46">
        <f>J76+J80+J81</f>
        <v>709.2356060645329</v>
      </c>
      <c r="K84" s="2"/>
      <c r="L84" s="2"/>
    </row>
    <row r="85">
      <c r="A85" s="2"/>
      <c r="B85" s="3" t="s">
        <v>98</v>
      </c>
      <c r="C85" s="5">
        <f>IFERROR(C80/C76,"n/a")</f>
        <v>-0.030202272097533945</v>
      </c>
      <c r="D85" s="5">
        <f>IFERROR(D80/D76,"n/a")</f>
        <v>0.0016975308641975306</v>
      </c>
      <c r="E85" s="5">
        <f>IFERROR(E80/E76,"n/a")</f>
        <v>0.02316118935837246</v>
      </c>
      <c r="F85" s="5">
        <f>IFERROR(F80/F76,"n/a")</f>
        <v>0.022241659377733352</v>
      </c>
      <c r="G85" s="5">
        <f>IFERROR(G80/G76,"n/a")</f>
        <v>0.00423623224520309</v>
      </c>
      <c r="H85" s="5">
        <f>IFERROR(H80/H76,"n/a")</f>
        <v>0.05244444444444444</v>
      </c>
      <c r="I85" s="5">
        <f>IFERROR(I80/I76,"n/a")</f>
        <v>0.02234324814969976</v>
      </c>
      <c r="J85" s="31">
        <f>IFERROR(J80/J76,"n/a")</f>
        <v>-0.0027620837112867693</v>
      </c>
      <c r="K85" s="2"/>
      <c r="L85" s="2"/>
    </row>
    <row r="86">
      <c r="A86" s="2"/>
      <c r="B86" s="3" t="s">
        <v>99</v>
      </c>
      <c r="C86" s="5">
        <f>IFERROR((C76+C80+C81)/(C76+C80)*C75/(C75+C82)-1,"n/a")</f>
        <v>0</v>
      </c>
      <c r="D86" s="5">
        <f>IFERROR((D76+D80+D81)/(D76+D80)*D75/(D75+D82)-1,"n/a")</f>
        <v>0</v>
      </c>
      <c r="E86" s="5">
        <f>IFERROR((E76+E80+E81)/(E76+E80)*E75/(E75+E82)-1,"n/a")</f>
        <v>0</v>
      </c>
      <c r="F86" s="5">
        <f>IFERROR((F76+F80+F81)/(F76+F80)*F75/(F75+F82)-1,"n/a")</f>
        <v>-0.04522674489671186</v>
      </c>
      <c r="G86" s="5">
        <f>IFERROR((G76+G80+G81)/(G76+G80)*G75/(G75+G82)-1,"n/a")</f>
        <v>-0.013115916341722822</v>
      </c>
      <c r="H86" s="5">
        <f>IFERROR((H76+H80+H81)/(H76+H80)*H75/(H75+H82)-1,"n/a")</f>
        <v>0</v>
      </c>
      <c r="I86" s="5">
        <f>IFERROR((I76+I80+I81)/(I76+I80)*I75/(I75+I82)-1,"n/a")</f>
        <v>0</v>
      </c>
      <c r="J86" s="31">
        <f>IFERROR((J76+J80+J81)/(J76+J80)*J75/(J75+J82)-1,"n/a")</f>
        <v>0</v>
      </c>
      <c r="K86" s="2"/>
      <c r="L86" s="2"/>
    </row>
    <row r="87">
      <c r="A87" s="2"/>
      <c r="B87" s="3" t="s">
        <v>100</v>
      </c>
      <c r="C87" s="5">
        <f>IFERROR((1+C79)/((1+C86)*(1+C85))-1,"n/a")</f>
        <v>0.12500000000000022</v>
      </c>
      <c r="D87" s="5">
        <f>IFERROR((1+D79)/((1+D86)*(1+D85))-1,"n/a")</f>
        <v>0.1032198428593436</v>
      </c>
      <c r="E87" s="5">
        <f>IFERROR((1+E79)/((1+E86)*(1+E85))-1,"n/a")</f>
        <v>0.08779443254817987</v>
      </c>
      <c r="F87" s="5">
        <f>IFERROR((1+F79)/((1+F86)*(1+F85))-1,"n/a")</f>
        <v>0.10357188580207422</v>
      </c>
      <c r="G87" s="5">
        <f>IFERROR((1+G79)/((1+G86)*(1+G85))-1,"n/a")</f>
        <v>0.10517241379310316</v>
      </c>
      <c r="H87" s="5">
        <f>IFERROR((1+H79)/((1+H86)*(1+H85))-1,"n/a")</f>
        <v>0.09978281853281845</v>
      </c>
      <c r="I87" s="5">
        <f>IFERROR((1+I79)/((1+I86)*(1+I85))-1,"n/a")</f>
        <v>0.08400491736101601</v>
      </c>
      <c r="J87" s="31">
        <f>IFERROR((1+J79)/((1+J86)*(1+J85))-1,"n/a")</f>
        <v>0.07529436407146206</v>
      </c>
      <c r="K87" s="2"/>
      <c r="L87" s="2"/>
    </row>
    <row r="88">
      <c r="A88" s="2"/>
      <c r="B88" s="34" t="s">
        <v>129</v>
      </c>
      <c r="C88" s="7">
        <f>ROUND(C62+C75-C43,1)</f>
        <v>0</v>
      </c>
      <c r="D88" s="7">
        <f>ROUND(D62+D75-D43,1)</f>
        <v>0</v>
      </c>
      <c r="E88" s="7">
        <f>ROUND(E62+E75-E43,1)</f>
        <v>0</v>
      </c>
      <c r="F88" s="7">
        <f>ROUND(F62+F75-F43,1)</f>
        <v>0</v>
      </c>
      <c r="G88" s="7">
        <f>ROUND(G62+G75-G43,1)</f>
        <v>0</v>
      </c>
      <c r="H88" s="7">
        <f>ROUND(H62+H75-H43,1)</f>
        <v>0</v>
      </c>
      <c r="I88" s="7">
        <f>ROUND(I62+I75-I43,1)</f>
        <v>0</v>
      </c>
      <c r="J88" s="46">
        <f>ROUND(J62+J75-J43,1)</f>
        <v>0</v>
      </c>
      <c r="K88" s="2"/>
      <c r="L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A90" s="2"/>
      <c r="B90" s="43" t="s">
        <v>130</v>
      </c>
      <c r="C90" s="2"/>
      <c r="D90" s="2"/>
      <c r="E90" s="2"/>
      <c r="F90" s="2"/>
      <c r="G90" s="2"/>
      <c r="H90" s="2"/>
      <c r="I90" s="2"/>
      <c r="J90" s="23"/>
      <c r="K90" s="2"/>
      <c r="L90" s="2"/>
    </row>
    <row r="91">
      <c r="A91" s="2"/>
      <c r="B91" s="47" t="s">
        <v>131</v>
      </c>
      <c r="C91" s="14">
        <f>C11+C19+C27</f>
        <v>1491.6</v>
      </c>
      <c r="D91" s="14">
        <f>D11+D19+D27</f>
        <v>1409.2</v>
      </c>
      <c r="E91" s="14">
        <f>E11+E19+E27</f>
        <v>1510.4</v>
      </c>
      <c r="F91" s="14">
        <f>F11+F19+F27</f>
        <v>1719.5000000000005</v>
      </c>
      <c r="G91" s="14">
        <f>G11+G19+G27</f>
        <v>6130.700000000001</v>
      </c>
      <c r="H91" s="14">
        <f>H11+H19+H27</f>
        <v>1699.2</v>
      </c>
      <c r="I91" s="14">
        <f>I11+I19+I27</f>
        <v>1519.4</v>
      </c>
      <c r="J91" s="36">
        <f>J11+J19+J27</f>
        <v>1596.84107</v>
      </c>
      <c r="K91" s="2"/>
      <c r="L91" s="2"/>
    </row>
    <row r="92">
      <c r="A92" s="2"/>
      <c r="B92" s="41" t="s">
        <v>108</v>
      </c>
      <c r="C92" s="16">
        <f>'Segment - Americas'!C28+'Segment - Europe'!C28+'Segment - Asia'!C28</f>
        <v>1448.1</v>
      </c>
      <c r="D92" s="16">
        <f>'Segment - Americas'!D28+'Segment - Europe'!D28+'Segment - Asia'!D28</f>
        <v>1325.9</v>
      </c>
      <c r="E92" s="16">
        <f>'Segment - Americas'!E28+'Segment - Europe'!E28+'Segment - Asia'!E28</f>
        <v>1410.9</v>
      </c>
      <c r="F92" s="16">
        <f>'Segment - Americas'!F28+'Segment - Europe'!F28+'Segment - Asia'!F28</f>
        <v>1716</v>
      </c>
      <c r="G92" s="16">
        <f>'Segment - Americas'!G28+'Segment - Europe'!G28+'Segment - Asia'!G28</f>
        <v>5900.9</v>
      </c>
      <c r="H92" s="7">
        <f>C91</f>
        <v>1491.6</v>
      </c>
      <c r="I92" s="7">
        <f>D91</f>
        <v>1409.2</v>
      </c>
      <c r="J92" s="46">
        <f>E91</f>
        <v>1510.4</v>
      </c>
      <c r="K92" s="4" t="s">
        <v>132</v>
      </c>
      <c r="L92" s="2"/>
    </row>
    <row r="93">
      <c r="A93" s="2"/>
      <c r="B93" s="3" t="s">
        <v>97</v>
      </c>
      <c r="C93" s="5">
        <f>IFERROR(C91/C43,"n/a")</f>
        <v>0.9769452449567723</v>
      </c>
      <c r="D93" s="5">
        <f>IFERROR(D91/D43,"n/a")</f>
        <v>0.9745504840940525</v>
      </c>
      <c r="E93" s="5">
        <f>IFERROR(E91/E43,"n/a")</f>
        <v>0.9786186341842685</v>
      </c>
      <c r="F93" s="5">
        <f>IFERROR(F91/F43,"n/a")</f>
        <v>0.9737795899875411</v>
      </c>
      <c r="G93" s="5">
        <f>IFERROR(G91/G43,"n/a")</f>
        <v>0.9759153135943966</v>
      </c>
      <c r="H93" s="5">
        <f>IFERROR(H91/H43,"n/a")</f>
        <v>0.9751506456241034</v>
      </c>
      <c r="I93" s="5">
        <f>IFERROR(I91/I43,"n/a")</f>
        <v>0.9727272727272728</v>
      </c>
      <c r="J93" s="31">
        <f>IFERROR(J91/J43,"n/a")</f>
        <v>0.9770878546373464</v>
      </c>
      <c r="K93" s="2"/>
      <c r="L93" s="2"/>
    </row>
    <row r="94">
      <c r="A94" s="2"/>
      <c r="B94" s="3" t="s">
        <v>116</v>
      </c>
      <c r="C94" s="5">
        <f>IFERROR(IF(OR(C92&lt;=0,ABS(C91/C92-1)&gt;5),"n/m",C91/C92-1),"n/a")</f>
        <v>0.030039361922519214</v>
      </c>
      <c r="D94" s="5">
        <f>IFERROR(IF(OR(D92&lt;=0,ABS(D91/D92-1)&gt;5),"n/m",D91/D92-1),"n/a")</f>
        <v>0.06282525077305978</v>
      </c>
      <c r="E94" s="5">
        <f>IFERROR(IF(OR(E92&lt;=0,ABS(E91/E92-1)&gt;5),"n/m",E91/E92-1),"n/a")</f>
        <v>0.07052236161315473</v>
      </c>
      <c r="F94" s="5">
        <f>IFERROR(IF(OR(F92&lt;=0,ABS(F91/F92-1)&gt;5),"n/m",F91/F92-1),"n/a")</f>
        <v>0.0020396270396272342</v>
      </c>
      <c r="G94" s="5">
        <f>IFERROR(IF(OR(G92&lt;=0,ABS(G91/G92-1)&gt;5),"n/m",G91/G92-1),"n/a")</f>
        <v>0.03894321205239892</v>
      </c>
      <c r="H94" s="5">
        <f>IFERROR(IF(OR(H92&lt;=0,ABS(H91/H92-1)&gt;5),"n/m",H91/H92-1),"n/a")</f>
        <v>0.13917940466613032</v>
      </c>
      <c r="I94" s="5">
        <f>IFERROR(IF(OR(I92&lt;=0,ABS(I91/I92-1)&gt;5),"n/m",I91/I92-1),"n/a")</f>
        <v>0.0782003973885892</v>
      </c>
      <c r="J94" s="31">
        <f>IFERROR(IF(OR(J92&lt;=0,ABS(J91/J92-1)&gt;5),"n/m",J91/J92-1),"n/a")</f>
        <v>0.0572305813029661</v>
      </c>
      <c r="K94" s="2"/>
      <c r="L94" s="2"/>
    </row>
    <row r="95">
      <c r="A95" s="2"/>
      <c r="B95" s="41" t="s">
        <v>117</v>
      </c>
      <c r="C95" s="16">
        <f>'Segment - Americas'!C35+'Segment - Europe'!C35+'Segment - Asia'!C35</f>
        <v>-45.900000000000006</v>
      </c>
      <c r="D95" s="16">
        <f>'Segment - Americas'!D35+'Segment - Europe'!D35+'Segment - Asia'!D35</f>
        <v>-7.8</v>
      </c>
      <c r="E95" s="16">
        <f>'Segment - Americas'!E35+'Segment - Europe'!E35+'Segment - Asia'!E35</f>
        <v>26.6</v>
      </c>
      <c r="F95" s="16">
        <f>'Segment - Americas'!F35+'Segment - Europe'!F35+'Segment - Asia'!F35</f>
        <v>31.6</v>
      </c>
      <c r="G95" s="16">
        <f>'Segment - Americas'!G35+'Segment - Europe'!G35+'Segment - Asia'!G35</f>
        <v>4.5</v>
      </c>
      <c r="H95" s="16">
        <f>'Segment - Americas'!H35+'Segment - Europe'!H35+'Segment - Asia'!H35</f>
        <v>70.79999999999998</v>
      </c>
      <c r="I95" s="16">
        <f>'Segment - Americas'!I35+'Segment - Europe'!I35+'Segment - Asia'!I35</f>
        <v>31.599999999999998</v>
      </c>
      <c r="J95" s="19">
        <f>'Segment - Americas'!J35+'Segment - Europe'!J35+'Segment - Asia'!J35</f>
        <v>-4.263</v>
      </c>
      <c r="K95" s="4" t="s">
        <v>133</v>
      </c>
      <c r="L95" s="2"/>
    </row>
    <row r="96">
      <c r="A96" s="2"/>
      <c r="B96" s="41" t="s">
        <v>119</v>
      </c>
      <c r="C96" s="16">
        <f>'Segment - Americas'!C36+'Segment - Europe'!C36+'Segment - Asia'!C36</f>
        <v>-30.2</v>
      </c>
      <c r="D96" s="16">
        <f>'Segment - Americas'!D36+'Segment - Europe'!D36+'Segment - Asia'!D36</f>
        <v>-21.799999999999997</v>
      </c>
      <c r="E96" s="16">
        <f>'Segment - Americas'!E36+'Segment - Europe'!E36+'Segment - Asia'!E36</f>
        <v>-25.3</v>
      </c>
      <c r="F96" s="16">
        <f>'Segment - Americas'!F36+'Segment - Europe'!F36+'Segment - Asia'!F36</f>
        <v>-97.5</v>
      </c>
      <c r="G96" s="16">
        <f>'Segment - Americas'!G36+'Segment - Europe'!G36+'Segment - Asia'!G36</f>
        <v>-174.8</v>
      </c>
      <c r="H96" s="16">
        <f>'Segment - Americas'!H36+'Segment - Europe'!H36+'Segment - Asia'!H36</f>
        <v>-2.3</v>
      </c>
      <c r="I96" s="16">
        <f>'Segment - Americas'!I36+'Segment - Europe'!I36+'Segment - Asia'!I36</f>
        <v>0</v>
      </c>
      <c r="J96" s="19">
        <f>'Segment - Americas'!J36+'Segment - Europe'!J36+'Segment - Asia'!J36</f>
        <v>0</v>
      </c>
      <c r="K96" s="2"/>
      <c r="L96" s="2"/>
    </row>
    <row r="97">
      <c r="A97" s="2"/>
      <c r="B97" s="41" t="s">
        <v>120</v>
      </c>
      <c r="C97" s="16">
        <f>'Segment - Americas'!C37+'Segment - Europe'!C37+'Segment - Asia'!C37</f>
        <v>-2.3</v>
      </c>
      <c r="D97" s="16">
        <f>'Segment - Americas'!D37+'Segment - Europe'!D37+'Segment - Asia'!D37</f>
        <v>0</v>
      </c>
      <c r="E97" s="16">
        <f>'Segment - Americas'!E37+'Segment - Europe'!E37+'Segment - Asia'!E37</f>
        <v>0</v>
      </c>
      <c r="F97" s="16">
        <f>'Segment - Americas'!F37+'Segment - Europe'!F37+'Segment - Asia'!F37</f>
        <v>0</v>
      </c>
      <c r="G97" s="16">
        <f>'Segment - Americas'!G37+'Segment - Europe'!G37+'Segment - Asia'!G37</f>
        <v>-2.3</v>
      </c>
      <c r="H97" s="16">
        <f>'Segment - Americas'!H37+'Segment - Europe'!H37+'Segment - Asia'!H37</f>
        <v>0</v>
      </c>
      <c r="I97" s="16">
        <f>'Segment - Americas'!I37+'Segment - Europe'!I37+'Segment - Asia'!I37</f>
        <v>0</v>
      </c>
      <c r="J97" s="19">
        <f>'Segment - Americas'!J37+'Segment - Europe'!J37+'Segment - Asia'!J37</f>
        <v>0</v>
      </c>
      <c r="K97" s="2"/>
      <c r="L97" s="2"/>
    </row>
    <row r="98">
      <c r="A98" s="2"/>
      <c r="B98" s="41" t="s">
        <v>121</v>
      </c>
      <c r="C98" s="7">
        <f>C91+C97</f>
        <v>1489.3</v>
      </c>
      <c r="D98" s="7">
        <f>D91+D97</f>
        <v>1409.2</v>
      </c>
      <c r="E98" s="7">
        <f>E91+E97</f>
        <v>1510.4</v>
      </c>
      <c r="F98" s="7">
        <f>F91+F97</f>
        <v>1719.5000000000005</v>
      </c>
      <c r="G98" s="7">
        <f>G91+G97</f>
        <v>6128.400000000001</v>
      </c>
      <c r="H98" s="7">
        <f>H91+H97</f>
        <v>1699.2</v>
      </c>
      <c r="I98" s="7">
        <f>I91+I97</f>
        <v>1519.4</v>
      </c>
      <c r="J98" s="46">
        <f>J91+J97</f>
        <v>1596.84107</v>
      </c>
      <c r="K98" s="2"/>
      <c r="L98" s="2"/>
    </row>
    <row r="99">
      <c r="A99" s="2"/>
      <c r="B99" s="41" t="s">
        <v>122</v>
      </c>
      <c r="C99" s="7">
        <f>C92+C95+C96</f>
        <v>1371.9999999999998</v>
      </c>
      <c r="D99" s="7">
        <f>D92+D95+D96</f>
        <v>1296.3000000000002</v>
      </c>
      <c r="E99" s="7">
        <f>E92+E95+E96</f>
        <v>1412.2</v>
      </c>
      <c r="F99" s="7">
        <f>F92+F95+F96</f>
        <v>1650.1</v>
      </c>
      <c r="G99" s="7">
        <f>G92+G95+G96</f>
        <v>5730.599999999999</v>
      </c>
      <c r="H99" s="7">
        <f>H92+H95+H96</f>
        <v>1560.1</v>
      </c>
      <c r="I99" s="7">
        <f>I92+I95+I96</f>
        <v>1440.8</v>
      </c>
      <c r="J99" s="46">
        <f>J92+J95+J96</f>
        <v>1506.1370000000002</v>
      </c>
      <c r="K99" s="2"/>
      <c r="L99" s="2"/>
    </row>
    <row r="100">
      <c r="A100" s="2"/>
      <c r="B100" s="3" t="s">
        <v>98</v>
      </c>
      <c r="C100" s="5">
        <f>IFERROR(C95/C92,"n/a")</f>
        <v>-0.03169670602858919</v>
      </c>
      <c r="D100" s="5">
        <f>IFERROR(D95/D92,"n/a")</f>
        <v>-0.005882796590994796</v>
      </c>
      <c r="E100" s="5">
        <f>IFERROR(E95/E92,"n/a")</f>
        <v>0.018853214260401163</v>
      </c>
      <c r="F100" s="5">
        <f>IFERROR(F95/F92,"n/a")</f>
        <v>0.018414918414918414</v>
      </c>
      <c r="G100" s="5">
        <f>IFERROR(G95/G92,"n/a")</f>
        <v>0.0007625955362741277</v>
      </c>
      <c r="H100" s="5">
        <f>IFERROR(H95/H92,"n/a")</f>
        <v>0.04746580852775542</v>
      </c>
      <c r="I100" s="5">
        <f>IFERROR(I95/I92,"n/a")</f>
        <v>0.022424070394550098</v>
      </c>
      <c r="J100" s="31">
        <f>IFERROR(J95/J92,"n/a")</f>
        <v>-0.0028224311440677966</v>
      </c>
      <c r="K100" s="2"/>
      <c r="L100" s="2"/>
    </row>
    <row r="101">
      <c r="A101" s="2"/>
      <c r="B101" s="3" t="s">
        <v>99</v>
      </c>
      <c r="C101" s="5">
        <f>IFERROR((C92+C95+C96)/(C92+C95)*C91/(C91+C97)-1,"n/a")</f>
        <v>-0.02002649566336001</v>
      </c>
      <c r="D101" s="5">
        <f>IFERROR((D92+D95+D96)/(D92+D95)*D91/(D91+D97)-1,"n/a")</f>
        <v>-0.01653895759047108</v>
      </c>
      <c r="E101" s="5">
        <f>IFERROR((E92+E95+E96)/(E92+E95)*E91/(E91+E97)-1,"n/a")</f>
        <v>-0.01759999999999995</v>
      </c>
      <c r="F101" s="5">
        <f>IFERROR((F92+F95+F96)/(F92+F95)*F91/(F91+F97)-1,"n/a")</f>
        <v>-0.055790798809796316</v>
      </c>
      <c r="G101" s="5">
        <f>IFERROR((G92+G95+G96)/(G92+G95)*G91/(G91+G97)-1,"n/a")</f>
        <v>-0.02923583416621689</v>
      </c>
      <c r="H101" s="5">
        <f>IFERROR((H92+H95+H96)/(H92+H95)*H91/(H91+H97)-1,"n/a")</f>
        <v>-0.0014720942140297177</v>
      </c>
      <c r="I101" s="5">
        <f>IFERROR((I92+I95+I96)/(I92+I95)*I91/(I91+I97)-1,"n/a")</f>
        <v>0</v>
      </c>
      <c r="J101" s="31">
        <f>IFERROR((J92+J95+J96)/(J92+J95)*J91/(J91+J97)-1,"n/a")</f>
        <v>0</v>
      </c>
      <c r="K101" s="2"/>
      <c r="L101" s="2"/>
    </row>
    <row r="102">
      <c r="A102" s="2"/>
      <c r="B102" s="3" t="s">
        <v>100</v>
      </c>
      <c r="C102" s="5">
        <f>IFERROR((1+C94)/((1+C101)*(1+C100))-1,"n/a")</f>
        <v>0.08549562682215761</v>
      </c>
      <c r="D102" s="5">
        <f>IFERROR((1+D94)/((1+D101)*(1+D100))-1,"n/a")</f>
        <v>0.08709403687418038</v>
      </c>
      <c r="E102" s="5">
        <f>IFERROR((1+E94)/((1+E101)*(1+E100))-1,"n/a")</f>
        <v>0.06953689279138908</v>
      </c>
      <c r="F102" s="5">
        <f>IFERROR((1+F94)/((1+F101)*(1+F100))-1,"n/a")</f>
        <v>0.04205805708744936</v>
      </c>
      <c r="G102" s="5">
        <f>IFERROR((1+G94)/((1+G101)*(1+G100))-1,"n/a")</f>
        <v>0.06941681499319441</v>
      </c>
      <c r="H102" s="5">
        <f>IFERROR((1+H94)/((1+H101)*(1+H100))-1,"n/a")</f>
        <v>0.08916095122107559</v>
      </c>
      <c r="I102" s="5">
        <f>IFERROR((1+I94)/((1+I101)*(1+I100))-1,"n/a")</f>
        <v>0.05455302609661272</v>
      </c>
      <c r="J102" s="31">
        <f>IFERROR((1+J94)/((1+J101)*(1+J100))-1,"n/a")</f>
        <v>0.06022298768305934</v>
      </c>
      <c r="K102" s="2"/>
      <c r="L102" s="2"/>
    </row>
    <row r="103">
      <c r="A103" s="2"/>
      <c r="B103" s="34" t="s">
        <v>134</v>
      </c>
      <c r="C103" s="12">
        <v>1432.8</v>
      </c>
      <c r="D103" s="12">
        <v>1352.8</v>
      </c>
      <c r="E103" s="12">
        <v>1450.8</v>
      </c>
      <c r="F103" s="12">
        <v>1646.3</v>
      </c>
      <c r="G103" s="7">
        <f>C103+D103+E103+F103</f>
        <v>5882.7</v>
      </c>
      <c r="H103" s="12">
        <v>1633.5</v>
      </c>
      <c r="I103" s="12">
        <v>1462.1</v>
      </c>
      <c r="J103" s="46">
        <f>J91-J115-J127</f>
        <v>1531.466108585805</v>
      </c>
      <c r="K103" s="4" t="s">
        <v>135</v>
      </c>
      <c r="L103" s="2"/>
    </row>
    <row r="104">
      <c r="A104" s="2"/>
      <c r="B104" s="41" t="s">
        <v>108</v>
      </c>
      <c r="C104" s="12">
        <v>1385.9</v>
      </c>
      <c r="D104" s="12">
        <v>1259.9</v>
      </c>
      <c r="E104" s="12">
        <v>1358.5</v>
      </c>
      <c r="F104" s="12">
        <v>1637.5</v>
      </c>
      <c r="G104" s="12">
        <v>5641.8</v>
      </c>
      <c r="H104" s="7">
        <f>C103</f>
        <v>1432.8</v>
      </c>
      <c r="I104" s="7">
        <f>D103</f>
        <v>1352.8</v>
      </c>
      <c r="J104" s="46">
        <f>E103</f>
        <v>1450.8</v>
      </c>
      <c r="K104" s="2"/>
      <c r="L104" s="2"/>
    </row>
    <row r="105">
      <c r="A105" s="2"/>
      <c r="B105" s="3" t="s">
        <v>97</v>
      </c>
      <c r="C105" s="5">
        <f>IFERROR(C103/C43,"n/a")</f>
        <v>0.9384333246004716</v>
      </c>
      <c r="D105" s="5">
        <f>IFERROR(D103/D43,"n/a")</f>
        <v>0.9355463347164592</v>
      </c>
      <c r="E105" s="5">
        <f>IFERROR(E103/E43,"n/a")</f>
        <v>0.9400025916807049</v>
      </c>
      <c r="F105" s="5">
        <f>IFERROR(F103/F43,"n/a")</f>
        <v>0.9323252916525085</v>
      </c>
      <c r="G105" s="5">
        <f>IFERROR(G103/G43,"n/a")</f>
        <v>0.936437440305635</v>
      </c>
      <c r="H105" s="5">
        <f>IFERROR(H103/H43,"n/a")</f>
        <v>0.9374461979913917</v>
      </c>
      <c r="I105" s="5">
        <f>IFERROR(I103/I43,"n/a")</f>
        <v>0.9360435339308578</v>
      </c>
      <c r="J105" s="31">
        <f>IFERROR(J103/J43,"n/a")</f>
        <v>0.9370857016396187</v>
      </c>
      <c r="K105" s="2"/>
      <c r="L105" s="2"/>
    </row>
    <row r="106">
      <c r="A106" s="2"/>
      <c r="B106" s="3" t="s">
        <v>116</v>
      </c>
      <c r="C106" s="5">
        <f>IFERROR(IF(OR(C104&lt;=0,ABS(C103/C104-1)&gt;5),"n/m",C103/C104-1),"n/a")</f>
        <v>0.03384082545638201</v>
      </c>
      <c r="D106" s="5">
        <f>IFERROR(IF(OR(D104&lt;=0,ABS(D103/D104-1)&gt;5),"n/m",D103/D104-1),"n/a")</f>
        <v>0.07373601079450731</v>
      </c>
      <c r="E106" s="5">
        <f>IFERROR(IF(OR(E104&lt;=0,ABS(E103/E104-1)&gt;5),"n/m",E103/E104-1),"n/a")</f>
        <v>0.0679425837320573</v>
      </c>
      <c r="F106" s="5">
        <f>IFERROR(IF(OR(F104&lt;=0,ABS(F103/F104-1)&gt;5),"n/m",F103/F104-1),"n/a")</f>
        <v>0.005374045801526783</v>
      </c>
      <c r="G106" s="5">
        <f>IFERROR(IF(OR(G104&lt;=0,ABS(G103/G104-1)&gt;5),"n/m",G103/G104-1),"n/a")</f>
        <v>0.04269913857279595</v>
      </c>
      <c r="H106" s="5">
        <f>IFERROR(IF(OR(H104&lt;=0,ABS(H103/H104-1)&gt;5),"n/m",H103/H104-1),"n/a")</f>
        <v>0.14007537688442206</v>
      </c>
      <c r="I106" s="5">
        <f>IFERROR(IF(OR(I104&lt;=0,ABS(I103/I104-1)&gt;5),"n/m",I103/I104-1),"n/a")</f>
        <v>0.08079538734476643</v>
      </c>
      <c r="J106" s="31">
        <f>IFERROR(IF(OR(J104&lt;=0,ABS(J103/J104-1)&gt;5),"n/m",J103/J104-1),"n/a")</f>
        <v>0.05560112254328997</v>
      </c>
      <c r="K106" s="2"/>
      <c r="L106" s="2"/>
    </row>
    <row r="107">
      <c r="A107" s="2"/>
      <c r="B107" s="41" t="s">
        <v>117</v>
      </c>
      <c r="C107" s="12">
        <v>-45.4</v>
      </c>
      <c r="D107" s="12">
        <v>-7.3</v>
      </c>
      <c r="E107" s="12">
        <v>26.6</v>
      </c>
      <c r="F107" s="12">
        <v>31.6</v>
      </c>
      <c r="G107" s="12">
        <v>5.5</v>
      </c>
      <c r="H107" s="12">
        <v>70.6</v>
      </c>
      <c r="I107" s="12">
        <v>31.4</v>
      </c>
      <c r="J107" s="46">
        <f>J95-J119-J131</f>
        <v>-4.094783103813559</v>
      </c>
      <c r="K107" s="4" t="s">
        <v>136</v>
      </c>
      <c r="L107" s="2"/>
    </row>
    <row r="108">
      <c r="A108" s="2"/>
      <c r="B108" s="41" t="s">
        <v>119</v>
      </c>
      <c r="C108" s="12">
        <v>-16</v>
      </c>
      <c r="D108" s="12">
        <v>-12.2</v>
      </c>
      <c r="E108" s="12">
        <v>-22.1</v>
      </c>
      <c r="F108" s="12">
        <v>-92</v>
      </c>
      <c r="G108" s="12">
        <v>-142.3</v>
      </c>
      <c r="H108" s="12">
        <v>0</v>
      </c>
      <c r="I108" s="12">
        <v>0</v>
      </c>
      <c r="J108" s="49">
        <v>0</v>
      </c>
      <c r="K108" s="2"/>
      <c r="L108" s="2"/>
    </row>
    <row r="109">
      <c r="A109" s="2"/>
      <c r="B109" s="41" t="s">
        <v>120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49">
        <v>0</v>
      </c>
      <c r="K109" s="2"/>
      <c r="L109" s="2"/>
    </row>
    <row r="110">
      <c r="A110" s="2"/>
      <c r="B110" s="41" t="s">
        <v>121</v>
      </c>
      <c r="C110" s="7">
        <f>C103+C109</f>
        <v>1432.8</v>
      </c>
      <c r="D110" s="7">
        <f>D103+D109</f>
        <v>1352.8</v>
      </c>
      <c r="E110" s="7">
        <f>E103+E109</f>
        <v>1450.8</v>
      </c>
      <c r="F110" s="7">
        <f>F103+F109</f>
        <v>1646.3</v>
      </c>
      <c r="G110" s="7">
        <f>G103+G109</f>
        <v>5882.7</v>
      </c>
      <c r="H110" s="7">
        <f>H103+H109</f>
        <v>1633.5</v>
      </c>
      <c r="I110" s="7">
        <f>I103+I109</f>
        <v>1462.1</v>
      </c>
      <c r="J110" s="46">
        <f>J103+J109</f>
        <v>1531.466108585805</v>
      </c>
      <c r="K110" s="2"/>
      <c r="L110" s="2"/>
    </row>
    <row r="111">
      <c r="A111" s="2"/>
      <c r="B111" s="41" t="s">
        <v>122</v>
      </c>
      <c r="C111" s="7">
        <f>C104+C107+C108</f>
        <v>1324.5</v>
      </c>
      <c r="D111" s="7">
        <f>D104+D107+D108</f>
        <v>1240.4</v>
      </c>
      <c r="E111" s="7">
        <f>E104+E107+E108</f>
        <v>1363</v>
      </c>
      <c r="F111" s="7">
        <f>F104+F107+F108</f>
        <v>1577.1</v>
      </c>
      <c r="G111" s="7">
        <f>G104+G107+G108</f>
        <v>5505</v>
      </c>
      <c r="H111" s="7">
        <f>H104+H107+H108</f>
        <v>1503.3999999999999</v>
      </c>
      <c r="I111" s="7">
        <f>I104+I107+I108</f>
        <v>1384.2</v>
      </c>
      <c r="J111" s="46">
        <f>J104+J107+J108</f>
        <v>1446.7052168961864</v>
      </c>
      <c r="K111" s="2"/>
      <c r="L111" s="2"/>
    </row>
    <row r="112">
      <c r="A112" s="2"/>
      <c r="B112" s="3" t="s">
        <v>98</v>
      </c>
      <c r="C112" s="5">
        <f>IFERROR(C107/C104,"n/a")</f>
        <v>-0.03275849628400317</v>
      </c>
      <c r="D112" s="5">
        <f>IFERROR(D107/D104,"n/a")</f>
        <v>-0.005794110643701881</v>
      </c>
      <c r="E112" s="5">
        <f>IFERROR(E107/E104,"n/a")</f>
        <v>0.019580419580419582</v>
      </c>
      <c r="F112" s="5">
        <f>IFERROR(F107/F104,"n/a")</f>
        <v>0.019297709923664124</v>
      </c>
      <c r="G112" s="5">
        <f>IFERROR(G107/G104,"n/a")</f>
        <v>0.0009748661774610939</v>
      </c>
      <c r="H112" s="5">
        <f>IFERROR(H107/H104,"n/a")</f>
        <v>0.049274148520379674</v>
      </c>
      <c r="I112" s="5">
        <f>IFERROR(I107/I104,"n/a")</f>
        <v>0.023211117681845063</v>
      </c>
      <c r="J112" s="31">
        <f>IFERROR(J107/J104,"n/a")</f>
        <v>-0.0028224311440677966</v>
      </c>
      <c r="K112" s="2"/>
      <c r="L112" s="2"/>
    </row>
    <row r="113">
      <c r="A113" s="2"/>
      <c r="B113" s="3" t="s">
        <v>99</v>
      </c>
      <c r="C113" s="5">
        <f>IFERROR((C104+C107+C108)/(C104+C107)*C103/(C103+C109)-1,"n/a")</f>
        <v>-0.011935844834017217</v>
      </c>
      <c r="D113" s="5">
        <f>IFERROR((D104+D107+D108)/(D104+D107)*D103/(D103+D109)-1,"n/a")</f>
        <v>-0.009739741338016916</v>
      </c>
      <c r="E113" s="5">
        <f>IFERROR((E104+E107+E108)/(E104+E107)*E103/(E103+E109)-1,"n/a")</f>
        <v>-0.015955526676774134</v>
      </c>
      <c r="F113" s="5">
        <f>IFERROR((F104+F107+F108)/(F104+F107)*F103/(F103+F109)-1,"n/a")</f>
        <v>-0.05511952549278054</v>
      </c>
      <c r="G113" s="5">
        <f>IFERROR((G104+G107+G108)/(G104+G107)*G103/(G103+G109)-1,"n/a")</f>
        <v>-0.02519788217378216</v>
      </c>
      <c r="H113" s="5">
        <f>IFERROR((H104+H107+H108)/(H104+H107)*H103/(H103+H109)-1,"n/a")</f>
        <v>0</v>
      </c>
      <c r="I113" s="5">
        <f>IFERROR((I104+I107+I108)/(I104+I107)*I103/(I103+I109)-1,"n/a")</f>
        <v>0</v>
      </c>
      <c r="J113" s="31">
        <f>IFERROR((J104+J107+J108)/(J104+J107)*J103/(J103+J109)-1,"n/a")</f>
        <v>0</v>
      </c>
      <c r="K113" s="2"/>
      <c r="L113" s="2"/>
    </row>
    <row r="114">
      <c r="A114" s="2"/>
      <c r="B114" s="3" t="s">
        <v>100</v>
      </c>
      <c r="C114" s="5">
        <f>IFERROR((1+C106)/((1+C113)*(1+C112))-1,"n/a")</f>
        <v>0.08176670441676093</v>
      </c>
      <c r="D114" s="5">
        <f>IFERROR((1+D106)/((1+D113)*(1+D112))-1,"n/a")</f>
        <v>0.09061593034504978</v>
      </c>
      <c r="E114" s="5">
        <f>IFERROR((1+E106)/((1+E113)*(1+E112))-1,"n/a")</f>
        <v>0.06441672780630925</v>
      </c>
      <c r="F114" s="5">
        <f>IFERROR((1+F106)/((1+F113)*(1+F112))-1,"n/a")</f>
        <v>0.043878003931266285</v>
      </c>
      <c r="G114" s="5">
        <f>IFERROR((1+G106)/((1+G113)*(1+G112))-1,"n/a")</f>
        <v>0.06861035422343331</v>
      </c>
      <c r="H114" s="5">
        <f>IFERROR((1+H106)/((1+H113)*(1+H112))-1,"n/a")</f>
        <v>0.08653718238659036</v>
      </c>
      <c r="I114" s="5">
        <f>IFERROR((1+I106)/((1+I113)*(1+I112))-1,"n/a")</f>
        <v>0.056277994509464024</v>
      </c>
      <c r="J114" s="31">
        <f>IFERROR((1+J106)/((1+J113)*(1+J112))-1,"n/a")</f>
        <v>0.05858891687103185</v>
      </c>
      <c r="K114" s="2"/>
      <c r="L114" s="2"/>
    </row>
    <row r="115">
      <c r="A115" s="2"/>
      <c r="B115" s="34" t="s">
        <v>137</v>
      </c>
      <c r="C115" s="12">
        <v>56.5</v>
      </c>
      <c r="D115" s="12">
        <v>56.4</v>
      </c>
      <c r="E115" s="12">
        <v>59.6</v>
      </c>
      <c r="F115" s="12">
        <v>73.2</v>
      </c>
      <c r="G115" s="7">
        <f>C115+D115+E115+F115</f>
        <v>245.7</v>
      </c>
      <c r="H115" s="12">
        <v>65.7</v>
      </c>
      <c r="I115" s="12">
        <v>57.3</v>
      </c>
      <c r="J115" s="46">
        <f>E115*(1+J139)*(1+J124)</f>
        <v>65.37496141419491</v>
      </c>
      <c r="K115" s="4" t="s">
        <v>135</v>
      </c>
      <c r="L115" s="2"/>
    </row>
    <row r="116">
      <c r="A116" s="2"/>
      <c r="B116" s="41" t="s">
        <v>108</v>
      </c>
      <c r="C116" s="12">
        <v>47.7</v>
      </c>
      <c r="D116" s="12">
        <v>56</v>
      </c>
      <c r="E116" s="12">
        <v>49.2</v>
      </c>
      <c r="F116" s="12">
        <v>73</v>
      </c>
      <c r="G116" s="12">
        <v>225.9</v>
      </c>
      <c r="H116" s="7">
        <f>C115</f>
        <v>56.5</v>
      </c>
      <c r="I116" s="7">
        <f>D115</f>
        <v>56.4</v>
      </c>
      <c r="J116" s="46">
        <f>E115</f>
        <v>59.6</v>
      </c>
      <c r="K116" s="2"/>
      <c r="L116" s="2"/>
    </row>
    <row r="117">
      <c r="A117" s="2"/>
      <c r="B117" s="3" t="s">
        <v>97</v>
      </c>
      <c r="C117" s="5">
        <f>IFERROR(C115/C43,"n/a")</f>
        <v>0.03700550170290805</v>
      </c>
      <c r="D117" s="5">
        <f>IFERROR(D115/D43,"n/a")</f>
        <v>0.03900414937759336</v>
      </c>
      <c r="E117" s="5">
        <f>IFERROR(E115/E43,"n/a")</f>
        <v>0.03861604250356356</v>
      </c>
      <c r="F117" s="5">
        <f>IFERROR(F115/F43,"n/a")</f>
        <v>0.04145429833503227</v>
      </c>
      <c r="G117" s="5">
        <f>IFERROR(G115/G43,"n/a")</f>
        <v>0.03911174785100286</v>
      </c>
      <c r="H117" s="5">
        <f>IFERROR(H115/H43,"n/a")</f>
        <v>0.03770444763271162</v>
      </c>
      <c r="I117" s="5">
        <f>IFERROR(I115/I43,"n/a")</f>
        <v>0.03668373879641485</v>
      </c>
      <c r="J117" s="31">
        <f>IFERROR(J115/J43,"n/a")</f>
        <v>0.04000215299772757</v>
      </c>
      <c r="K117" s="2"/>
      <c r="L117" s="2"/>
    </row>
    <row r="118">
      <c r="A118" s="2"/>
      <c r="B118" s="3" t="s">
        <v>116</v>
      </c>
      <c r="C118" s="5">
        <f>IFERROR(IF(OR(C116&lt;=0,ABS(C115/C116-1)&gt;5),"n/m",C115/C116-1),"n/a")</f>
        <v>0.18448637316561833</v>
      </c>
      <c r="D118" s="5">
        <f>IFERROR(IF(OR(D116&lt;=0,ABS(D115/D116-1)&gt;5),"n/m",D115/D116-1),"n/a")</f>
        <v>0.0071428571428571175</v>
      </c>
      <c r="E118" s="5">
        <f>IFERROR(IF(OR(E116&lt;=0,ABS(E115/E116-1)&gt;5),"n/m",E115/E116-1),"n/a")</f>
        <v>0.21138211382113825</v>
      </c>
      <c r="F118" s="5">
        <f>IFERROR(IF(OR(F116&lt;=0,ABS(F115/F116-1)&gt;5),"n/m",F115/F116-1),"n/a")</f>
        <v>0.00273972602739736</v>
      </c>
      <c r="G118" s="5">
        <f>IFERROR(IF(OR(G116&lt;=0,ABS(G115/G116-1)&gt;5),"n/m",G115/G116-1),"n/a")</f>
        <v>0.08764940239043817</v>
      </c>
      <c r="H118" s="5">
        <f>IFERROR(IF(OR(H116&lt;=0,ABS(H115/H116-1)&gt;5),"n/m",H115/H116-1),"n/a")</f>
        <v>0.1628318584070796</v>
      </c>
      <c r="I118" s="5">
        <f>IFERROR(IF(OR(I116&lt;=0,ABS(I115/I116-1)&gt;5),"n/m",I115/I116-1),"n/a")</f>
        <v>0.015957446808510634</v>
      </c>
      <c r="J118" s="31">
        <f>IFERROR(IF(OR(J116&lt;=0,ABS(J115/J116-1)&gt;5),"n/m",J115/J116-1),"n/a")</f>
        <v>0.09689532574152526</v>
      </c>
      <c r="K118" s="2"/>
      <c r="L118" s="2"/>
    </row>
    <row r="119">
      <c r="A119" s="2"/>
      <c r="B119" s="41" t="s">
        <v>117</v>
      </c>
      <c r="C119" s="12">
        <v>-0.2</v>
      </c>
      <c r="D119" s="12">
        <v>-0.1</v>
      </c>
      <c r="E119" s="12">
        <v>0</v>
      </c>
      <c r="F119" s="12">
        <v>0</v>
      </c>
      <c r="G119" s="12">
        <v>-0.3</v>
      </c>
      <c r="H119" s="12">
        <v>0.2</v>
      </c>
      <c r="I119" s="12">
        <v>0.2</v>
      </c>
      <c r="J119" s="46">
        <f>J116*J100</f>
        <v>-0.16821689618644067</v>
      </c>
      <c r="K119" s="4" t="s">
        <v>136</v>
      </c>
      <c r="L119" s="2"/>
    </row>
    <row r="120">
      <c r="A120" s="2"/>
      <c r="B120" s="41" t="s">
        <v>119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49">
        <v>0</v>
      </c>
      <c r="K120" s="2"/>
      <c r="L120" s="2"/>
    </row>
    <row r="121">
      <c r="A121" s="2"/>
      <c r="B121" s="41" t="s">
        <v>120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49">
        <v>0</v>
      </c>
      <c r="K121" s="2"/>
      <c r="L121" s="2"/>
    </row>
    <row r="122">
      <c r="A122" s="2"/>
      <c r="B122" s="41" t="s">
        <v>121</v>
      </c>
      <c r="C122" s="7">
        <f>C115+C121</f>
        <v>56.5</v>
      </c>
      <c r="D122" s="7">
        <f>D115+D121</f>
        <v>56.4</v>
      </c>
      <c r="E122" s="7">
        <f>E115+E121</f>
        <v>59.6</v>
      </c>
      <c r="F122" s="7">
        <f>F115+F121</f>
        <v>73.2</v>
      </c>
      <c r="G122" s="7">
        <f>G115+G121</f>
        <v>245.7</v>
      </c>
      <c r="H122" s="7">
        <f>H115+H121</f>
        <v>65.7</v>
      </c>
      <c r="I122" s="7">
        <f>I115+I121</f>
        <v>57.3</v>
      </c>
      <c r="J122" s="46">
        <f>J115+J121</f>
        <v>65.37496141419491</v>
      </c>
      <c r="K122" s="2"/>
      <c r="L122" s="2"/>
    </row>
    <row r="123">
      <c r="A123" s="2"/>
      <c r="B123" s="41" t="s">
        <v>122</v>
      </c>
      <c r="C123" s="7">
        <f>C116+C119+C120</f>
        <v>47.5</v>
      </c>
      <c r="D123" s="7">
        <f>D116+D119+D120</f>
        <v>55.9</v>
      </c>
      <c r="E123" s="7">
        <f>E116+E119+E120</f>
        <v>49.2</v>
      </c>
      <c r="F123" s="7">
        <f>F116+F119+F120</f>
        <v>73</v>
      </c>
      <c r="G123" s="7">
        <f>G116+G119+G120</f>
        <v>225.6</v>
      </c>
      <c r="H123" s="7">
        <f>H116+H119+H120</f>
        <v>56.7</v>
      </c>
      <c r="I123" s="7">
        <f>I116+I119+I120</f>
        <v>56.6</v>
      </c>
      <c r="J123" s="46">
        <f>J116+J119+J120</f>
        <v>59.43178310381356</v>
      </c>
      <c r="K123" s="2"/>
      <c r="L123" s="2"/>
    </row>
    <row r="124">
      <c r="A124" s="2"/>
      <c r="B124" s="3" t="s">
        <v>98</v>
      </c>
      <c r="C124" s="5">
        <f>IFERROR(C119/C116,"n/a")</f>
        <v>-0.0041928721174004195</v>
      </c>
      <c r="D124" s="5">
        <f>IFERROR(D119/D116,"n/a")</f>
        <v>-0.0017857142857142859</v>
      </c>
      <c r="E124" s="5">
        <f>IFERROR(E119/E116,"n/a")</f>
        <v>0</v>
      </c>
      <c r="F124" s="5">
        <f>IFERROR(F119/F116,"n/a")</f>
        <v>0</v>
      </c>
      <c r="G124" s="5">
        <f>IFERROR(G119/G116,"n/a")</f>
        <v>-0.0013280212483399733</v>
      </c>
      <c r="H124" s="5">
        <f>IFERROR(H119/H116,"n/a")</f>
        <v>0.003539823008849558</v>
      </c>
      <c r="I124" s="5">
        <f>IFERROR(I119/I116,"n/a")</f>
        <v>0.003546099290780142</v>
      </c>
      <c r="J124" s="31">
        <f>IFERROR(J119/J116,"n/a")</f>
        <v>-0.0028224311440677966</v>
      </c>
      <c r="K124" s="2"/>
      <c r="L124" s="2"/>
    </row>
    <row r="125">
      <c r="A125" s="2"/>
      <c r="B125" s="3" t="s">
        <v>99</v>
      </c>
      <c r="C125" s="5">
        <f>IFERROR((C116+C119+C120)/(C116+C119)*C115/(C115+C121)-1,"n/a")</f>
        <v>0</v>
      </c>
      <c r="D125" s="5">
        <f>IFERROR((D116+D119+D120)/(D116+D119)*D115/(D115+D121)-1,"n/a")</f>
        <v>0</v>
      </c>
      <c r="E125" s="5">
        <f>IFERROR((E116+E119+E120)/(E116+E119)*E115/(E115+E121)-1,"n/a")</f>
        <v>0</v>
      </c>
      <c r="F125" s="5">
        <f>IFERROR((F116+F119+F120)/(F116+F119)*F115/(F115+F121)-1,"n/a")</f>
        <v>0</v>
      </c>
      <c r="G125" s="5">
        <f>IFERROR((G116+G119+G120)/(G116+G119)*G115/(G115+G121)-1,"n/a")</f>
        <v>0</v>
      </c>
      <c r="H125" s="5">
        <f>IFERROR((H116+H119+H120)/(H116+H119)*H115/(H115+H121)-1,"n/a")</f>
        <v>0</v>
      </c>
      <c r="I125" s="5">
        <f>IFERROR((I116+I119+I120)/(I116+I119)*I115/(I115+I121)-1,"n/a")</f>
        <v>0</v>
      </c>
      <c r="J125" s="31">
        <f>IFERROR((J116+J119+J120)/(J116+J119)*J115/(J115+J121)-1,"n/a")</f>
        <v>0</v>
      </c>
      <c r="K125" s="2"/>
      <c r="L125" s="2"/>
    </row>
    <row r="126">
      <c r="A126" s="2"/>
      <c r="B126" s="3" t="s">
        <v>100</v>
      </c>
      <c r="C126" s="5">
        <f>IFERROR((1+C118)/((1+C125)*(1+C124))-1,"n/a")</f>
        <v>0.18947368421052624</v>
      </c>
      <c r="D126" s="5">
        <f>IFERROR((1+D118)/((1+D125)*(1+D124))-1,"n/a")</f>
        <v>0.008944543828264706</v>
      </c>
      <c r="E126" s="5">
        <f>IFERROR((1+E118)/((1+E125)*(1+E124))-1,"n/a")</f>
        <v>0.21138211382113825</v>
      </c>
      <c r="F126" s="5">
        <f>IFERROR((1+F118)/((1+F125)*(1+F124))-1,"n/a")</f>
        <v>0.00273972602739736</v>
      </c>
      <c r="G126" s="5">
        <f>IFERROR((1+G118)/((1+G125)*(1+G124))-1,"n/a")</f>
        <v>0.08909574468085091</v>
      </c>
      <c r="H126" s="5">
        <f>IFERROR((1+H118)/((1+H125)*(1+H124))-1,"n/a")</f>
        <v>0.15873015873015883</v>
      </c>
      <c r="I126" s="5">
        <f>IFERROR((1+I118)/((1+I125)*(1+I124))-1,"n/a")</f>
        <v>0.012367491166077826</v>
      </c>
      <c r="J126" s="31">
        <f>IFERROR((1+J118)/((1+J125)*(1+J124))-1,"n/a")</f>
        <v>0.09999999999999987</v>
      </c>
      <c r="K126" s="2"/>
      <c r="L126" s="2"/>
    </row>
    <row r="127">
      <c r="A127" s="2"/>
      <c r="B127" s="34" t="s">
        <v>138</v>
      </c>
      <c r="C127" s="12">
        <v>2.3</v>
      </c>
      <c r="D127" s="12">
        <v>0</v>
      </c>
      <c r="E127" s="12">
        <v>0</v>
      </c>
      <c r="F127" s="12">
        <v>0</v>
      </c>
      <c r="G127" s="7">
        <f>C127+D127+E127+F127</f>
        <v>2.3</v>
      </c>
      <c r="H127" s="12">
        <v>0</v>
      </c>
      <c r="I127" s="12">
        <v>0</v>
      </c>
      <c r="J127" s="49">
        <v>0</v>
      </c>
      <c r="K127" s="4" t="s">
        <v>135</v>
      </c>
      <c r="L127" s="2"/>
    </row>
    <row r="128">
      <c r="A128" s="2"/>
      <c r="B128" s="41" t="s">
        <v>108</v>
      </c>
      <c r="C128" s="12">
        <v>14.5</v>
      </c>
      <c r="D128" s="12">
        <v>10</v>
      </c>
      <c r="E128" s="12">
        <v>3.2</v>
      </c>
      <c r="F128" s="12">
        <v>5.5</v>
      </c>
      <c r="G128" s="12">
        <v>33.2</v>
      </c>
      <c r="H128" s="7">
        <f>C127</f>
        <v>2.3</v>
      </c>
      <c r="I128" s="7">
        <f>D127</f>
        <v>0</v>
      </c>
      <c r="J128" s="46">
        <f>E127</f>
        <v>0</v>
      </c>
      <c r="K128" s="2"/>
      <c r="L128" s="2"/>
    </row>
    <row r="129">
      <c r="A129" s="2"/>
      <c r="B129" s="3" t="s">
        <v>97</v>
      </c>
      <c r="C129" s="5">
        <f>IFERROR(C127/C43,"n/a")</f>
        <v>0.0015064186533927167</v>
      </c>
      <c r="D129" s="5">
        <f>IFERROR(D127/D43,"n/a")</f>
        <v>0</v>
      </c>
      <c r="E129" s="5">
        <f>IFERROR(E127/E43,"n/a")</f>
        <v>0</v>
      </c>
      <c r="F129" s="5">
        <f>IFERROR(F127/F43,"n/a")</f>
        <v>0</v>
      </c>
      <c r="G129" s="5">
        <f>IFERROR(G127/G43,"n/a")</f>
        <v>0.0003661254377586755</v>
      </c>
      <c r="H129" s="5">
        <f>IFERROR(H127/H43,"n/a")</f>
        <v>0</v>
      </c>
      <c r="I129" s="5">
        <f>IFERROR(I127/I43,"n/a")</f>
        <v>0</v>
      </c>
      <c r="J129" s="31">
        <f>IFERROR(J127/J43,"n/a")</f>
        <v>0</v>
      </c>
      <c r="K129" s="2"/>
      <c r="L129" s="2"/>
    </row>
    <row r="130">
      <c r="A130" s="2"/>
      <c r="B130" s="3" t="s">
        <v>116</v>
      </c>
      <c r="C130" s="5">
        <f>IFERROR(IF(OR(C128&lt;=0,ABS(C127/C128-1)&gt;5),"n/m",C127/C128-1),"n/a")</f>
        <v>-0.8413793103448276</v>
      </c>
      <c r="D130" s="5">
        <f>IFERROR(IF(OR(D128&lt;=0,ABS(D127/D128-1)&gt;5),"n/m",D127/D128-1),"n/a")</f>
        <v>-1</v>
      </c>
      <c r="E130" s="5">
        <f>IFERROR(IF(OR(E128&lt;=0,ABS(E127/E128-1)&gt;5),"n/m",E127/E128-1),"n/a")</f>
        <v>-1</v>
      </c>
      <c r="F130" s="5">
        <f>IFERROR(IF(OR(F128&lt;=0,ABS(F127/F128-1)&gt;5),"n/m",F127/F128-1),"n/a")</f>
        <v>-1</v>
      </c>
      <c r="G130" s="5">
        <f>IFERROR(IF(OR(G128&lt;=0,ABS(G127/G128-1)&gt;5),"n/m",G127/G128-1),"n/a")</f>
        <v>-0.9307228915662651</v>
      </c>
      <c r="H130" s="5">
        <f>IFERROR(IF(OR(H128&lt;=0,ABS(H127/H128-1)&gt;5),"n/m",H127/H128-1),"n/a")</f>
        <v>-1</v>
      </c>
      <c r="I130" s="5" t="str">
        <f>IFERROR(IF(OR(I128&lt;=0,ABS(I127/I128-1)&gt;5),"n/m",I127/I128-1),"n/a")</f>
        <v>n/a</v>
      </c>
      <c r="J130" s="31" t="str">
        <f>IFERROR(IF(OR(J128&lt;=0,ABS(J127/J128-1)&gt;5),"n/m",J127/J128-1),"n/a")</f>
        <v>n/a</v>
      </c>
      <c r="K130" s="2"/>
      <c r="L130" s="2"/>
    </row>
    <row r="131">
      <c r="A131" s="2"/>
      <c r="B131" s="41" t="s">
        <v>117</v>
      </c>
      <c r="C131" s="12">
        <v>-0.3</v>
      </c>
      <c r="D131" s="12">
        <v>-0.4</v>
      </c>
      <c r="E131" s="12">
        <v>0</v>
      </c>
      <c r="F131" s="12">
        <v>0</v>
      </c>
      <c r="G131" s="12">
        <v>-0.7</v>
      </c>
      <c r="H131" s="12">
        <v>0</v>
      </c>
      <c r="I131" s="12">
        <v>0</v>
      </c>
      <c r="J131" s="46">
        <f>J128*J100</f>
        <v>0</v>
      </c>
      <c r="K131" s="4" t="s">
        <v>136</v>
      </c>
      <c r="L131" s="2"/>
    </row>
    <row r="132">
      <c r="A132" s="2"/>
      <c r="B132" s="41" t="s">
        <v>119</v>
      </c>
      <c r="C132" s="12">
        <v>-14.2</v>
      </c>
      <c r="D132" s="12">
        <v>-9.6</v>
      </c>
      <c r="E132" s="12">
        <v>-3.2</v>
      </c>
      <c r="F132" s="12">
        <v>-5.5</v>
      </c>
      <c r="G132" s="12">
        <v>-32.5</v>
      </c>
      <c r="H132" s="12">
        <v>-2.3</v>
      </c>
      <c r="I132" s="12">
        <v>0</v>
      </c>
      <c r="J132" s="49">
        <v>0</v>
      </c>
      <c r="K132" s="2"/>
      <c r="L132" s="2"/>
    </row>
    <row r="133">
      <c r="A133" s="2"/>
      <c r="B133" s="41" t="s">
        <v>120</v>
      </c>
      <c r="C133" s="12">
        <v>-2.3</v>
      </c>
      <c r="D133" s="12">
        <v>0</v>
      </c>
      <c r="E133" s="12">
        <v>0</v>
      </c>
      <c r="F133" s="12">
        <v>0</v>
      </c>
      <c r="G133" s="12">
        <v>-2.3</v>
      </c>
      <c r="H133" s="12">
        <v>0</v>
      </c>
      <c r="I133" s="12">
        <v>0</v>
      </c>
      <c r="J133" s="49">
        <v>0</v>
      </c>
      <c r="K133" s="2"/>
      <c r="L133" s="2"/>
    </row>
    <row r="134">
      <c r="A134" s="2"/>
      <c r="B134" s="41" t="s">
        <v>121</v>
      </c>
      <c r="C134" s="7">
        <f>C127+C133</f>
        <v>0</v>
      </c>
      <c r="D134" s="7">
        <f>D127+D133</f>
        <v>0</v>
      </c>
      <c r="E134" s="7">
        <f>E127+E133</f>
        <v>0</v>
      </c>
      <c r="F134" s="7">
        <f>F127+F133</f>
        <v>0</v>
      </c>
      <c r="G134" s="7">
        <f>G127+G133</f>
        <v>0</v>
      </c>
      <c r="H134" s="7">
        <f>H127+H133</f>
        <v>0</v>
      </c>
      <c r="I134" s="7">
        <f>I127+I133</f>
        <v>0</v>
      </c>
      <c r="J134" s="46">
        <f>J127+J133</f>
        <v>0</v>
      </c>
      <c r="K134" s="2"/>
      <c r="L134" s="2"/>
    </row>
    <row r="135">
      <c r="A135" s="2"/>
      <c r="B135" s="41" t="s">
        <v>122</v>
      </c>
      <c r="C135" s="7">
        <f>C128+C131+C132</f>
        <v>0</v>
      </c>
      <c r="D135" s="7">
        <f>D128+D131+D132</f>
        <v>0</v>
      </c>
      <c r="E135" s="7">
        <f>E128+E131+E132</f>
        <v>0</v>
      </c>
      <c r="F135" s="7">
        <f>F128+F131+F132</f>
        <v>0</v>
      </c>
      <c r="G135" s="7">
        <f>G128+G131+G132</f>
        <v>0</v>
      </c>
      <c r="H135" s="7">
        <f>H128+H131+H132</f>
        <v>0</v>
      </c>
      <c r="I135" s="7">
        <f>I128+I131+I132</f>
        <v>0</v>
      </c>
      <c r="J135" s="46">
        <f>J128+J131+J132</f>
        <v>0</v>
      </c>
      <c r="K135" s="2"/>
      <c r="L135" s="2"/>
    </row>
    <row r="136">
      <c r="A136" s="2"/>
      <c r="B136" s="3" t="s">
        <v>98</v>
      </c>
      <c r="C136" s="5">
        <f>IFERROR(C131/C128,"n/a")</f>
        <v>-0.020689655172413793</v>
      </c>
      <c r="D136" s="5">
        <f>IFERROR(D131/D128,"n/a")</f>
        <v>-0.04</v>
      </c>
      <c r="E136" s="5">
        <f>IFERROR(E131/E128,"n/a")</f>
        <v>0</v>
      </c>
      <c r="F136" s="5">
        <f>IFERROR(F131/F128,"n/a")</f>
        <v>0</v>
      </c>
      <c r="G136" s="5">
        <f>IFERROR(G131/G128,"n/a")</f>
        <v>-0.02108433734939759</v>
      </c>
      <c r="H136" s="5">
        <f>IFERROR(H131/H128,"n/a")</f>
        <v>0</v>
      </c>
      <c r="I136" s="5" t="str">
        <f>IFERROR(I131/I128,"n/a")</f>
        <v>n/a</v>
      </c>
      <c r="J136" s="31" t="str">
        <f>IFERROR(J131/J128,"n/a")</f>
        <v>n/a</v>
      </c>
      <c r="K136" s="2"/>
      <c r="L136" s="2"/>
    </row>
    <row r="137">
      <c r="A137" s="2"/>
      <c r="B137" s="3" t="s">
        <v>99</v>
      </c>
      <c r="C137" s="5" t="str">
        <f>IFERROR((C128+C131+C132)/(C128+C131)*C127/(C127+C133)-1,"n/a")</f>
        <v>n/a</v>
      </c>
      <c r="D137" s="5" t="str">
        <f>IFERROR((D128+D131+D132)/(D128+D131)*D127/(D127+D133)-1,"n/a")</f>
        <v>n/a</v>
      </c>
      <c r="E137" s="5" t="str">
        <f>IFERROR((E128+E131+E132)/(E128+E131)*E127/(E127+E133)-1,"n/a")</f>
        <v>n/a</v>
      </c>
      <c r="F137" s="5" t="str">
        <f>IFERROR((F128+F131+F132)/(F128+F131)*F127/(F127+F133)-1,"n/a")</f>
        <v>n/a</v>
      </c>
      <c r="G137" s="5" t="str">
        <f>IFERROR((G128+G131+G132)/(G128+G131)*G127/(G127+G133)-1,"n/a")</f>
        <v>n/a</v>
      </c>
      <c r="H137" s="5" t="str">
        <f>IFERROR((H128+H131+H132)/(H128+H131)*H127/(H127+H133)-1,"n/a")</f>
        <v>n/a</v>
      </c>
      <c r="I137" s="5" t="str">
        <f>IFERROR((I128+I131+I132)/(I128+I131)*I127/(I127+I133)-1,"n/a")</f>
        <v>n/a</v>
      </c>
      <c r="J137" s="31" t="str">
        <f>IFERROR((J128+J131+J132)/(J128+J131)*J127/(J127+J133)-1,"n/a")</f>
        <v>n/a</v>
      </c>
      <c r="K137" s="2"/>
      <c r="L137" s="2"/>
    </row>
    <row r="138">
      <c r="A138" s="2"/>
      <c r="B138" s="3" t="s">
        <v>100</v>
      </c>
      <c r="C138" s="5" t="str">
        <f>IFERROR((1+C130)/((1+C137)*(1+C136))-1,"n/a")</f>
        <v>n/a</v>
      </c>
      <c r="D138" s="5" t="str">
        <f>IFERROR((1+D130)/((1+D137)*(1+D136))-1,"n/a")</f>
        <v>n/a</v>
      </c>
      <c r="E138" s="5" t="str">
        <f>IFERROR((1+E130)/((1+E137)*(1+E136))-1,"n/a")</f>
        <v>n/a</v>
      </c>
      <c r="F138" s="5" t="str">
        <f>IFERROR((1+F130)/((1+F137)*(1+F136))-1,"n/a")</f>
        <v>n/a</v>
      </c>
      <c r="G138" s="5" t="str">
        <f>IFERROR((1+G130)/((1+G137)*(1+G136))-1,"n/a")</f>
        <v>n/a</v>
      </c>
      <c r="H138" s="5" t="str">
        <f>IFERROR((1+H130)/((1+H137)*(1+H136))-1,"n/a")</f>
        <v>n/a</v>
      </c>
      <c r="I138" s="5" t="str">
        <f>IFERROR((1+I130)/((1+I137)*(1+I136))-1,"n/a")</f>
        <v>n/a</v>
      </c>
      <c r="J138" s="31" t="str">
        <f>IFERROR((1+J130)/((1+J137)*(1+J136))-1,"n/a")</f>
        <v>n/a</v>
      </c>
      <c r="K138" s="2"/>
      <c r="L138" s="2"/>
    </row>
    <row r="139">
      <c r="A139" s="2"/>
      <c r="B139" s="3" t="s">
        <v>139</v>
      </c>
      <c r="C139" s="5" t="s">
        <v>62</v>
      </c>
      <c r="D139" s="5" t="s">
        <v>62</v>
      </c>
      <c r="E139" s="5" t="s">
        <v>62</v>
      </c>
      <c r="F139" s="5" t="s">
        <v>62</v>
      </c>
      <c r="G139" s="5" t="s">
        <v>62</v>
      </c>
      <c r="H139" s="5" t="s">
        <v>62</v>
      </c>
      <c r="I139" s="5" t="s">
        <v>62</v>
      </c>
      <c r="J139" s="44">
        <v>0.1</v>
      </c>
      <c r="K139" s="4" t="s">
        <v>140</v>
      </c>
      <c r="L139" s="2"/>
    </row>
    <row r="140">
      <c r="A140" s="2"/>
      <c r="B140" s="34" t="s">
        <v>141</v>
      </c>
      <c r="C140" s="7">
        <f>C35</f>
        <v>35.2</v>
      </c>
      <c r="D140" s="7">
        <f>D35</f>
        <v>36.8</v>
      </c>
      <c r="E140" s="7">
        <f>E35</f>
        <v>33</v>
      </c>
      <c r="F140" s="7">
        <f>F35</f>
        <v>46.300000000000004</v>
      </c>
      <c r="G140" s="7">
        <f>G35</f>
        <v>151.3</v>
      </c>
      <c r="H140" s="7">
        <f>H35</f>
        <v>43.3</v>
      </c>
      <c r="I140" s="7">
        <f>I35</f>
        <v>42.6</v>
      </c>
      <c r="J140" s="46">
        <f>J35</f>
        <v>37.445</v>
      </c>
      <c r="K140" s="2"/>
      <c r="L140" s="2"/>
    </row>
    <row r="141">
      <c r="A141" s="2"/>
      <c r="B141" s="3" t="s">
        <v>116</v>
      </c>
      <c r="C141" s="10">
        <f>'Segment - Beyond Yoga'!C34</f>
        <v>0.09657320872274155</v>
      </c>
      <c r="D141" s="10">
        <f>'Segment - Beyond Yoga'!D34</f>
        <v>0.11854103343465017</v>
      </c>
      <c r="E141" s="10">
        <f>'Segment - Beyond Yoga'!E34</f>
        <v>0.024844720496894235</v>
      </c>
      <c r="F141" s="10">
        <f>'Segment - Beyond Yoga'!F34</f>
        <v>0.36578171091445455</v>
      </c>
      <c r="G141" s="10">
        <f>'Segment - Beyond Yoga'!G34</f>
        <v>0.15408085430968743</v>
      </c>
      <c r="H141" s="10">
        <f>'Segment - Beyond Yoga'!H34</f>
        <v>0.23011363636363624</v>
      </c>
      <c r="I141" s="10">
        <f>'Segment - Beyond Yoga'!I34</f>
        <v>0.15760869565217406</v>
      </c>
      <c r="J141" s="52">
        <f>'Segment - Beyond Yoga'!J34</f>
        <v>0.13469696969696976</v>
      </c>
      <c r="K141" s="2"/>
      <c r="L141" s="2"/>
    </row>
    <row r="142">
      <c r="A142" s="2"/>
      <c r="B142" s="3" t="s">
        <v>98</v>
      </c>
      <c r="C142" s="10">
        <f>'Segment - Beyond Yoga'!C40</f>
        <v>0</v>
      </c>
      <c r="D142" s="10">
        <f>'Segment - Beyond Yoga'!D40</f>
        <v>0</v>
      </c>
      <c r="E142" s="10">
        <f>'Segment - Beyond Yoga'!E40</f>
        <v>0</v>
      </c>
      <c r="F142" s="10">
        <f>'Segment - Beyond Yoga'!F40</f>
        <v>0</v>
      </c>
      <c r="G142" s="10">
        <f>'Segment - Beyond Yoga'!G40</f>
        <v>0</v>
      </c>
      <c r="H142" s="10">
        <f>'Segment - Beyond Yoga'!H40</f>
        <v>0</v>
      </c>
      <c r="I142" s="10">
        <f>'Segment - Beyond Yoga'!I40</f>
        <v>0</v>
      </c>
      <c r="J142" s="52">
        <f>'Segment - Beyond Yoga'!J40</f>
        <v>0</v>
      </c>
      <c r="K142" s="2"/>
      <c r="L142" s="2"/>
    </row>
    <row r="143">
      <c r="A143" s="2"/>
      <c r="B143" s="3" t="s">
        <v>99</v>
      </c>
      <c r="C143" s="10">
        <f>'Segment - Beyond Yoga'!C42</f>
        <v>0</v>
      </c>
      <c r="D143" s="10">
        <f>'Segment - Beyond Yoga'!D42</f>
        <v>0</v>
      </c>
      <c r="E143" s="10">
        <f>'Segment - Beyond Yoga'!E42</f>
        <v>0</v>
      </c>
      <c r="F143" s="10">
        <f>'Segment - Beyond Yoga'!F42</f>
        <v>-0.05604719764011801</v>
      </c>
      <c r="G143" s="10">
        <f>'Segment - Beyond Yoga'!G42</f>
        <v>-0.01449275362318847</v>
      </c>
      <c r="H143" s="10">
        <f>'Segment - Beyond Yoga'!H42</f>
        <v>0</v>
      </c>
      <c r="I143" s="10">
        <f>'Segment - Beyond Yoga'!I42</f>
        <v>0</v>
      </c>
      <c r="J143" s="52">
        <f>'Segment - Beyond Yoga'!J42</f>
        <v>0</v>
      </c>
      <c r="K143" s="2"/>
      <c r="L143" s="2"/>
    </row>
    <row r="144">
      <c r="A144" s="2"/>
      <c r="B144" s="3" t="s">
        <v>100</v>
      </c>
      <c r="C144" s="10">
        <f>'Segment - Beyond Yoga'!C43</f>
        <v>0.09657320872274155</v>
      </c>
      <c r="D144" s="10">
        <f>'Segment - Beyond Yoga'!D43</f>
        <v>0.11854103343465017</v>
      </c>
      <c r="E144" s="10">
        <f>'Segment - Beyond Yoga'!E43</f>
        <v>0.024844720496894235</v>
      </c>
      <c r="F144" s="10">
        <f>'Segment - Beyond Yoga'!F43</f>
        <v>0.44687500000000036</v>
      </c>
      <c r="G144" s="10">
        <f>'Segment - Beyond Yoga'!G43</f>
        <v>0.17105263157894757</v>
      </c>
      <c r="H144" s="10">
        <f>'Segment - Beyond Yoga'!H43</f>
        <v>0.23011363636363624</v>
      </c>
      <c r="I144" s="10">
        <f>'Segment - Beyond Yoga'!I43</f>
        <v>0.15760869565217406</v>
      </c>
      <c r="J144" s="52">
        <f>'Segment - Beyond Yoga'!J43</f>
        <v>0.13469696969696976</v>
      </c>
      <c r="K144" s="2"/>
      <c r="L144" s="2"/>
    </row>
    <row r="145">
      <c r="A145" s="2"/>
      <c r="B145" s="34" t="s">
        <v>142</v>
      </c>
      <c r="C145" s="7">
        <f>ROUND(C103+C115+C127+C140-C43,1)</f>
        <v>0</v>
      </c>
      <c r="D145" s="7">
        <f>ROUND(D103+D115+D127+D140-D43,1)</f>
        <v>0</v>
      </c>
      <c r="E145" s="7">
        <f>ROUND(E103+E115+E127+E140-E43,1)</f>
        <v>0</v>
      </c>
      <c r="F145" s="7">
        <f>ROUND(F103+F115+F127+F140-F43,1)</f>
        <v>0</v>
      </c>
      <c r="G145" s="7">
        <f>ROUND(G103+G115+G127+G140-G43,1)</f>
        <v>0</v>
      </c>
      <c r="H145" s="7">
        <f>ROUND(H103+H115+H127+H140-H43,1)</f>
        <v>0</v>
      </c>
      <c r="I145" s="7">
        <f>ROUND(I103+I115+I127+I140-I43,1)</f>
        <v>0</v>
      </c>
      <c r="J145" s="46">
        <f>ROUND(J103+J115+J127+J140-J43,1)</f>
        <v>0</v>
      </c>
      <c r="K145" s="97" t="s">
        <v>143</v>
      </c>
      <c r="L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A147" s="2"/>
      <c r="B147" s="43" t="s">
        <v>144</v>
      </c>
      <c r="C147" s="2"/>
      <c r="D147" s="2"/>
      <c r="E147" s="2"/>
      <c r="F147" s="2"/>
      <c r="G147" s="2"/>
      <c r="H147" s="2"/>
      <c r="I147" s="2"/>
      <c r="J147" s="23"/>
      <c r="K147" s="2"/>
      <c r="L147" s="2"/>
    </row>
    <row r="148">
      <c r="A148" s="2"/>
      <c r="B148" s="61" t="s">
        <v>145</v>
      </c>
      <c r="C148" s="5" t="s">
        <v>146</v>
      </c>
      <c r="D148" s="5" t="s">
        <v>146</v>
      </c>
      <c r="E148" s="5" t="s">
        <v>62</v>
      </c>
      <c r="F148" s="5" t="s">
        <v>146</v>
      </c>
      <c r="G148" s="5" t="s">
        <v>62</v>
      </c>
      <c r="H148" s="26">
        <v>0.07</v>
      </c>
      <c r="I148" s="26">
        <v>0.06</v>
      </c>
      <c r="J148" s="31" t="s">
        <v>62</v>
      </c>
      <c r="K148" s="4" t="s">
        <v>147</v>
      </c>
      <c r="L148" s="2"/>
    </row>
    <row r="149">
      <c r="A149" s="2"/>
      <c r="B149" s="61" t="s">
        <v>148</v>
      </c>
      <c r="C149" s="26">
        <v>0.13</v>
      </c>
      <c r="D149" s="26">
        <v>0.13</v>
      </c>
      <c r="E149" s="26">
        <v>0.18</v>
      </c>
      <c r="F149" s="26">
        <v>0.19</v>
      </c>
      <c r="G149" s="5" t="s">
        <v>62</v>
      </c>
      <c r="H149" s="26">
        <v>0.21</v>
      </c>
      <c r="I149" s="26">
        <v>0.19</v>
      </c>
      <c r="J149" s="31" t="s">
        <v>62</v>
      </c>
      <c r="K149" s="4" t="s">
        <v>149</v>
      </c>
      <c r="L149" s="2"/>
    </row>
    <row r="150">
      <c r="A150" s="2"/>
      <c r="B150" s="61" t="s">
        <v>150</v>
      </c>
      <c r="C150" s="26">
        <v>0.16</v>
      </c>
      <c r="D150" s="26">
        <v>0.13</v>
      </c>
      <c r="E150" s="26">
        <v>0.16</v>
      </c>
      <c r="F150" s="26">
        <v>0.22</v>
      </c>
      <c r="G150" s="5" t="s">
        <v>62</v>
      </c>
      <c r="H150" s="26">
        <v>0.17</v>
      </c>
      <c r="I150" s="26">
        <v>0.17</v>
      </c>
      <c r="J150" s="31" t="s">
        <v>62</v>
      </c>
      <c r="K150" s="2"/>
      <c r="L150" s="2"/>
    </row>
    <row r="151">
      <c r="A151" s="2"/>
      <c r="B151" s="61" t="s">
        <v>151</v>
      </c>
      <c r="C151" s="5" t="s">
        <v>62</v>
      </c>
      <c r="D151" s="5" t="s">
        <v>62</v>
      </c>
      <c r="E151" s="5" t="s">
        <v>62</v>
      </c>
      <c r="F151" s="5" t="s">
        <v>62</v>
      </c>
      <c r="G151" s="26">
        <v>0.667</v>
      </c>
      <c r="H151" s="26">
        <v>0.5</v>
      </c>
      <c r="I151" s="26">
        <v>0.667</v>
      </c>
      <c r="J151" s="31" t="s">
        <v>62</v>
      </c>
      <c r="K151" s="4" t="s">
        <v>152</v>
      </c>
      <c r="L151" s="2"/>
    </row>
    <row r="152">
      <c r="A152" s="2"/>
      <c r="B152" s="41" t="s">
        <v>153</v>
      </c>
      <c r="C152" s="30" t="s">
        <v>62</v>
      </c>
      <c r="D152" s="30" t="s">
        <v>62</v>
      </c>
      <c r="E152" s="30" t="s">
        <v>62</v>
      </c>
      <c r="F152" s="30" t="s">
        <v>62</v>
      </c>
      <c r="G152" s="30" t="s">
        <v>62</v>
      </c>
      <c r="H152" s="30" t="str">
        <f>IFERROR((H151-C151)*10000,"n/a")</f>
        <v>n/a</v>
      </c>
      <c r="I152" s="30" t="str">
        <f>IFERROR((I151-D151)*10000,"n/a")</f>
        <v>n/a</v>
      </c>
      <c r="J152" s="51" t="str">
        <f>IFERROR((J151-E151)*10000,"n/a")</f>
        <v>n/a</v>
      </c>
      <c r="K152" s="2"/>
      <c r="L152" s="2"/>
    </row>
    <row r="153">
      <c r="A153" s="2"/>
      <c r="B153" s="3" t="s">
        <v>154</v>
      </c>
      <c r="C153" s="5" t="s">
        <v>62</v>
      </c>
      <c r="D153" s="5" t="s">
        <v>62</v>
      </c>
      <c r="E153" s="5" t="s">
        <v>62</v>
      </c>
      <c r="F153" s="5" t="s">
        <v>62</v>
      </c>
      <c r="G153" s="5">
        <f>IFERROR(G151*G59,"n/a")</f>
        <v>0.04779570975118608</v>
      </c>
      <c r="H153" s="5">
        <f>IFERROR(H151*H59,"n/a")</f>
        <v>0.046135523099103626</v>
      </c>
      <c r="I153" s="5">
        <f>IFERROR(I151*I59,"n/a")</f>
        <v>0.03809880887926367</v>
      </c>
      <c r="J153" s="31" t="s">
        <v>62</v>
      </c>
      <c r="K153" s="2"/>
      <c r="L153" s="2"/>
    </row>
    <row r="154">
      <c r="A154" s="2"/>
      <c r="B154" s="3" t="s">
        <v>155</v>
      </c>
      <c r="C154" s="5" t="s">
        <v>62</v>
      </c>
      <c r="D154" s="5" t="s">
        <v>62</v>
      </c>
      <c r="E154" s="5" t="s">
        <v>62</v>
      </c>
      <c r="F154" s="5" t="s">
        <v>62</v>
      </c>
      <c r="G154" s="5">
        <f>IFERROR((1-G151)*G59,"n/a")</f>
        <v>0.023862026007713585</v>
      </c>
      <c r="H154" s="5">
        <f>IFERROR((1-H151)*H59,"n/a")</f>
        <v>0.046135523099103626</v>
      </c>
      <c r="I154" s="5">
        <f>IFERROR((1-I151)*I59,"n/a")</f>
        <v>0.019020844612885755</v>
      </c>
      <c r="J154" s="31" t="s">
        <v>62</v>
      </c>
      <c r="K154" s="2"/>
      <c r="L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A156" s="2"/>
      <c r="B156" s="43" t="s">
        <v>156</v>
      </c>
      <c r="C156" s="2"/>
      <c r="D156" s="2"/>
      <c r="E156" s="2"/>
      <c r="F156" s="2"/>
      <c r="G156" s="2"/>
      <c r="H156" s="2"/>
      <c r="I156" s="2"/>
      <c r="J156" s="23"/>
      <c r="K156" s="2"/>
      <c r="L156" s="2"/>
    </row>
    <row r="157">
      <c r="A157" s="2"/>
      <c r="B157" s="2" t="s">
        <v>157</v>
      </c>
      <c r="C157" s="30">
        <f>G157</f>
        <v>1191</v>
      </c>
      <c r="D157" s="30">
        <f>C161</f>
        <v>1169</v>
      </c>
      <c r="E157" s="30">
        <f>D161</f>
        <v>1183</v>
      </c>
      <c r="F157" s="30">
        <f>E161</f>
        <v>1201</v>
      </c>
      <c r="G157" s="30">
        <f>G161-G158-G159</f>
        <v>1191</v>
      </c>
      <c r="H157" s="30">
        <f>F161</f>
        <v>1231</v>
      </c>
      <c r="I157" s="30">
        <f>H161</f>
        <v>1232</v>
      </c>
      <c r="J157" s="51">
        <f>I161</f>
        <v>1242</v>
      </c>
      <c r="K157" s="4" t="s">
        <v>158</v>
      </c>
      <c r="L157" s="2"/>
    </row>
    <row r="158">
      <c r="A158" s="2"/>
      <c r="B158" s="34" t="s">
        <v>159</v>
      </c>
      <c r="C158" s="30" t="s">
        <v>62</v>
      </c>
      <c r="D158" s="30" t="s">
        <v>62</v>
      </c>
      <c r="E158" s="30" t="s">
        <v>62</v>
      </c>
      <c r="F158" s="30" t="s">
        <v>62</v>
      </c>
      <c r="G158" s="58">
        <v>110</v>
      </c>
      <c r="H158" s="30" t="s">
        <v>62</v>
      </c>
      <c r="I158" s="30" t="s">
        <v>62</v>
      </c>
      <c r="J158" s="51" t="s">
        <v>62</v>
      </c>
      <c r="K158" s="4" t="s">
        <v>160</v>
      </c>
      <c r="L158" s="2"/>
    </row>
    <row r="159">
      <c r="A159" s="2"/>
      <c r="B159" s="34" t="s">
        <v>161</v>
      </c>
      <c r="C159" s="30" t="s">
        <v>62</v>
      </c>
      <c r="D159" s="30" t="s">
        <v>62</v>
      </c>
      <c r="E159" s="30" t="s">
        <v>62</v>
      </c>
      <c r="F159" s="30" t="s">
        <v>62</v>
      </c>
      <c r="G159" s="58">
        <v>-70</v>
      </c>
      <c r="H159" s="30" t="s">
        <v>62</v>
      </c>
      <c r="I159" s="30" t="s">
        <v>62</v>
      </c>
      <c r="J159" s="51" t="s">
        <v>62</v>
      </c>
      <c r="K159" s="4" t="s">
        <v>162</v>
      </c>
      <c r="L159" s="2"/>
    </row>
    <row r="160">
      <c r="A160" s="2"/>
      <c r="B160" s="34" t="s">
        <v>163</v>
      </c>
      <c r="C160" s="30">
        <f>C161-C157</f>
        <v>-22</v>
      </c>
      <c r="D160" s="30">
        <f>D161-D157</f>
        <v>14</v>
      </c>
      <c r="E160" s="30">
        <f>E161-E157</f>
        <v>18</v>
      </c>
      <c r="F160" s="30">
        <f>F161-F157</f>
        <v>30</v>
      </c>
      <c r="G160" s="30">
        <f>G158+G159</f>
        <v>40</v>
      </c>
      <c r="H160" s="30">
        <f>H161-H157</f>
        <v>1</v>
      </c>
      <c r="I160" s="30">
        <f>I161-I157</f>
        <v>10</v>
      </c>
      <c r="J160" s="89">
        <v>15</v>
      </c>
      <c r="K160" s="4" t="s">
        <v>164</v>
      </c>
      <c r="L160" s="2"/>
    </row>
    <row r="161">
      <c r="A161" s="2"/>
      <c r="B161" s="47" t="s">
        <v>165</v>
      </c>
      <c r="C161" s="69">
        <v>1169</v>
      </c>
      <c r="D161" s="69">
        <v>1183</v>
      </c>
      <c r="E161" s="69">
        <v>1201</v>
      </c>
      <c r="F161" s="69">
        <v>1231</v>
      </c>
      <c r="G161" s="69">
        <v>1231</v>
      </c>
      <c r="H161" s="69">
        <v>1232</v>
      </c>
      <c r="I161" s="69">
        <v>1242</v>
      </c>
      <c r="J161" s="70">
        <f>J157+J160</f>
        <v>1257</v>
      </c>
      <c r="K161" s="4" t="s">
        <v>166</v>
      </c>
      <c r="L161" s="2"/>
    </row>
    <row r="162">
      <c r="A162" s="2"/>
      <c r="B162" s="41" t="s">
        <v>167</v>
      </c>
      <c r="C162" s="30" t="s">
        <v>62</v>
      </c>
      <c r="D162" s="30" t="s">
        <v>62</v>
      </c>
      <c r="E162" s="30" t="s">
        <v>62</v>
      </c>
      <c r="F162" s="30" t="s">
        <v>62</v>
      </c>
      <c r="G162" s="30" t="s">
        <v>62</v>
      </c>
      <c r="H162" s="30">
        <f>H160-C160</f>
        <v>23</v>
      </c>
      <c r="I162" s="30">
        <f>I160-D160</f>
        <v>-4</v>
      </c>
      <c r="J162" s="51">
        <f>J160-E160</f>
        <v>-3</v>
      </c>
      <c r="K162" s="109" t="s">
        <v>168</v>
      </c>
      <c r="L162" s="2"/>
    </row>
    <row r="163">
      <c r="A163" s="2"/>
      <c r="B163" s="34" t="s">
        <v>169</v>
      </c>
      <c r="C163" s="30">
        <f>AVERAGE(C157,C161)</f>
        <v>1180</v>
      </c>
      <c r="D163" s="30">
        <f>AVERAGE(D157,D161)</f>
        <v>1176</v>
      </c>
      <c r="E163" s="30">
        <f>AVERAGE(E157,E161)</f>
        <v>1192</v>
      </c>
      <c r="F163" s="30">
        <f>AVERAGE(F157,F161)</f>
        <v>1216</v>
      </c>
      <c r="G163" s="30">
        <f>AVERAGE(G157,G161)</f>
        <v>1211</v>
      </c>
      <c r="H163" s="30">
        <f>AVERAGE(H157,H161)</f>
        <v>1231.5</v>
      </c>
      <c r="I163" s="30">
        <f>AVERAGE(I157,I161)</f>
        <v>1237</v>
      </c>
      <c r="J163" s="51">
        <f>AVERAGE(J157,J161)</f>
        <v>1249.5</v>
      </c>
      <c r="K163" s="2"/>
      <c r="L163" s="2"/>
    </row>
    <row r="164">
      <c r="A164" s="2"/>
      <c r="B164" s="3" t="s">
        <v>170</v>
      </c>
      <c r="C164" s="5" t="s">
        <v>62</v>
      </c>
      <c r="D164" s="5" t="s">
        <v>62</v>
      </c>
      <c r="E164" s="5" t="s">
        <v>62</v>
      </c>
      <c r="F164" s="5" t="s">
        <v>62</v>
      </c>
      <c r="G164" s="5" t="s">
        <v>62</v>
      </c>
      <c r="H164" s="5">
        <f>IFERROR(IF(OR(C161&lt;=0,ABS(H161/C161-1)&gt;5),"n/m",H161/C161-1),"n/a")</f>
        <v>0.05389221556886237</v>
      </c>
      <c r="I164" s="5">
        <f>IFERROR(IF(OR(D161&lt;=0,ABS(I161/D161-1)&gt;5),"n/m",I161/D161-1),"n/a")</f>
        <v>0.04987320371935766</v>
      </c>
      <c r="J164" s="31">
        <f>IFERROR(IF(OR(E161&lt;=0,ABS(J161/E161-1)&gt;5),"n/m",J161/E161-1),"n/a")</f>
        <v>0.04662781015820139</v>
      </c>
      <c r="K164" s="2"/>
      <c r="L164" s="2"/>
    </row>
    <row r="165">
      <c r="A165" s="2"/>
      <c r="B165" s="41" t="s">
        <v>171</v>
      </c>
      <c r="C165" s="30" t="s">
        <v>62</v>
      </c>
      <c r="D165" s="30">
        <f>IFERROR(D161-C161,"n/a")</f>
        <v>14</v>
      </c>
      <c r="E165" s="30">
        <f>IFERROR(E161-D161,"n/a")</f>
        <v>18</v>
      </c>
      <c r="F165" s="30">
        <f>IFERROR(F161-E161,"n/a")</f>
        <v>30</v>
      </c>
      <c r="G165" s="30" t="s">
        <v>62</v>
      </c>
      <c r="H165" s="30">
        <f>IFERROR(H161-F161,"n/a")</f>
        <v>1</v>
      </c>
      <c r="I165" s="30">
        <f>IFERROR(I161-H161,"n/a")</f>
        <v>10</v>
      </c>
      <c r="J165" s="51">
        <f>IFERROR(J161-I161,"n/a")</f>
        <v>15</v>
      </c>
      <c r="K165" s="2"/>
      <c r="L165" s="2"/>
    </row>
    <row r="166">
      <c r="A166" s="2"/>
      <c r="B166" s="2" t="s">
        <v>172</v>
      </c>
      <c r="C166" s="58">
        <v>510</v>
      </c>
      <c r="D166" s="58">
        <v>510</v>
      </c>
      <c r="E166" s="58">
        <v>510</v>
      </c>
      <c r="F166" s="30" t="s">
        <v>62</v>
      </c>
      <c r="G166" s="30" t="s">
        <v>62</v>
      </c>
      <c r="H166" s="58">
        <v>520</v>
      </c>
      <c r="I166" s="58">
        <v>520</v>
      </c>
      <c r="J166" s="51" t="s">
        <v>62</v>
      </c>
      <c r="K166" s="4" t="s">
        <v>173</v>
      </c>
      <c r="L166" s="2"/>
    </row>
    <row r="167">
      <c r="A167" s="2"/>
      <c r="B167" s="34" t="s">
        <v>174</v>
      </c>
      <c r="C167" s="7">
        <f>IFERROR(C75/C163*1000,"n/a")</f>
        <v>667.3728813559322</v>
      </c>
      <c r="D167" s="7">
        <f>IFERROR(D75/D163*1000,"n/a")</f>
        <v>608.9285714285716</v>
      </c>
      <c r="E167" s="7">
        <f>IFERROR(E75/E163*1000,"n/a")</f>
        <v>596.6442953020135</v>
      </c>
      <c r="F167" s="7">
        <f>IFERROR(F75/F163*1000,"n/a")</f>
        <v>708.8815789473684</v>
      </c>
      <c r="G167" s="7">
        <f>IFERROR(G75/G163*1000,"n/a")</f>
        <v>2540.710156895128</v>
      </c>
      <c r="H167" s="7">
        <f>IFERROR(H75/H163*1000,"n/a")</f>
        <v>740.1542833942348</v>
      </c>
      <c r="I167" s="7">
        <f>IFERROR(I75/I163*1000,"n/a")</f>
        <v>641.552142279709</v>
      </c>
      <c r="J167" s="46">
        <f>IFERROR(J75/J163*1000,"n/a")</f>
        <v>610.353781512605</v>
      </c>
      <c r="K167" s="4" t="s">
        <v>175</v>
      </c>
      <c r="L167" s="2"/>
    </row>
    <row r="168">
      <c r="A168" s="2"/>
      <c r="B168" s="3" t="s">
        <v>94</v>
      </c>
      <c r="C168" s="5" t="s">
        <v>62</v>
      </c>
      <c r="D168" s="5" t="s">
        <v>62</v>
      </c>
      <c r="E168" s="5" t="s">
        <v>62</v>
      </c>
      <c r="F168" s="5" t="s">
        <v>62</v>
      </c>
      <c r="G168" s="5" t="s">
        <v>62</v>
      </c>
      <c r="H168" s="5">
        <f>IFERROR(H167/C167-1,"n/a")</f>
        <v>0.10905657702247229</v>
      </c>
      <c r="I168" s="5">
        <f>IFERROR(I167/D167-1,"n/a")</f>
        <v>0.05357536562063614</v>
      </c>
      <c r="J168" s="31">
        <f>IFERROR(J167/E167-1,"n/a")</f>
        <v>0.02297765405374741</v>
      </c>
      <c r="K168" s="109" t="s">
        <v>176</v>
      </c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L80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178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179</v>
      </c>
      <c r="C11" s="12">
        <v>422.2</v>
      </c>
      <c r="D11" s="12">
        <v>443.4</v>
      </c>
      <c r="E11" s="12">
        <v>472.7</v>
      </c>
      <c r="F11" s="7">
        <f>G11-C11-D11-E11</f>
        <v>583.2</v>
      </c>
      <c r="G11" s="12">
        <v>1921.5</v>
      </c>
      <c r="H11" s="12">
        <v>455</v>
      </c>
      <c r="I11" s="12">
        <v>485.1</v>
      </c>
      <c r="J11" s="46">
        <f>E11*(1+J15)*(1+J40)</f>
        <v>491.608</v>
      </c>
      <c r="K11" s="4" t="s">
        <v>180</v>
      </c>
      <c r="L11" s="2"/>
    </row>
    <row r="12">
      <c r="A12" s="2"/>
      <c r="B12" s="41" t="s">
        <v>108</v>
      </c>
      <c r="C12" s="12">
        <v>407.8</v>
      </c>
      <c r="D12" s="12">
        <v>431.7</v>
      </c>
      <c r="E12" s="12">
        <v>450.4</v>
      </c>
      <c r="F12" s="12">
        <v>629.9</v>
      </c>
      <c r="G12" s="12">
        <v>1919.8</v>
      </c>
      <c r="H12" s="7">
        <f>C11</f>
        <v>422.2</v>
      </c>
      <c r="I12" s="7">
        <f>D11</f>
        <v>443.4</v>
      </c>
      <c r="J12" s="46">
        <f>E11</f>
        <v>472.7</v>
      </c>
      <c r="K12" s="4" t="s">
        <v>181</v>
      </c>
      <c r="L12" s="2"/>
    </row>
    <row r="13">
      <c r="A13" s="2"/>
      <c r="B13" s="3" t="s">
        <v>116</v>
      </c>
      <c r="C13" s="5">
        <f>IFERROR(IF(OR(C12&lt;=0,ABS(C11/C12-1)&gt;5),"n/m",C11/C12-1),"n/a")</f>
        <v>0.03531142717018132</v>
      </c>
      <c r="D13" s="5">
        <f>IFERROR(IF(OR(D12&lt;=0,ABS(D11/D12-1)&gt;5),"n/m",D11/D12-1),"n/a")</f>
        <v>0.02710215427380125</v>
      </c>
      <c r="E13" s="5">
        <f>IFERROR(IF(OR(E12&lt;=0,ABS(E11/E12-1)&gt;5),"n/m",E11/E12-1),"n/a")</f>
        <v>0.04951154529307278</v>
      </c>
      <c r="F13" s="5">
        <f>IFERROR(IF(OR(F12&lt;=0,ABS(F11/F12-1)&gt;5),"n/m",F11/F12-1),"n/a")</f>
        <v>-0.07413875218288601</v>
      </c>
      <c r="G13" s="5">
        <f>IFERROR(IF(OR(G12&lt;=0,ABS(G11/G12-1)&gt;5),"n/m",G11/G12-1),"n/a")</f>
        <v>0.0008855089071777567</v>
      </c>
      <c r="H13" s="5">
        <f>IFERROR(IF(OR(H12&lt;=0,ABS(H11/H12-1)&gt;5),"n/m",H11/H12-1),"n/a")</f>
        <v>0.0776882993841781</v>
      </c>
      <c r="I13" s="5">
        <f>IFERROR(IF(OR(I12&lt;=0,ABS(I11/I12-1)&gt;5),"n/m",I11/I12-1),"n/a")</f>
        <v>0.09404600811907993</v>
      </c>
      <c r="J13" s="31">
        <f>IFERROR(IF(OR(J12&lt;=0,ABS(J11/J12-1)&gt;5),"n/m",J11/J12-1),"n/a")</f>
        <v>0.040000000000000036</v>
      </c>
      <c r="K13" s="2"/>
      <c r="L13" s="2"/>
    </row>
    <row r="14">
      <c r="A14" s="2"/>
      <c r="B14" s="41" t="s">
        <v>96</v>
      </c>
      <c r="C14" s="7" t="s">
        <v>62</v>
      </c>
      <c r="D14" s="7">
        <f>IFERROR(D11-C11,"n/a")</f>
        <v>21.19999999999999</v>
      </c>
      <c r="E14" s="7">
        <f>IFERROR(E11-D11,"n/a")</f>
        <v>29.30000000000001</v>
      </c>
      <c r="F14" s="7">
        <f>IFERROR(F11-E11,"n/a")</f>
        <v>110.50000000000006</v>
      </c>
      <c r="G14" s="7" t="s">
        <v>62</v>
      </c>
      <c r="H14" s="7">
        <f>IFERROR(H11-F11,"n/a")</f>
        <v>-128.20000000000005</v>
      </c>
      <c r="I14" s="7">
        <f>IFERROR(I11-H11,"n/a")</f>
        <v>30.100000000000023</v>
      </c>
      <c r="J14" s="46">
        <f>IFERROR(J11-I11,"n/a")</f>
        <v>6.507999999999981</v>
      </c>
      <c r="K14" s="2"/>
      <c r="L14" s="2"/>
    </row>
    <row r="15">
      <c r="A15" s="2"/>
      <c r="B15" s="3" t="s">
        <v>182</v>
      </c>
      <c r="C15" s="5" t="s">
        <v>62</v>
      </c>
      <c r="D15" s="5" t="s">
        <v>62</v>
      </c>
      <c r="E15" s="5" t="s">
        <v>62</v>
      </c>
      <c r="F15" s="5" t="s">
        <v>62</v>
      </c>
      <c r="G15" s="5" t="s">
        <v>62</v>
      </c>
      <c r="H15" s="5" t="s">
        <v>62</v>
      </c>
      <c r="I15" s="5" t="s">
        <v>62</v>
      </c>
      <c r="J15" s="44">
        <v>0.04</v>
      </c>
      <c r="K15" s="4" t="s">
        <v>183</v>
      </c>
      <c r="L15" s="2"/>
    </row>
    <row r="16">
      <c r="A16" s="2"/>
      <c r="B16" s="3" t="s">
        <v>98</v>
      </c>
      <c r="C16" s="5" t="s">
        <v>62</v>
      </c>
      <c r="D16" s="5" t="s">
        <v>62</v>
      </c>
      <c r="E16" s="5" t="s">
        <v>62</v>
      </c>
      <c r="F16" s="5" t="s">
        <v>62</v>
      </c>
      <c r="G16" s="5" t="s">
        <v>62</v>
      </c>
      <c r="H16" s="5" t="s">
        <v>62</v>
      </c>
      <c r="I16" s="5" t="s">
        <v>62</v>
      </c>
      <c r="J16" s="31">
        <f>J40</f>
        <v>0</v>
      </c>
      <c r="K16" s="4" t="s">
        <v>184</v>
      </c>
      <c r="L16" s="2"/>
    </row>
    <row r="17">
      <c r="A17" s="2"/>
      <c r="B17" s="3" t="s">
        <v>99</v>
      </c>
      <c r="C17" s="5" t="s">
        <v>62</v>
      </c>
      <c r="D17" s="5" t="s">
        <v>62</v>
      </c>
      <c r="E17" s="5" t="s">
        <v>62</v>
      </c>
      <c r="F17" s="5" t="s">
        <v>62</v>
      </c>
      <c r="G17" s="5" t="s">
        <v>62</v>
      </c>
      <c r="H17" s="5" t="s">
        <v>62</v>
      </c>
      <c r="I17" s="5" t="s">
        <v>62</v>
      </c>
      <c r="J17" s="44">
        <v>0</v>
      </c>
      <c r="K17" s="4" t="s">
        <v>185</v>
      </c>
      <c r="L17" s="2"/>
    </row>
    <row r="18">
      <c r="A18" s="2"/>
      <c r="B18" s="3" t="s">
        <v>100</v>
      </c>
      <c r="C18" s="5" t="s">
        <v>62</v>
      </c>
      <c r="D18" s="5" t="s">
        <v>62</v>
      </c>
      <c r="E18" s="5" t="s">
        <v>62</v>
      </c>
      <c r="F18" s="5" t="s">
        <v>62</v>
      </c>
      <c r="G18" s="5" t="s">
        <v>62</v>
      </c>
      <c r="H18" s="5" t="s">
        <v>62</v>
      </c>
      <c r="I18" s="5" t="s">
        <v>62</v>
      </c>
      <c r="J18" s="31">
        <f>J15</f>
        <v>0.04</v>
      </c>
      <c r="K18" s="4" t="s">
        <v>186</v>
      </c>
      <c r="L18" s="2"/>
    </row>
    <row r="19">
      <c r="A19" s="2"/>
      <c r="B19" s="2" t="s">
        <v>187</v>
      </c>
      <c r="C19" s="12">
        <v>360.8</v>
      </c>
      <c r="D19" s="12">
        <v>305</v>
      </c>
      <c r="E19" s="12">
        <v>333.7</v>
      </c>
      <c r="F19" s="7">
        <f>G19-C19-D19-E19</f>
        <v>376.00000000000006</v>
      </c>
      <c r="G19" s="12">
        <v>1375.5</v>
      </c>
      <c r="H19" s="12">
        <v>400.7</v>
      </c>
      <c r="I19" s="12">
        <v>330.4</v>
      </c>
      <c r="J19" s="46">
        <f>E19*(1+J23)*(1+J40)</f>
        <v>355.3905</v>
      </c>
      <c r="K19" s="4" t="s">
        <v>180</v>
      </c>
      <c r="L19" s="2"/>
    </row>
    <row r="20">
      <c r="A20" s="2"/>
      <c r="B20" s="41" t="s">
        <v>108</v>
      </c>
      <c r="C20" s="12">
        <v>328</v>
      </c>
      <c r="D20" s="12">
        <v>280.5</v>
      </c>
      <c r="E20" s="12">
        <v>306.8</v>
      </c>
      <c r="F20" s="12">
        <v>365.5</v>
      </c>
      <c r="G20" s="12">
        <v>1280.8</v>
      </c>
      <c r="H20" s="7">
        <f>C19</f>
        <v>360.8</v>
      </c>
      <c r="I20" s="7">
        <f>D19</f>
        <v>305</v>
      </c>
      <c r="J20" s="46">
        <f>E19</f>
        <v>333.7</v>
      </c>
      <c r="K20" s="4" t="s">
        <v>181</v>
      </c>
      <c r="L20" s="2"/>
    </row>
    <row r="21">
      <c r="A21" s="2"/>
      <c r="B21" s="3" t="s">
        <v>116</v>
      </c>
      <c r="C21" s="5">
        <f>IFERROR(IF(OR(C20&lt;=0,ABS(C19/C20-1)&gt;5),"n/m",C19/C20-1),"n/a")</f>
        <v>0.10000000000000009</v>
      </c>
      <c r="D21" s="5">
        <f>IFERROR(IF(OR(D20&lt;=0,ABS(D19/D20-1)&gt;5),"n/m",D19/D20-1),"n/a")</f>
        <v>0.08734402852049916</v>
      </c>
      <c r="E21" s="5">
        <f>IFERROR(IF(OR(E20&lt;=0,ABS(E19/E20-1)&gt;5),"n/m",E19/E20-1),"n/a")</f>
        <v>0.08767926988265962</v>
      </c>
      <c r="F21" s="5">
        <f>IFERROR(IF(OR(F20&lt;=0,ABS(F19/F20-1)&gt;5),"n/m",F19/F20-1),"n/a")</f>
        <v>0.028727770177838785</v>
      </c>
      <c r="G21" s="5">
        <f>IFERROR(IF(OR(G20&lt;=0,ABS(G19/G20-1)&gt;5),"n/m",G19/G20-1),"n/a")</f>
        <v>0.07393816364772032</v>
      </c>
      <c r="H21" s="5">
        <f>IFERROR(IF(OR(H20&lt;=0,ABS(H19/H20-1)&gt;5),"n/m",H19/H20-1),"n/a")</f>
        <v>0.11058758314855877</v>
      </c>
      <c r="I21" s="5">
        <f>IFERROR(IF(OR(I20&lt;=0,ABS(I19/I20-1)&gt;5),"n/m",I19/I20-1),"n/a")</f>
        <v>0.0832786885245902</v>
      </c>
      <c r="J21" s="31">
        <f>IFERROR(IF(OR(J20&lt;=0,ABS(J19/J20-1)&gt;5),"n/m",J19/J20-1),"n/a")</f>
        <v>0.06499999999999995</v>
      </c>
      <c r="K21" s="2"/>
      <c r="L21" s="2"/>
    </row>
    <row r="22">
      <c r="A22" s="2"/>
      <c r="B22" s="41" t="s">
        <v>96</v>
      </c>
      <c r="C22" s="7" t="s">
        <v>62</v>
      </c>
      <c r="D22" s="7">
        <f>IFERROR(D19-C19,"n/a")</f>
        <v>-55.80000000000001</v>
      </c>
      <c r="E22" s="7">
        <f>IFERROR(E19-D19,"n/a")</f>
        <v>28.69999999999999</v>
      </c>
      <c r="F22" s="7">
        <f>IFERROR(F19-E19,"n/a")</f>
        <v>42.30000000000007</v>
      </c>
      <c r="G22" s="7" t="s">
        <v>62</v>
      </c>
      <c r="H22" s="7">
        <f>IFERROR(H19-F19,"n/a")</f>
        <v>24.699999999999932</v>
      </c>
      <c r="I22" s="7">
        <f>IFERROR(I19-H19,"n/a")</f>
        <v>-70.30000000000001</v>
      </c>
      <c r="J22" s="46">
        <f>IFERROR(J19-I19,"n/a")</f>
        <v>24.990499999999997</v>
      </c>
      <c r="K22" s="2"/>
      <c r="L22" s="2"/>
    </row>
    <row r="23">
      <c r="A23" s="2"/>
      <c r="B23" s="3" t="s">
        <v>182</v>
      </c>
      <c r="C23" s="5" t="s">
        <v>62</v>
      </c>
      <c r="D23" s="5" t="s">
        <v>62</v>
      </c>
      <c r="E23" s="5" t="s">
        <v>62</v>
      </c>
      <c r="F23" s="5" t="s">
        <v>62</v>
      </c>
      <c r="G23" s="5" t="s">
        <v>62</v>
      </c>
      <c r="H23" s="5" t="s">
        <v>62</v>
      </c>
      <c r="I23" s="5" t="s">
        <v>62</v>
      </c>
      <c r="J23" s="44">
        <v>0.065</v>
      </c>
      <c r="K23" s="4" t="s">
        <v>183</v>
      </c>
      <c r="L23" s="2"/>
    </row>
    <row r="24">
      <c r="A24" s="2"/>
      <c r="B24" s="3" t="s">
        <v>98</v>
      </c>
      <c r="C24" s="5" t="s">
        <v>62</v>
      </c>
      <c r="D24" s="5" t="s">
        <v>62</v>
      </c>
      <c r="E24" s="5" t="s">
        <v>62</v>
      </c>
      <c r="F24" s="5" t="s">
        <v>62</v>
      </c>
      <c r="G24" s="5" t="s">
        <v>62</v>
      </c>
      <c r="H24" s="5" t="s">
        <v>62</v>
      </c>
      <c r="I24" s="5" t="s">
        <v>62</v>
      </c>
      <c r="J24" s="31">
        <f>J40</f>
        <v>0</v>
      </c>
      <c r="K24" s="4" t="s">
        <v>184</v>
      </c>
      <c r="L24" s="2"/>
    </row>
    <row r="25">
      <c r="A25" s="2"/>
      <c r="B25" s="3" t="s">
        <v>99</v>
      </c>
      <c r="C25" s="5" t="s">
        <v>62</v>
      </c>
      <c r="D25" s="5" t="s">
        <v>62</v>
      </c>
      <c r="E25" s="5" t="s">
        <v>62</v>
      </c>
      <c r="F25" s="5" t="s">
        <v>62</v>
      </c>
      <c r="G25" s="5" t="s">
        <v>62</v>
      </c>
      <c r="H25" s="5" t="s">
        <v>62</v>
      </c>
      <c r="I25" s="5" t="s">
        <v>62</v>
      </c>
      <c r="J25" s="44">
        <v>0</v>
      </c>
      <c r="K25" s="4" t="s">
        <v>185</v>
      </c>
      <c r="L25" s="2"/>
    </row>
    <row r="26">
      <c r="A26" s="2"/>
      <c r="B26" s="3" t="s">
        <v>100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 t="s">
        <v>62</v>
      </c>
      <c r="I26" s="5" t="s">
        <v>62</v>
      </c>
      <c r="J26" s="31">
        <f>J23</f>
        <v>0.065</v>
      </c>
      <c r="K26" s="4" t="s">
        <v>186</v>
      </c>
      <c r="L26" s="2"/>
    </row>
    <row r="27">
      <c r="A27" s="2"/>
      <c r="B27" s="47" t="s">
        <v>188</v>
      </c>
      <c r="C27" s="14">
        <f>C11+C19</f>
        <v>783</v>
      </c>
      <c r="D27" s="14">
        <f>D11+D19</f>
        <v>748.4</v>
      </c>
      <c r="E27" s="14">
        <f>E11+E19</f>
        <v>806.4</v>
      </c>
      <c r="F27" s="14">
        <f>F11+F19</f>
        <v>959.2</v>
      </c>
      <c r="G27" s="14">
        <f>G11+G19</f>
        <v>3297</v>
      </c>
      <c r="H27" s="14">
        <f>H11+H19</f>
        <v>855.7</v>
      </c>
      <c r="I27" s="14">
        <f>I11+I19</f>
        <v>815.5</v>
      </c>
      <c r="J27" s="36">
        <f>J11+J19</f>
        <v>846.9984999999999</v>
      </c>
      <c r="K27" s="4" t="s">
        <v>189</v>
      </c>
      <c r="L27" s="2"/>
    </row>
    <row r="28">
      <c r="A28" s="2"/>
      <c r="B28" s="41" t="s">
        <v>108</v>
      </c>
      <c r="C28" s="7">
        <f>C12+C20</f>
        <v>735.8</v>
      </c>
      <c r="D28" s="7">
        <f>D12+D20</f>
        <v>712.2</v>
      </c>
      <c r="E28" s="7">
        <f>E12+E20</f>
        <v>757.2</v>
      </c>
      <c r="F28" s="7">
        <f>F12+F20</f>
        <v>995.4</v>
      </c>
      <c r="G28" s="7">
        <f>G12+G20</f>
        <v>3200.6</v>
      </c>
      <c r="H28" s="7">
        <f>C27</f>
        <v>783</v>
      </c>
      <c r="I28" s="7">
        <f>D27</f>
        <v>748.4</v>
      </c>
      <c r="J28" s="46">
        <f>E27</f>
        <v>806.4</v>
      </c>
      <c r="K28" s="4" t="s">
        <v>190</v>
      </c>
      <c r="L28" s="2"/>
    </row>
    <row r="29">
      <c r="A29" s="2"/>
      <c r="B29" s="3" t="s">
        <v>95</v>
      </c>
      <c r="C29" s="5" t="s">
        <v>62</v>
      </c>
      <c r="D29" s="5">
        <f>IFERROR(IF(C27&lt;=0,"n/m",D27/C27-1),"n/a")</f>
        <v>-0.044189016602809716</v>
      </c>
      <c r="E29" s="5">
        <f>IFERROR(IF(D27&lt;=0,"n/m",E27/D27-1),"n/a")</f>
        <v>0.07749866381614101</v>
      </c>
      <c r="F29" s="5">
        <f>IFERROR(IF(E27&lt;=0,"n/m",F27/E27-1),"n/a")</f>
        <v>0.18948412698412698</v>
      </c>
      <c r="G29" s="5" t="s">
        <v>62</v>
      </c>
      <c r="H29" s="5">
        <f>IFERROR(IF(F27&lt;=0,"n/m",H27/F27-1),"n/a")</f>
        <v>-0.10790241868223516</v>
      </c>
      <c r="I29" s="5">
        <f>IFERROR(IF(H27&lt;=0,"n/m",I27/H27-1),"n/a")</f>
        <v>-0.0469790814537806</v>
      </c>
      <c r="J29" s="31">
        <f>IFERROR(IF(I27&lt;=0,"n/m",J27/I27-1),"n/a")</f>
        <v>0.03862477007970555</v>
      </c>
      <c r="K29" s="2"/>
      <c r="L29" s="2"/>
    </row>
    <row r="30">
      <c r="A30" s="2"/>
      <c r="B30" s="41" t="s">
        <v>96</v>
      </c>
      <c r="C30" s="7" t="s">
        <v>62</v>
      </c>
      <c r="D30" s="7">
        <f>IFERROR(D27-C27,"n/a")</f>
        <v>-34.60000000000002</v>
      </c>
      <c r="E30" s="7">
        <f>IFERROR(E27-D27,"n/a")</f>
        <v>58</v>
      </c>
      <c r="F30" s="7">
        <f>IFERROR(F27-E27,"n/a")</f>
        <v>152.80000000000007</v>
      </c>
      <c r="G30" s="7" t="s">
        <v>62</v>
      </c>
      <c r="H30" s="7">
        <f>IFERROR(H27-F27,"n/a")</f>
        <v>-103.5</v>
      </c>
      <c r="I30" s="7">
        <f>IFERROR(I27-H27,"n/a")</f>
        <v>-40.200000000000045</v>
      </c>
      <c r="J30" s="46">
        <f>IFERROR(J27-I27,"n/a")</f>
        <v>31.498499999999922</v>
      </c>
      <c r="K30" s="2"/>
      <c r="L30" s="2"/>
    </row>
    <row r="31">
      <c r="A31" s="2"/>
      <c r="B31" s="3" t="s">
        <v>191</v>
      </c>
      <c r="C31" s="10">
        <f>IFERROR(C27/'Income Statement'!C11,"n/a")</f>
        <v>0.5128373067854336</v>
      </c>
      <c r="D31" s="10">
        <f>IFERROR(D27/'Income Statement'!D11,"n/a")</f>
        <v>0.5175656984785615</v>
      </c>
      <c r="E31" s="10">
        <f>IFERROR(E27/'Income Statement'!E11,"n/a")</f>
        <v>0.5224828301153297</v>
      </c>
      <c r="F31" s="10">
        <f>IFERROR(F27/'Income Statement'!F11,"n/a")</f>
        <v>0.5432098765432097</v>
      </c>
      <c r="G31" s="10">
        <f>IFERROR(G27/'Income Statement'!G11,"n/a")</f>
        <v>0.5248328557784144</v>
      </c>
      <c r="H31" s="10">
        <f>IFERROR(H27/'Income Statement'!H11,"n/a")</f>
        <v>0.49107604017216644</v>
      </c>
      <c r="I31" s="10">
        <f>IFERROR(I27/'Income Statement'!I11,"n/a")</f>
        <v>0.5220870678617158</v>
      </c>
      <c r="J31" s="52">
        <f>IFERROR(J27/'Income Statement'!J11,"n/a")</f>
        <v>0.5182682001321837</v>
      </c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43" t="s">
        <v>192</v>
      </c>
      <c r="C33" s="2"/>
      <c r="D33" s="2"/>
      <c r="E33" s="2"/>
      <c r="F33" s="2"/>
      <c r="G33" s="2"/>
      <c r="H33" s="2"/>
      <c r="I33" s="2"/>
      <c r="J33" s="23"/>
      <c r="K33" s="2"/>
      <c r="L33" s="2"/>
    </row>
    <row r="34">
      <c r="A34" s="2"/>
      <c r="B34" s="3" t="s">
        <v>116</v>
      </c>
      <c r="C34" s="5">
        <f>IFERROR(IF(OR(C28&lt;=0,ABS(C27/C28-1)&gt;5),"n/m",C27/C28-1),"n/a")</f>
        <v>0.06414786626800772</v>
      </c>
      <c r="D34" s="5">
        <f>IFERROR(IF(OR(D28&lt;=0,ABS(D27/D28-1)&gt;5),"n/m",D27/D28-1),"n/a")</f>
        <v>0.0508284189834316</v>
      </c>
      <c r="E34" s="5">
        <f>IFERROR(IF(OR(E28&lt;=0,ABS(E27/E28-1)&gt;5),"n/m",E27/E28-1),"n/a")</f>
        <v>0.06497622820919169</v>
      </c>
      <c r="F34" s="5">
        <f>IFERROR(IF(OR(F28&lt;=0,ABS(F27/F28-1)&gt;5),"n/m",F27/F28-1),"n/a")</f>
        <v>-0.036367289531846425</v>
      </c>
      <c r="G34" s="5">
        <f>IFERROR(IF(OR(G28&lt;=0,ABS(G27/G28-1)&gt;5),"n/m",G27/G28-1),"n/a")</f>
        <v>0.030119352621383433</v>
      </c>
      <c r="H34" s="5">
        <f>IFERROR(IF(OR(H28&lt;=0,ABS(H27/H28-1)&gt;5),"n/m",H27/H28-1),"n/a")</f>
        <v>0.09284802043422746</v>
      </c>
      <c r="I34" s="5">
        <f>IFERROR(IF(OR(I28&lt;=0,ABS(I27/I28-1)&gt;5),"n/m",I27/I28-1),"n/a")</f>
        <v>0.08965793693212198</v>
      </c>
      <c r="J34" s="31">
        <f>IFERROR(IF(OR(J28&lt;=0,ABS(J27/J28-1)&gt;5),"n/m",J27/J28-1),"n/a")</f>
        <v>0.05034536210317464</v>
      </c>
      <c r="K34" s="97" t="s">
        <v>193</v>
      </c>
      <c r="L34" s="2"/>
    </row>
    <row r="35">
      <c r="A35" s="2"/>
      <c r="B35" s="41" t="s">
        <v>117</v>
      </c>
      <c r="C35" s="12">
        <v>-18.8</v>
      </c>
      <c r="D35" s="12">
        <v>-15.2</v>
      </c>
      <c r="E35" s="12">
        <v>-2.3</v>
      </c>
      <c r="F35" s="12">
        <v>9.5</v>
      </c>
      <c r="G35" s="12">
        <v>-26.8</v>
      </c>
      <c r="H35" s="12">
        <v>18.4</v>
      </c>
      <c r="I35" s="12">
        <v>15.5</v>
      </c>
      <c r="J35" s="46">
        <f>J28*J40</f>
        <v>0</v>
      </c>
      <c r="K35" s="4" t="s">
        <v>194</v>
      </c>
      <c r="L35" s="2"/>
    </row>
    <row r="36">
      <c r="A36" s="2"/>
      <c r="B36" s="41" t="s">
        <v>119</v>
      </c>
      <c r="C36" s="12">
        <v>-14.2</v>
      </c>
      <c r="D36" s="12">
        <v>-9.6</v>
      </c>
      <c r="E36" s="12">
        <v>-3.2</v>
      </c>
      <c r="F36" s="12">
        <v>-61.5</v>
      </c>
      <c r="G36" s="12">
        <v>-88.5</v>
      </c>
      <c r="H36" s="12">
        <v>-2.3</v>
      </c>
      <c r="I36" s="12">
        <v>0</v>
      </c>
      <c r="J36" s="49">
        <v>0</v>
      </c>
      <c r="K36" s="2"/>
      <c r="L36" s="2"/>
    </row>
    <row r="37">
      <c r="A37" s="2"/>
      <c r="B37" s="41" t="s">
        <v>120</v>
      </c>
      <c r="C37" s="12">
        <v>-2.3</v>
      </c>
      <c r="D37" s="12">
        <v>0</v>
      </c>
      <c r="E37" s="12">
        <v>0</v>
      </c>
      <c r="F37" s="12">
        <v>0</v>
      </c>
      <c r="G37" s="12">
        <v>-2.3</v>
      </c>
      <c r="H37" s="12">
        <v>0</v>
      </c>
      <c r="I37" s="12">
        <v>0</v>
      </c>
      <c r="J37" s="49">
        <v>0</v>
      </c>
      <c r="K37" s="2"/>
      <c r="L37" s="2"/>
    </row>
    <row r="38">
      <c r="A38" s="2"/>
      <c r="B38" s="41" t="s">
        <v>121</v>
      </c>
      <c r="C38" s="7">
        <f>C27+C37</f>
        <v>780.7</v>
      </c>
      <c r="D38" s="7">
        <f>D27+D37</f>
        <v>748.4</v>
      </c>
      <c r="E38" s="7">
        <f>E27+E37</f>
        <v>806.4</v>
      </c>
      <c r="F38" s="7">
        <f>F27+F37</f>
        <v>959.2</v>
      </c>
      <c r="G38" s="7">
        <f>G27+G37</f>
        <v>3294.7</v>
      </c>
      <c r="H38" s="7">
        <f>H27+H37</f>
        <v>855.7</v>
      </c>
      <c r="I38" s="7">
        <f>I27+I37</f>
        <v>815.5</v>
      </c>
      <c r="J38" s="46">
        <f>J27+J37</f>
        <v>846.9984999999999</v>
      </c>
      <c r="K38" s="2"/>
      <c r="L38" s="2"/>
    </row>
    <row r="39">
      <c r="A39" s="2"/>
      <c r="B39" s="41" t="s">
        <v>122</v>
      </c>
      <c r="C39" s="7">
        <f>C28+C35+C36</f>
        <v>702.8</v>
      </c>
      <c r="D39" s="7">
        <f>D28+D35+D36</f>
        <v>687.4</v>
      </c>
      <c r="E39" s="7">
        <f>E28+E35+E36</f>
        <v>751.7</v>
      </c>
      <c r="F39" s="7">
        <f>F28+F35+F36</f>
        <v>943.4</v>
      </c>
      <c r="G39" s="7">
        <f>G28+G35+G36</f>
        <v>3085.2999999999997</v>
      </c>
      <c r="H39" s="7">
        <f>H28+H35+H36</f>
        <v>799.1</v>
      </c>
      <c r="I39" s="7">
        <f>I28+I35+I36</f>
        <v>763.9</v>
      </c>
      <c r="J39" s="46">
        <f>J28+J35+J36</f>
        <v>806.4</v>
      </c>
      <c r="K39" s="2"/>
      <c r="L39" s="2"/>
    </row>
    <row r="40">
      <c r="A40" s="2"/>
      <c r="B40" s="3" t="s">
        <v>98</v>
      </c>
      <c r="C40" s="5">
        <f>IFERROR(C35/C28,"n/a")</f>
        <v>-0.025550421310138627</v>
      </c>
      <c r="D40" s="5">
        <f>IFERROR(D35/D28,"n/a")</f>
        <v>-0.021342319573153606</v>
      </c>
      <c r="E40" s="5">
        <f>IFERROR(E35/E28,"n/a")</f>
        <v>-0.003037506603275224</v>
      </c>
      <c r="F40" s="5">
        <f>IFERROR(F35/F28,"n/a")</f>
        <v>0.00954390194896524</v>
      </c>
      <c r="G40" s="5">
        <f>IFERROR(G35/G28,"n/a")</f>
        <v>-0.008373429981878398</v>
      </c>
      <c r="H40" s="5">
        <f>IFERROR(H35/H28,"n/a")</f>
        <v>0.02349936143039591</v>
      </c>
      <c r="I40" s="5">
        <f>IFERROR(I35/I28,"n/a")</f>
        <v>0.02071084981293426</v>
      </c>
      <c r="J40" s="44">
        <v>0</v>
      </c>
      <c r="K40" s="2"/>
      <c r="L40" s="2"/>
    </row>
    <row r="41">
      <c r="A41" s="2"/>
      <c r="B41" s="41" t="s">
        <v>195</v>
      </c>
      <c r="C41" s="30" t="s">
        <v>62</v>
      </c>
      <c r="D41" s="30" t="s">
        <v>62</v>
      </c>
      <c r="E41" s="30" t="s">
        <v>62</v>
      </c>
      <c r="F41" s="30" t="s">
        <v>62</v>
      </c>
      <c r="G41" s="30" t="s">
        <v>62</v>
      </c>
      <c r="H41" s="30">
        <f>IFERROR((H40-C40)*10000,"n/a")</f>
        <v>490.4978274053454</v>
      </c>
      <c r="I41" s="30">
        <f>IFERROR((I40-D40)*10000,"n/a")</f>
        <v>420.5316938608787</v>
      </c>
      <c r="J41" s="51">
        <f>IFERROR((J40-E40)*10000,"n/a")</f>
        <v>30.37506603275224</v>
      </c>
      <c r="K41" s="2"/>
      <c r="L41" s="2"/>
    </row>
    <row r="42">
      <c r="A42" s="2"/>
      <c r="B42" s="3" t="s">
        <v>99</v>
      </c>
      <c r="C42" s="5">
        <f>IFERROR((C28+C35+C36)/(C28+C35)*C27/(C27+C37)-1,"n/a")</f>
        <v>-0.016917014180493628</v>
      </c>
      <c r="D42" s="5">
        <f>IFERROR((D28+D35+D36)/(D28+D35)*D27/(D27+D37)-1,"n/a")</f>
        <v>-0.013773314203730402</v>
      </c>
      <c r="E42" s="5">
        <f>IFERROR((E28+E35+E36)/(E28+E35)*E27/(E27+E37)-1,"n/a")</f>
        <v>-0.004238972049278145</v>
      </c>
      <c r="F42" s="5">
        <f>IFERROR((F28+F35+F36)/(F28+F35)*F27/(F27+F37)-1,"n/a")</f>
        <v>-0.06120011941486714</v>
      </c>
      <c r="G42" s="5">
        <f>IFERROR((G28+G35+G36)/(G28+G35)*G27/(G27+G37)-1,"n/a")</f>
        <v>-0.02720592987234627</v>
      </c>
      <c r="H42" s="5">
        <f>IFERROR((H28+H35+H36)/(H28+H35)*H27/(H27+H37)-1,"n/a")</f>
        <v>-0.002869977539306179</v>
      </c>
      <c r="I42" s="5">
        <f>IFERROR((I28+I35+I36)/(I28+I35)*I27/(I27+I37)-1,"n/a")</f>
        <v>0</v>
      </c>
      <c r="J42" s="31">
        <f>IFERROR((J28+J35+J36)/(J28+J35)*J27/(J27+J37)-1,"n/a")</f>
        <v>0</v>
      </c>
      <c r="K42" s="2"/>
      <c r="L42" s="2"/>
    </row>
    <row r="43">
      <c r="A43" s="2"/>
      <c r="B43" s="3" t="s">
        <v>100</v>
      </c>
      <c r="C43" s="5">
        <f>IFERROR((1+C34)/((1+C42)*(1+C40))-1,"n/a")</f>
        <v>0.11084234490609002</v>
      </c>
      <c r="D43" s="5">
        <f>IFERROR((1+D34)/((1+D42)*(1+D40))-1,"n/a")</f>
        <v>0.08874018038987486</v>
      </c>
      <c r="E43" s="5">
        <f>IFERROR((1+E34)/((1+E42)*(1+E40))-1,"n/a")</f>
        <v>0.07276839164560323</v>
      </c>
      <c r="F43" s="5">
        <f>IFERROR((1+F34)/((1+F42)*(1+F40))-1,"n/a")</f>
        <v>0.016747933008268046</v>
      </c>
      <c r="G43" s="5">
        <f>IFERROR((1+G34)/((1+G42)*(1+G40))-1,"n/a")</f>
        <v>0.06787022331701942</v>
      </c>
      <c r="H43" s="5">
        <f>IFERROR((1+H34)/((1+H42)*(1+H40))-1,"n/a")</f>
        <v>0.07082968339381801</v>
      </c>
      <c r="I43" s="5">
        <f>IFERROR((1+I34)/((1+I42)*(1+I40))-1,"n/a")</f>
        <v>0.06754810839115089</v>
      </c>
      <c r="J43" s="31">
        <f>IFERROR((1+J34)/((1+J42)*(1+J40))-1,"n/a")</f>
        <v>0.05034536210317464</v>
      </c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3" t="s">
        <v>196</v>
      </c>
      <c r="C45" s="2"/>
      <c r="D45" s="2"/>
      <c r="E45" s="2"/>
      <c r="F45" s="2"/>
      <c r="G45" s="2"/>
      <c r="H45" s="2"/>
      <c r="I45" s="2"/>
      <c r="J45" s="23"/>
      <c r="K45" s="2"/>
      <c r="L45" s="2"/>
    </row>
    <row r="46">
      <c r="A46" s="2"/>
      <c r="B46" s="21" t="s">
        <v>197</v>
      </c>
      <c r="C46" s="5">
        <f>IFERROR(C19/C27,"n/a")</f>
        <v>0.4607918263090677</v>
      </c>
      <c r="D46" s="5">
        <f>IFERROR(D19/D27,"n/a")</f>
        <v>0.4075360769641903</v>
      </c>
      <c r="E46" s="5">
        <f>IFERROR(E19/E27,"n/a")</f>
        <v>0.41381448412698413</v>
      </c>
      <c r="F46" s="5">
        <f>IFERROR(F19/F27,"n/a")</f>
        <v>0.39199332777314433</v>
      </c>
      <c r="G46" s="5">
        <f>IFERROR(G19/G27,"n/a")</f>
        <v>0.4171974522292994</v>
      </c>
      <c r="H46" s="5">
        <f>IFERROR(H19/H27,"n/a")</f>
        <v>0.46827159051069295</v>
      </c>
      <c r="I46" s="5">
        <f>IFERROR(I19/I27,"n/a")</f>
        <v>0.4051502145922746</v>
      </c>
      <c r="J46" s="31">
        <f>IFERROR(J19/J27,"n/a")</f>
        <v>0.4195881102504904</v>
      </c>
      <c r="K46" s="2"/>
      <c r="L46" s="2"/>
    </row>
    <row r="47">
      <c r="A47" s="2"/>
      <c r="B47" s="41" t="s">
        <v>153</v>
      </c>
      <c r="C47" s="30" t="s">
        <v>62</v>
      </c>
      <c r="D47" s="30" t="s">
        <v>62</v>
      </c>
      <c r="E47" s="30" t="s">
        <v>62</v>
      </c>
      <c r="F47" s="30" t="s">
        <v>62</v>
      </c>
      <c r="G47" s="30" t="s">
        <v>62</v>
      </c>
      <c r="H47" s="30">
        <f>IFERROR((H46-C46)*10000,"n/a")</f>
        <v>74.79764201625272</v>
      </c>
      <c r="I47" s="30">
        <f>IFERROR((I46-D46)*10000,"n/a")</f>
        <v>-23.858623719156814</v>
      </c>
      <c r="J47" s="51">
        <f>IFERROR((J46-E46)*10000,"n/a")</f>
        <v>57.736261235062926</v>
      </c>
      <c r="K47" s="2"/>
      <c r="L47" s="2"/>
    </row>
    <row r="48">
      <c r="A48" s="2"/>
      <c r="B48" s="21" t="s">
        <v>198</v>
      </c>
      <c r="C48" s="5">
        <f>IFERROR(C11/C27,"n/a")</f>
        <v>0.5392081736909323</v>
      </c>
      <c r="D48" s="5">
        <f>IFERROR(D11/D27,"n/a")</f>
        <v>0.5924639230358097</v>
      </c>
      <c r="E48" s="5">
        <f>IFERROR(E11/E27,"n/a")</f>
        <v>0.5861855158730159</v>
      </c>
      <c r="F48" s="5">
        <f>IFERROR(F11/F27,"n/a")</f>
        <v>0.6080066722268558</v>
      </c>
      <c r="G48" s="5">
        <f>IFERROR(G11/G27,"n/a")</f>
        <v>0.5828025477707006</v>
      </c>
      <c r="H48" s="5">
        <f>IFERROR(H11/H27,"n/a")</f>
        <v>0.531728409489307</v>
      </c>
      <c r="I48" s="5">
        <f>IFERROR(I11/I27,"n/a")</f>
        <v>0.5948497854077254</v>
      </c>
      <c r="J48" s="31">
        <f>IFERROR(J11/J27,"n/a")</f>
        <v>0.5804118897495096</v>
      </c>
      <c r="K48" s="2"/>
      <c r="L48" s="2"/>
    </row>
    <row r="49">
      <c r="A49" s="2"/>
      <c r="B49" s="41" t="s">
        <v>153</v>
      </c>
      <c r="C49" s="30" t="s">
        <v>62</v>
      </c>
      <c r="D49" s="30" t="s">
        <v>62</v>
      </c>
      <c r="E49" s="30" t="s">
        <v>62</v>
      </c>
      <c r="F49" s="30" t="s">
        <v>62</v>
      </c>
      <c r="G49" s="30" t="s">
        <v>62</v>
      </c>
      <c r="H49" s="30">
        <f>IFERROR((H48-C48)*10000,"n/a")</f>
        <v>-74.79764201625328</v>
      </c>
      <c r="I49" s="30">
        <f>IFERROR((I48-D48)*10000,"n/a")</f>
        <v>23.858623719156256</v>
      </c>
      <c r="J49" s="51">
        <f>IFERROR((J48-E48)*10000,"n/a")</f>
        <v>-57.736261235062926</v>
      </c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43" t="s">
        <v>199</v>
      </c>
      <c r="C51" s="2"/>
      <c r="D51" s="2"/>
      <c r="E51" s="2"/>
      <c r="F51" s="2"/>
      <c r="G51" s="2"/>
      <c r="H51" s="2"/>
      <c r="I51" s="2"/>
      <c r="J51" s="23"/>
      <c r="K51" s="2"/>
      <c r="L51" s="2"/>
    </row>
    <row r="52">
      <c r="A52" s="2"/>
      <c r="B52" s="2" t="s">
        <v>200</v>
      </c>
      <c r="C52" s="12">
        <v>337.2</v>
      </c>
      <c r="D52" s="12">
        <v>316.6</v>
      </c>
      <c r="E52" s="7" t="s">
        <v>62</v>
      </c>
      <c r="F52" s="7" t="s">
        <v>62</v>
      </c>
      <c r="G52" s="12">
        <v>1419</v>
      </c>
      <c r="H52" s="12">
        <v>376.9</v>
      </c>
      <c r="I52" s="12">
        <v>353.7</v>
      </c>
      <c r="J52" s="46">
        <f>J27*(1-J57)</f>
        <v>368.4443475</v>
      </c>
      <c r="K52" s="4" t="s">
        <v>201</v>
      </c>
      <c r="L52" s="2"/>
    </row>
    <row r="53">
      <c r="A53" s="2"/>
      <c r="B53" s="3" t="s">
        <v>94</v>
      </c>
      <c r="C53" s="5" t="s">
        <v>62</v>
      </c>
      <c r="D53" s="5" t="s">
        <v>62</v>
      </c>
      <c r="E53" s="5" t="s">
        <v>62</v>
      </c>
      <c r="F53" s="5" t="s">
        <v>62</v>
      </c>
      <c r="G53" s="5" t="s">
        <v>62</v>
      </c>
      <c r="H53" s="5">
        <f>IFERROR(IF(OR(C52&lt;=0,ABS(H52/C52-1)&gt;5),"n/m",H52/C52-1),"n/a")</f>
        <v>0.11773428232502958</v>
      </c>
      <c r="I53" s="5">
        <f>IFERROR(IF(OR(D52&lt;=0,ABS(I52/D52-1)&gt;5),"n/m",I52/D52-1),"n/a")</f>
        <v>0.11718256475047362</v>
      </c>
      <c r="J53" s="31" t="str">
        <f>IFERROR(IF(OR(E52&lt;=0,ABS(J52/E52-1)&gt;5),"n/m",J52/E52-1),"n/a")</f>
        <v>n/a</v>
      </c>
      <c r="K53" s="2"/>
      <c r="L53" s="2"/>
    </row>
    <row r="54">
      <c r="A54" s="2"/>
      <c r="B54" s="41" t="s">
        <v>96</v>
      </c>
      <c r="C54" s="7" t="s">
        <v>62</v>
      </c>
      <c r="D54" s="7">
        <f>IFERROR(D52-C52,"n/a")</f>
        <v>-20.599999999999966</v>
      </c>
      <c r="E54" s="7" t="str">
        <f>IFERROR(E52-D52,"n/a")</f>
        <v>n/a</v>
      </c>
      <c r="F54" s="7" t="str">
        <f>IFERROR(F52-E52,"n/a")</f>
        <v>n/a</v>
      </c>
      <c r="G54" s="7" t="s">
        <v>62</v>
      </c>
      <c r="H54" s="7" t="str">
        <f>IFERROR(H52-F52,"n/a")</f>
        <v>n/a</v>
      </c>
      <c r="I54" s="7">
        <f>IFERROR(I52-H52,"n/a")</f>
        <v>-23.19999999999999</v>
      </c>
      <c r="J54" s="46">
        <f>IFERROR(J52-I52,"n/a")</f>
        <v>14.744347500000003</v>
      </c>
      <c r="K54" s="2"/>
      <c r="L54" s="2"/>
    </row>
    <row r="55">
      <c r="A55" s="2"/>
      <c r="B55" s="47" t="s">
        <v>202</v>
      </c>
      <c r="C55" s="14">
        <f>C27-C52</f>
        <v>445.8</v>
      </c>
      <c r="D55" s="14">
        <f>D27-D52</f>
        <v>431.79999999999995</v>
      </c>
      <c r="E55" s="14" t="s">
        <v>62</v>
      </c>
      <c r="F55" s="14" t="s">
        <v>62</v>
      </c>
      <c r="G55" s="14">
        <f>G27-G52</f>
        <v>1878</v>
      </c>
      <c r="H55" s="14">
        <f>H27-H52</f>
        <v>478.80000000000007</v>
      </c>
      <c r="I55" s="14">
        <f>I27-I52</f>
        <v>461.8</v>
      </c>
      <c r="J55" s="36">
        <f>J27-J52</f>
        <v>478.55415249999993</v>
      </c>
      <c r="K55" s="2"/>
      <c r="L55" s="2"/>
    </row>
    <row r="56">
      <c r="A56" s="2"/>
      <c r="B56" s="3" t="s">
        <v>94</v>
      </c>
      <c r="C56" s="5" t="s">
        <v>62</v>
      </c>
      <c r="D56" s="5" t="s">
        <v>62</v>
      </c>
      <c r="E56" s="5" t="s">
        <v>62</v>
      </c>
      <c r="F56" s="5" t="s">
        <v>62</v>
      </c>
      <c r="G56" s="5" t="s">
        <v>62</v>
      </c>
      <c r="H56" s="5">
        <f>IFERROR(IF(OR(C55&lt;=0,ABS(H55/C55-1)&gt;5),"n/m",H55/C55-1),"n/a")</f>
        <v>0.07402422611036341</v>
      </c>
      <c r="I56" s="5">
        <f>IFERROR(IF(OR(D55&lt;=0,ABS(I55/D55-1)&gt;5),"n/m",I55/D55-1),"n/a")</f>
        <v>0.06947660954145451</v>
      </c>
      <c r="J56" s="31" t="str">
        <f>IFERROR(IF(OR(E55&lt;=0,ABS(J55/E55-1)&gt;5),"n/m",J55/E55-1),"n/a")</f>
        <v>n/a</v>
      </c>
      <c r="K56" s="2"/>
      <c r="L56" s="2"/>
    </row>
    <row r="57">
      <c r="A57" s="2"/>
      <c r="B57" s="21" t="s">
        <v>203</v>
      </c>
      <c r="C57" s="5">
        <f>IFERROR(C55/C27,"n/a")</f>
        <v>0.5693486590038315</v>
      </c>
      <c r="D57" s="5">
        <f>IFERROR(D55/D27,"n/a")</f>
        <v>0.5769641902725815</v>
      </c>
      <c r="E57" s="5" t="s">
        <v>62</v>
      </c>
      <c r="F57" s="5" t="s">
        <v>62</v>
      </c>
      <c r="G57" s="5">
        <f>IFERROR(G55/G27,"n/a")</f>
        <v>0.5696087352138307</v>
      </c>
      <c r="H57" s="5">
        <f>IFERROR(H55/H27,"n/a")</f>
        <v>0.5595418955241324</v>
      </c>
      <c r="I57" s="5">
        <f>IFERROR(I55/I27,"n/a")</f>
        <v>0.5662783568362968</v>
      </c>
      <c r="J57" s="44">
        <v>0.565</v>
      </c>
      <c r="K57" s="4" t="s">
        <v>204</v>
      </c>
      <c r="L57" s="2"/>
    </row>
    <row r="58">
      <c r="A58" s="2"/>
      <c r="B58" s="41" t="s">
        <v>153</v>
      </c>
      <c r="C58" s="30" t="s">
        <v>62</v>
      </c>
      <c r="D58" s="30" t="s">
        <v>62</v>
      </c>
      <c r="E58" s="30" t="s">
        <v>62</v>
      </c>
      <c r="F58" s="30" t="s">
        <v>62</v>
      </c>
      <c r="G58" s="30" t="s">
        <v>62</v>
      </c>
      <c r="H58" s="30">
        <f>IFERROR((H57-C57)*10000,"n/a")</f>
        <v>-98.0676347969911</v>
      </c>
      <c r="I58" s="30">
        <f>IFERROR((I57-D57)*10000,"n/a")</f>
        <v>-106.85833436284709</v>
      </c>
      <c r="J58" s="51" t="str">
        <f>IFERROR((J57-E57)*10000,"n/a")</f>
        <v>n/a</v>
      </c>
      <c r="K58" s="2"/>
      <c r="L58" s="2"/>
    </row>
    <row r="59">
      <c r="A59" s="2"/>
      <c r="B59" s="2" t="s">
        <v>205</v>
      </c>
      <c r="C59" s="12">
        <v>276.1</v>
      </c>
      <c r="D59" s="12">
        <v>278.5</v>
      </c>
      <c r="E59" s="7" t="s">
        <v>62</v>
      </c>
      <c r="F59" s="7" t="s">
        <v>62</v>
      </c>
      <c r="G59" s="12">
        <v>1155.1</v>
      </c>
      <c r="H59" s="12">
        <v>315.6</v>
      </c>
      <c r="I59" s="12">
        <v>297.7</v>
      </c>
      <c r="J59" s="46">
        <f>J55-J64</f>
        <v>279.509505</v>
      </c>
      <c r="K59" s="4" t="s">
        <v>206</v>
      </c>
      <c r="L59" s="2"/>
    </row>
    <row r="60">
      <c r="A60" s="2"/>
      <c r="B60" s="3" t="s">
        <v>94</v>
      </c>
      <c r="C60" s="5" t="s">
        <v>62</v>
      </c>
      <c r="D60" s="5" t="s">
        <v>62</v>
      </c>
      <c r="E60" s="5" t="s">
        <v>62</v>
      </c>
      <c r="F60" s="5" t="s">
        <v>62</v>
      </c>
      <c r="G60" s="5" t="s">
        <v>62</v>
      </c>
      <c r="H60" s="5">
        <f>IFERROR(IF(OR(C59&lt;=0,ABS(H59/C59-1)&gt;5),"n/m",H59/C59-1),"n/a")</f>
        <v>0.1430641072075336</v>
      </c>
      <c r="I60" s="5">
        <f>IFERROR(IF(OR(D59&lt;=0,ABS(I59/D59-1)&gt;5),"n/m",I59/D59-1),"n/a")</f>
        <v>0.06894075403949729</v>
      </c>
      <c r="J60" s="31" t="str">
        <f>IFERROR(IF(OR(E59&lt;=0,ABS(J59/E59-1)&gt;5),"n/m",J59/E59-1),"n/a")</f>
        <v>n/a</v>
      </c>
      <c r="K60" s="2"/>
      <c r="L60" s="2"/>
    </row>
    <row r="61">
      <c r="A61" s="2"/>
      <c r="B61" s="41" t="s">
        <v>96</v>
      </c>
      <c r="C61" s="7" t="s">
        <v>62</v>
      </c>
      <c r="D61" s="7">
        <f>IFERROR(D59-C59,"n/a")</f>
        <v>2.3999999999999773</v>
      </c>
      <c r="E61" s="7" t="str">
        <f>IFERROR(E59-D59,"n/a")</f>
        <v>n/a</v>
      </c>
      <c r="F61" s="7" t="str">
        <f>IFERROR(F59-E59,"n/a")</f>
        <v>n/a</v>
      </c>
      <c r="G61" s="7" t="s">
        <v>62</v>
      </c>
      <c r="H61" s="7" t="str">
        <f>IFERROR(H59-F59,"n/a")</f>
        <v>n/a</v>
      </c>
      <c r="I61" s="7">
        <f>IFERROR(I59-H59,"n/a")</f>
        <v>-17.900000000000034</v>
      </c>
      <c r="J61" s="46">
        <f>IFERROR(J59-I59,"n/a")</f>
        <v>-18.190495</v>
      </c>
      <c r="K61" s="2"/>
      <c r="L61" s="2"/>
    </row>
    <row r="62">
      <c r="A62" s="2"/>
      <c r="B62" s="21" t="s">
        <v>207</v>
      </c>
      <c r="C62" s="5">
        <f>IFERROR(C59/C27,"n/a")</f>
        <v>0.35261813537675607</v>
      </c>
      <c r="D62" s="5">
        <f>IFERROR(D59/D27,"n/a")</f>
        <v>0.3721272047033672</v>
      </c>
      <c r="E62" s="5" t="s">
        <v>62</v>
      </c>
      <c r="F62" s="5" t="s">
        <v>62</v>
      </c>
      <c r="G62" s="5">
        <f>IFERROR(G59/G27,"n/a")</f>
        <v>0.3503488019411586</v>
      </c>
      <c r="H62" s="5">
        <f>IFERROR(H59/H27,"n/a")</f>
        <v>0.36882084842818746</v>
      </c>
      <c r="I62" s="5">
        <f>IFERROR(I59/I27,"n/a")</f>
        <v>0.3650521152667075</v>
      </c>
      <c r="J62" s="31">
        <f>IFERROR(J59/J27,"n/a")</f>
        <v>0.33</v>
      </c>
      <c r="K62" s="97" t="s">
        <v>208</v>
      </c>
      <c r="L62" s="2"/>
    </row>
    <row r="63">
      <c r="A63" s="2"/>
      <c r="B63" s="41" t="s">
        <v>153</v>
      </c>
      <c r="C63" s="30" t="s">
        <v>62</v>
      </c>
      <c r="D63" s="30" t="s">
        <v>62</v>
      </c>
      <c r="E63" s="30" t="s">
        <v>62</v>
      </c>
      <c r="F63" s="30" t="s">
        <v>62</v>
      </c>
      <c r="G63" s="30" t="s">
        <v>62</v>
      </c>
      <c r="H63" s="30">
        <f>IFERROR((H62-C62)*10000,"n/a")</f>
        <v>162.02713051431394</v>
      </c>
      <c r="I63" s="30">
        <f>IFERROR((I62-D62)*10000,"n/a")</f>
        <v>-70.75089436659687</v>
      </c>
      <c r="J63" s="51" t="str">
        <f>IFERROR((J62-E62)*10000,"n/a")</f>
        <v>n/a</v>
      </c>
      <c r="K63" s="2"/>
      <c r="L63" s="2"/>
    </row>
    <row r="64">
      <c r="A64" s="2"/>
      <c r="B64" s="47" t="s">
        <v>209</v>
      </c>
      <c r="C64" s="35">
        <v>169.7</v>
      </c>
      <c r="D64" s="35">
        <v>153.3</v>
      </c>
      <c r="E64" s="35">
        <v>189.3</v>
      </c>
      <c r="F64" s="14">
        <f>G64-C64-D64-E64</f>
        <v>210.60000000000002</v>
      </c>
      <c r="G64" s="35">
        <v>722.9</v>
      </c>
      <c r="H64" s="35">
        <v>163.2</v>
      </c>
      <c r="I64" s="35">
        <v>164.1</v>
      </c>
      <c r="J64" s="36">
        <f>J27*J68</f>
        <v>199.04464749999997</v>
      </c>
      <c r="K64" s="4" t="s">
        <v>210</v>
      </c>
      <c r="L64" s="2"/>
    </row>
    <row r="65">
      <c r="A65" s="2"/>
      <c r="B65" s="41" t="s">
        <v>108</v>
      </c>
      <c r="C65" s="12">
        <v>132</v>
      </c>
      <c r="D65" s="12">
        <v>126</v>
      </c>
      <c r="E65" s="12">
        <v>173.9</v>
      </c>
      <c r="F65" s="12">
        <v>264.2</v>
      </c>
      <c r="G65" s="12">
        <v>697</v>
      </c>
      <c r="H65" s="7">
        <f>C64</f>
        <v>169.7</v>
      </c>
      <c r="I65" s="7">
        <f>D64</f>
        <v>153.3</v>
      </c>
      <c r="J65" s="46">
        <f>E64</f>
        <v>189.3</v>
      </c>
      <c r="K65" s="4" t="s">
        <v>211</v>
      </c>
      <c r="L65" s="2"/>
    </row>
    <row r="66">
      <c r="A66" s="2"/>
      <c r="B66" s="3" t="s">
        <v>94</v>
      </c>
      <c r="C66" s="5">
        <f>IFERROR(IF(OR(C65&lt;=0,ABS(C64/C65-1)&gt;5),"n/m",C64/C65-1),"n/a")</f>
        <v>0.2856060606060604</v>
      </c>
      <c r="D66" s="5">
        <f>IFERROR(IF(OR(D65&lt;=0,ABS(D64/D65-1)&gt;5),"n/m",D64/D65-1),"n/a")</f>
        <v>0.21666666666666679</v>
      </c>
      <c r="E66" s="5">
        <f>IFERROR(IF(OR(E65&lt;=0,ABS(E64/E65-1)&gt;5),"n/m",E64/E65-1),"n/a")</f>
        <v>0.08855664174813116</v>
      </c>
      <c r="F66" s="5">
        <f>IFERROR(IF(OR(F65&lt;=0,ABS(F64/F65-1)&gt;5),"n/m",F64/F65-1),"n/a")</f>
        <v>-0.20287660862982582</v>
      </c>
      <c r="G66" s="5">
        <f>IFERROR(IF(OR(G65&lt;=0,ABS(G64/G65-1)&gt;5),"n/m",G64/G65-1),"n/a")</f>
        <v>0.037159253945480586</v>
      </c>
      <c r="H66" s="5">
        <f>IFERROR(IF(OR(H65&lt;=0,ABS(H64/H65-1)&gt;5),"n/m",H64/H65-1),"n/a")</f>
        <v>-0.03830288744843846</v>
      </c>
      <c r="I66" s="5">
        <f>IFERROR(IF(OR(I65&lt;=0,ABS(I64/I65-1)&gt;5),"n/m",I64/I65-1),"n/a")</f>
        <v>0.0704500978473579</v>
      </c>
      <c r="J66" s="31">
        <f>IFERROR(IF(OR(J65&lt;=0,ABS(J64/J65-1)&gt;5),"n/m",J64/J65-1),"n/a")</f>
        <v>0.051477271526676915</v>
      </c>
      <c r="K66" s="2"/>
      <c r="L66" s="2"/>
    </row>
    <row r="67">
      <c r="A67" s="2"/>
      <c r="B67" s="41" t="s">
        <v>96</v>
      </c>
      <c r="C67" s="7" t="s">
        <v>62</v>
      </c>
      <c r="D67" s="7">
        <f>IFERROR(D64-C64,"n/a")</f>
        <v>-16.399999999999977</v>
      </c>
      <c r="E67" s="7">
        <f>IFERROR(E64-D64,"n/a")</f>
        <v>36</v>
      </c>
      <c r="F67" s="7">
        <f>IFERROR(F64-E64,"n/a")</f>
        <v>21.30000000000001</v>
      </c>
      <c r="G67" s="7" t="s">
        <v>62</v>
      </c>
      <c r="H67" s="7">
        <f>IFERROR(H64-F64,"n/a")</f>
        <v>-47.400000000000034</v>
      </c>
      <c r="I67" s="7">
        <f>IFERROR(I64-H64,"n/a")</f>
        <v>0.9000000000000057</v>
      </c>
      <c r="J67" s="46">
        <f>IFERROR(J64-I64,"n/a")</f>
        <v>34.944647499999974</v>
      </c>
      <c r="K67" s="2"/>
      <c r="L67" s="2"/>
    </row>
    <row r="68">
      <c r="A68" s="2"/>
      <c r="B68" s="21" t="s">
        <v>212</v>
      </c>
      <c r="C68" s="5">
        <f>IFERROR(C64/C27,"n/a")</f>
        <v>0.21673052362707534</v>
      </c>
      <c r="D68" s="5">
        <f>IFERROR(D64/D27,"n/a")</f>
        <v>0.20483698556921434</v>
      </c>
      <c r="E68" s="5">
        <f>IFERROR(E64/E27,"n/a")</f>
        <v>0.23474702380952384</v>
      </c>
      <c r="F68" s="5">
        <f>IFERROR(F64/F27,"n/a")</f>
        <v>0.219557964970809</v>
      </c>
      <c r="G68" s="5">
        <f>IFERROR(G64/G27,"n/a")</f>
        <v>0.21925993327267213</v>
      </c>
      <c r="H68" s="5">
        <f>IFERROR(H64/H27,"n/a")</f>
        <v>0.1907210470959448</v>
      </c>
      <c r="I68" s="5">
        <f>IFERROR(I64/I27,"n/a")</f>
        <v>0.2012262415695892</v>
      </c>
      <c r="J68" s="44">
        <v>0.235</v>
      </c>
      <c r="K68" s="4" t="s">
        <v>213</v>
      </c>
      <c r="L68" s="2"/>
    </row>
    <row r="69">
      <c r="A69" s="2"/>
      <c r="B69" s="41" t="s">
        <v>153</v>
      </c>
      <c r="C69" s="30" t="s">
        <v>62</v>
      </c>
      <c r="D69" s="30" t="s">
        <v>62</v>
      </c>
      <c r="E69" s="30" t="s">
        <v>62</v>
      </c>
      <c r="F69" s="30" t="s">
        <v>62</v>
      </c>
      <c r="G69" s="30" t="s">
        <v>62</v>
      </c>
      <c r="H69" s="30">
        <f>IFERROR((H68-C68)*10000,"n/a")</f>
        <v>-260.0947653113053</v>
      </c>
      <c r="I69" s="30">
        <f>IFERROR((I68-D68)*10000,"n/a")</f>
        <v>-36.10743999625132</v>
      </c>
      <c r="J69" s="51">
        <f>IFERROR((J68-E68)*10000,"n/a")</f>
        <v>2.529761904761507</v>
      </c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43" t="s">
        <v>214</v>
      </c>
      <c r="C71" s="2"/>
      <c r="D71" s="2"/>
      <c r="E71" s="2"/>
      <c r="F71" s="2"/>
      <c r="G71" s="2"/>
      <c r="H71" s="2"/>
      <c r="I71" s="2"/>
      <c r="J71" s="23"/>
      <c r="K71" s="2"/>
      <c r="L71" s="2"/>
    </row>
    <row r="72">
      <c r="A72" s="2"/>
      <c r="B72" s="2" t="s">
        <v>157</v>
      </c>
      <c r="C72" s="30" t="s">
        <v>62</v>
      </c>
      <c r="D72" s="30" t="s">
        <v>62</v>
      </c>
      <c r="E72" s="30" t="s">
        <v>62</v>
      </c>
      <c r="F72" s="30" t="s">
        <v>62</v>
      </c>
      <c r="G72" s="30" t="s">
        <v>62</v>
      </c>
      <c r="H72" s="30" t="s">
        <v>62</v>
      </c>
      <c r="I72" s="30" t="s">
        <v>62</v>
      </c>
      <c r="J72" s="51" t="s">
        <v>62</v>
      </c>
      <c r="K72" s="4" t="s">
        <v>215</v>
      </c>
      <c r="L72" s="2"/>
    </row>
    <row r="73">
      <c r="A73" s="2"/>
      <c r="B73" s="34" t="s">
        <v>159</v>
      </c>
      <c r="C73" s="30" t="s">
        <v>62</v>
      </c>
      <c r="D73" s="30" t="s">
        <v>62</v>
      </c>
      <c r="E73" s="30" t="s">
        <v>62</v>
      </c>
      <c r="F73" s="30" t="s">
        <v>62</v>
      </c>
      <c r="G73" s="30" t="s">
        <v>62</v>
      </c>
      <c r="H73" s="30" t="s">
        <v>62</v>
      </c>
      <c r="I73" s="30" t="s">
        <v>62</v>
      </c>
      <c r="J73" s="51" t="s">
        <v>62</v>
      </c>
      <c r="K73" s="4" t="s">
        <v>216</v>
      </c>
      <c r="L73" s="2"/>
    </row>
    <row r="74">
      <c r="A74" s="2"/>
      <c r="B74" s="34" t="s">
        <v>161</v>
      </c>
      <c r="C74" s="30" t="s">
        <v>62</v>
      </c>
      <c r="D74" s="30" t="s">
        <v>62</v>
      </c>
      <c r="E74" s="30" t="s">
        <v>62</v>
      </c>
      <c r="F74" s="30" t="s">
        <v>62</v>
      </c>
      <c r="G74" s="30" t="s">
        <v>62</v>
      </c>
      <c r="H74" s="30" t="s">
        <v>62</v>
      </c>
      <c r="I74" s="30" t="s">
        <v>62</v>
      </c>
      <c r="J74" s="51" t="s">
        <v>62</v>
      </c>
      <c r="K74" s="4" t="s">
        <v>216</v>
      </c>
      <c r="L74" s="2"/>
    </row>
    <row r="75">
      <c r="A75" s="2"/>
      <c r="B75" s="34" t="s">
        <v>163</v>
      </c>
      <c r="C75" s="30" t="s">
        <v>62</v>
      </c>
      <c r="D75" s="30" t="s">
        <v>62</v>
      </c>
      <c r="E75" s="30" t="s">
        <v>62</v>
      </c>
      <c r="F75" s="30" t="s">
        <v>62</v>
      </c>
      <c r="G75" s="30" t="s">
        <v>62</v>
      </c>
      <c r="H75" s="30" t="s">
        <v>62</v>
      </c>
      <c r="I75" s="30" t="s">
        <v>62</v>
      </c>
      <c r="J75" s="51" t="s">
        <v>62</v>
      </c>
      <c r="K75" s="4" t="s">
        <v>216</v>
      </c>
      <c r="L75" s="2"/>
    </row>
    <row r="76">
      <c r="A76" s="2"/>
      <c r="B76" s="47" t="s">
        <v>165</v>
      </c>
      <c r="C76" s="39" t="s">
        <v>62</v>
      </c>
      <c r="D76" s="39" t="s">
        <v>62</v>
      </c>
      <c r="E76" s="39" t="s">
        <v>62</v>
      </c>
      <c r="F76" s="39" t="s">
        <v>62</v>
      </c>
      <c r="G76" s="69">
        <v>473</v>
      </c>
      <c r="H76" s="39" t="s">
        <v>62</v>
      </c>
      <c r="I76" s="39" t="s">
        <v>62</v>
      </c>
      <c r="J76" s="70" t="s">
        <v>62</v>
      </c>
      <c r="K76" s="4" t="s">
        <v>217</v>
      </c>
      <c r="L76" s="2"/>
    </row>
    <row r="77">
      <c r="A77" s="2"/>
      <c r="B77" s="34" t="s">
        <v>169</v>
      </c>
      <c r="C77" s="30" t="s">
        <v>62</v>
      </c>
      <c r="D77" s="30" t="s">
        <v>62</v>
      </c>
      <c r="E77" s="30" t="s">
        <v>62</v>
      </c>
      <c r="F77" s="30" t="s">
        <v>62</v>
      </c>
      <c r="G77" s="30" t="s">
        <v>62</v>
      </c>
      <c r="H77" s="30" t="s">
        <v>62</v>
      </c>
      <c r="I77" s="30" t="s">
        <v>62</v>
      </c>
      <c r="J77" s="51" t="s">
        <v>62</v>
      </c>
      <c r="K77" s="4" t="s">
        <v>218</v>
      </c>
      <c r="L77" s="2"/>
    </row>
    <row r="78">
      <c r="A78" s="2"/>
      <c r="B78" s="34" t="s">
        <v>219</v>
      </c>
      <c r="C78" s="30" t="s">
        <v>62</v>
      </c>
      <c r="D78" s="30" t="s">
        <v>62</v>
      </c>
      <c r="E78" s="30" t="s">
        <v>62</v>
      </c>
      <c r="F78" s="30" t="s">
        <v>62</v>
      </c>
      <c r="G78" s="30" t="s">
        <v>62</v>
      </c>
      <c r="H78" s="30" t="s">
        <v>62</v>
      </c>
      <c r="I78" s="58">
        <v>37</v>
      </c>
      <c r="J78" s="51" t="s">
        <v>62</v>
      </c>
      <c r="K78" s="4" t="s">
        <v>220</v>
      </c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L80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221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178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179</v>
      </c>
      <c r="C11" s="12">
        <v>170.2</v>
      </c>
      <c r="D11" s="12">
        <v>178.4</v>
      </c>
      <c r="E11" s="12">
        <v>213.3</v>
      </c>
      <c r="F11" s="7">
        <f>G11-C11-D11-E11</f>
        <v>194.7000000000001</v>
      </c>
      <c r="G11" s="12">
        <v>756.6</v>
      </c>
      <c r="H11" s="12">
        <v>222.3</v>
      </c>
      <c r="I11" s="12">
        <v>168.5</v>
      </c>
      <c r="J11" s="46">
        <f>E11*(1+J15)*(1+J40)</f>
        <v>223.83702000000002</v>
      </c>
      <c r="K11" s="4" t="s">
        <v>180</v>
      </c>
      <c r="L11" s="2"/>
    </row>
    <row r="12">
      <c r="A12" s="2"/>
      <c r="B12" s="41" t="s">
        <v>108</v>
      </c>
      <c r="C12" s="12">
        <v>207</v>
      </c>
      <c r="D12" s="12">
        <v>152.6</v>
      </c>
      <c r="E12" s="12">
        <v>215.2</v>
      </c>
      <c r="F12" s="12">
        <v>181.6</v>
      </c>
      <c r="G12" s="12">
        <v>756.4</v>
      </c>
      <c r="H12" s="7">
        <f>C11</f>
        <v>170.2</v>
      </c>
      <c r="I12" s="7">
        <f>D11</f>
        <v>178.4</v>
      </c>
      <c r="J12" s="46">
        <f>E11</f>
        <v>213.3</v>
      </c>
      <c r="K12" s="4" t="s">
        <v>181</v>
      </c>
      <c r="L12" s="2"/>
    </row>
    <row r="13">
      <c r="A13" s="2"/>
      <c r="B13" s="3" t="s">
        <v>116</v>
      </c>
      <c r="C13" s="5">
        <f>IFERROR(IF(OR(C12&lt;=0,ABS(C11/C12-1)&gt;5),"n/m",C11/C12-1),"n/a")</f>
        <v>-0.1777777777777778</v>
      </c>
      <c r="D13" s="5">
        <f>IFERROR(IF(OR(D12&lt;=0,ABS(D11/D12-1)&gt;5),"n/m",D11/D12-1),"n/a")</f>
        <v>0.1690694626474445</v>
      </c>
      <c r="E13" s="5">
        <f>IFERROR(IF(OR(E12&lt;=0,ABS(E11/E12-1)&gt;5),"n/m",E11/E12-1),"n/a")</f>
        <v>-0.008828996282527757</v>
      </c>
      <c r="F13" s="5">
        <f>IFERROR(IF(OR(F12&lt;=0,ABS(F11/F12-1)&gt;5),"n/m",F11/F12-1),"n/a")</f>
        <v>0.07213656387665268</v>
      </c>
      <c r="G13" s="5">
        <f>IFERROR(IF(OR(G12&lt;=0,ABS(G11/G12-1)&gt;5),"n/m",G11/G12-1),"n/a")</f>
        <v>0.00026441036488633607</v>
      </c>
      <c r="H13" s="5">
        <f>IFERROR(IF(OR(H12&lt;=0,ABS(H11/H12-1)&gt;5),"n/m",H11/H12-1),"n/a")</f>
        <v>0.30611045828437145</v>
      </c>
      <c r="I13" s="5">
        <f>IFERROR(IF(OR(I12&lt;=0,ABS(I11/I12-1)&gt;5),"n/m",I11/I12-1),"n/a")</f>
        <v>-0.05549327354260092</v>
      </c>
      <c r="J13" s="31">
        <f>IFERROR(IF(OR(J12&lt;=0,ABS(J11/J12-1)&gt;5),"n/m",J11/J12-1),"n/a")</f>
        <v>0.04940000000000011</v>
      </c>
      <c r="K13" s="2"/>
      <c r="L13" s="2"/>
    </row>
    <row r="14">
      <c r="A14" s="2"/>
      <c r="B14" s="41" t="s">
        <v>96</v>
      </c>
      <c r="C14" s="7" t="s">
        <v>62</v>
      </c>
      <c r="D14" s="7">
        <f>IFERROR(D11-C11,"n/a")</f>
        <v>8.200000000000017</v>
      </c>
      <c r="E14" s="7">
        <f>IFERROR(E11-D11,"n/a")</f>
        <v>34.900000000000006</v>
      </c>
      <c r="F14" s="7">
        <f>IFERROR(F11-E11,"n/a")</f>
        <v>-18.59999999999991</v>
      </c>
      <c r="G14" s="7" t="s">
        <v>62</v>
      </c>
      <c r="H14" s="7">
        <f>IFERROR(H11-F11,"n/a")</f>
        <v>27.59999999999991</v>
      </c>
      <c r="I14" s="7">
        <f>IFERROR(I11-H11,"n/a")</f>
        <v>-53.80000000000001</v>
      </c>
      <c r="J14" s="46">
        <f>IFERROR(J11-I11,"n/a")</f>
        <v>55.337020000000024</v>
      </c>
      <c r="K14" s="2"/>
      <c r="L14" s="2"/>
    </row>
    <row r="15">
      <c r="A15" s="2"/>
      <c r="B15" s="3" t="s">
        <v>182</v>
      </c>
      <c r="C15" s="5" t="s">
        <v>62</v>
      </c>
      <c r="D15" s="5" t="s">
        <v>62</v>
      </c>
      <c r="E15" s="5" t="s">
        <v>62</v>
      </c>
      <c r="F15" s="5" t="s">
        <v>62</v>
      </c>
      <c r="G15" s="5" t="s">
        <v>62</v>
      </c>
      <c r="H15" s="5" t="s">
        <v>62</v>
      </c>
      <c r="I15" s="5" t="s">
        <v>62</v>
      </c>
      <c r="J15" s="44">
        <v>0.06</v>
      </c>
      <c r="K15" s="4" t="s">
        <v>183</v>
      </c>
      <c r="L15" s="2"/>
    </row>
    <row r="16">
      <c r="A16" s="2"/>
      <c r="B16" s="3" t="s">
        <v>98</v>
      </c>
      <c r="C16" s="5" t="s">
        <v>62</v>
      </c>
      <c r="D16" s="5" t="s">
        <v>62</v>
      </c>
      <c r="E16" s="5" t="s">
        <v>62</v>
      </c>
      <c r="F16" s="5" t="s">
        <v>62</v>
      </c>
      <c r="G16" s="5" t="s">
        <v>62</v>
      </c>
      <c r="H16" s="5" t="s">
        <v>62</v>
      </c>
      <c r="I16" s="5" t="s">
        <v>62</v>
      </c>
      <c r="J16" s="31">
        <f>J40</f>
        <v>-0.01</v>
      </c>
      <c r="K16" s="4" t="s">
        <v>184</v>
      </c>
      <c r="L16" s="2"/>
    </row>
    <row r="17">
      <c r="A17" s="2"/>
      <c r="B17" s="3" t="s">
        <v>99</v>
      </c>
      <c r="C17" s="5" t="s">
        <v>62</v>
      </c>
      <c r="D17" s="5" t="s">
        <v>62</v>
      </c>
      <c r="E17" s="5" t="s">
        <v>62</v>
      </c>
      <c r="F17" s="5" t="s">
        <v>62</v>
      </c>
      <c r="G17" s="5" t="s">
        <v>62</v>
      </c>
      <c r="H17" s="5" t="s">
        <v>62</v>
      </c>
      <c r="I17" s="5" t="s">
        <v>62</v>
      </c>
      <c r="J17" s="44">
        <v>0</v>
      </c>
      <c r="K17" s="4" t="s">
        <v>185</v>
      </c>
      <c r="L17" s="2"/>
    </row>
    <row r="18">
      <c r="A18" s="2"/>
      <c r="B18" s="3" t="s">
        <v>100</v>
      </c>
      <c r="C18" s="5" t="s">
        <v>62</v>
      </c>
      <c r="D18" s="5" t="s">
        <v>62</v>
      </c>
      <c r="E18" s="5" t="s">
        <v>62</v>
      </c>
      <c r="F18" s="5" t="s">
        <v>62</v>
      </c>
      <c r="G18" s="5" t="s">
        <v>62</v>
      </c>
      <c r="H18" s="5" t="s">
        <v>62</v>
      </c>
      <c r="I18" s="5" t="s">
        <v>62</v>
      </c>
      <c r="J18" s="31">
        <f>J15</f>
        <v>0.06</v>
      </c>
      <c r="K18" s="4" t="s">
        <v>186</v>
      </c>
      <c r="L18" s="2"/>
    </row>
    <row r="19">
      <c r="A19" s="2"/>
      <c r="B19" s="2" t="s">
        <v>187</v>
      </c>
      <c r="C19" s="12">
        <v>230.3</v>
      </c>
      <c r="D19" s="12">
        <v>224.7</v>
      </c>
      <c r="E19" s="12">
        <v>213</v>
      </c>
      <c r="F19" s="7">
        <f>G19-C19-D19-E19</f>
        <v>274.7000000000001</v>
      </c>
      <c r="G19" s="12">
        <v>942.7</v>
      </c>
      <c r="H19" s="12">
        <v>273.7</v>
      </c>
      <c r="I19" s="12">
        <v>251.7</v>
      </c>
      <c r="J19" s="46">
        <f>E19*(1+J23)*(1+J40)</f>
        <v>224.57655</v>
      </c>
      <c r="K19" s="4" t="s">
        <v>180</v>
      </c>
      <c r="L19" s="2"/>
    </row>
    <row r="20">
      <c r="A20" s="2"/>
      <c r="B20" s="41" t="s">
        <v>108</v>
      </c>
      <c r="C20" s="12">
        <v>216.5</v>
      </c>
      <c r="D20" s="12">
        <v>201.1</v>
      </c>
      <c r="E20" s="12">
        <v>191.4</v>
      </c>
      <c r="F20" s="12">
        <v>252.5</v>
      </c>
      <c r="G20" s="12">
        <v>861.5</v>
      </c>
      <c r="H20" s="7">
        <f>C19</f>
        <v>230.3</v>
      </c>
      <c r="I20" s="7">
        <f>D19</f>
        <v>224.7</v>
      </c>
      <c r="J20" s="46">
        <f>E19</f>
        <v>213</v>
      </c>
      <c r="K20" s="4" t="s">
        <v>181</v>
      </c>
      <c r="L20" s="2"/>
    </row>
    <row r="21">
      <c r="A21" s="2"/>
      <c r="B21" s="3" t="s">
        <v>116</v>
      </c>
      <c r="C21" s="5">
        <f>IFERROR(IF(OR(C20&lt;=0,ABS(C19/C20-1)&gt;5),"n/m",C19/C20-1),"n/a")</f>
        <v>0.06374133949191685</v>
      </c>
      <c r="D21" s="5">
        <f>IFERROR(IF(OR(D20&lt;=0,ABS(D19/D20-1)&gt;5),"n/m",D19/D20-1),"n/a")</f>
        <v>0.11735454997513672</v>
      </c>
      <c r="E21" s="5">
        <f>IFERROR(IF(OR(E20&lt;=0,ABS(E19/E20-1)&gt;5),"n/m",E19/E20-1),"n/a")</f>
        <v>0.11285266457680243</v>
      </c>
      <c r="F21" s="5">
        <f>IFERROR(IF(OR(F20&lt;=0,ABS(F19/F20-1)&gt;5),"n/m",F19/F20-1),"n/a")</f>
        <v>0.08792079207920822</v>
      </c>
      <c r="G21" s="5">
        <f>IFERROR(IF(OR(G20&lt;=0,ABS(G19/G20-1)&gt;5),"n/m",G19/G20-1),"n/a")</f>
        <v>0.09425420777713289</v>
      </c>
      <c r="H21" s="5">
        <f>IFERROR(IF(OR(H20&lt;=0,ABS(H19/H20-1)&gt;5),"n/m",H19/H20-1),"n/a")</f>
        <v>0.18844984802431597</v>
      </c>
      <c r="I21" s="5">
        <f>IFERROR(IF(OR(I20&lt;=0,ABS(I19/I20-1)&gt;5),"n/m",I19/I20-1),"n/a")</f>
        <v>0.12016021361815765</v>
      </c>
      <c r="J21" s="31">
        <f>IFERROR(IF(OR(J20&lt;=0,ABS(J19/J20-1)&gt;5),"n/m",J19/J20-1),"n/a")</f>
        <v>0.0543499999999999</v>
      </c>
      <c r="K21" s="2"/>
      <c r="L21" s="2"/>
    </row>
    <row r="22">
      <c r="A22" s="2"/>
      <c r="B22" s="41" t="s">
        <v>96</v>
      </c>
      <c r="C22" s="7" t="s">
        <v>62</v>
      </c>
      <c r="D22" s="7">
        <f>IFERROR(D19-C19,"n/a")</f>
        <v>-5.600000000000023</v>
      </c>
      <c r="E22" s="7">
        <f>IFERROR(E19-D19,"n/a")</f>
        <v>-11.699999999999989</v>
      </c>
      <c r="F22" s="7">
        <f>IFERROR(F19-E19,"n/a")</f>
        <v>61.7000000000001</v>
      </c>
      <c r="G22" s="7" t="s">
        <v>62</v>
      </c>
      <c r="H22" s="7">
        <f>IFERROR(H19-F19,"n/a")</f>
        <v>-1.0000000000001137</v>
      </c>
      <c r="I22" s="7">
        <f>IFERROR(I19-H19,"n/a")</f>
        <v>-22</v>
      </c>
      <c r="J22" s="46">
        <f>IFERROR(J19-I19,"n/a")</f>
        <v>-27.12344999999999</v>
      </c>
      <c r="K22" s="2"/>
      <c r="L22" s="2"/>
    </row>
    <row r="23">
      <c r="A23" s="2"/>
      <c r="B23" s="3" t="s">
        <v>182</v>
      </c>
      <c r="C23" s="5" t="s">
        <v>62</v>
      </c>
      <c r="D23" s="5" t="s">
        <v>62</v>
      </c>
      <c r="E23" s="5" t="s">
        <v>62</v>
      </c>
      <c r="F23" s="5" t="s">
        <v>62</v>
      </c>
      <c r="G23" s="5" t="s">
        <v>62</v>
      </c>
      <c r="H23" s="5" t="s">
        <v>62</v>
      </c>
      <c r="I23" s="5" t="s">
        <v>62</v>
      </c>
      <c r="J23" s="44">
        <v>0.065</v>
      </c>
      <c r="K23" s="4" t="s">
        <v>183</v>
      </c>
      <c r="L23" s="2"/>
    </row>
    <row r="24">
      <c r="A24" s="2"/>
      <c r="B24" s="3" t="s">
        <v>98</v>
      </c>
      <c r="C24" s="5" t="s">
        <v>62</v>
      </c>
      <c r="D24" s="5" t="s">
        <v>62</v>
      </c>
      <c r="E24" s="5" t="s">
        <v>62</v>
      </c>
      <c r="F24" s="5" t="s">
        <v>62</v>
      </c>
      <c r="G24" s="5" t="s">
        <v>62</v>
      </c>
      <c r="H24" s="5" t="s">
        <v>62</v>
      </c>
      <c r="I24" s="5" t="s">
        <v>62</v>
      </c>
      <c r="J24" s="31">
        <f>J40</f>
        <v>-0.01</v>
      </c>
      <c r="K24" s="4" t="s">
        <v>184</v>
      </c>
      <c r="L24" s="2"/>
    </row>
    <row r="25">
      <c r="A25" s="2"/>
      <c r="B25" s="3" t="s">
        <v>99</v>
      </c>
      <c r="C25" s="5" t="s">
        <v>62</v>
      </c>
      <c r="D25" s="5" t="s">
        <v>62</v>
      </c>
      <c r="E25" s="5" t="s">
        <v>62</v>
      </c>
      <c r="F25" s="5" t="s">
        <v>62</v>
      </c>
      <c r="G25" s="5" t="s">
        <v>62</v>
      </c>
      <c r="H25" s="5" t="s">
        <v>62</v>
      </c>
      <c r="I25" s="5" t="s">
        <v>62</v>
      </c>
      <c r="J25" s="44">
        <v>0</v>
      </c>
      <c r="K25" s="4" t="s">
        <v>185</v>
      </c>
      <c r="L25" s="2"/>
    </row>
    <row r="26">
      <c r="A26" s="2"/>
      <c r="B26" s="3" t="s">
        <v>100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 t="s">
        <v>62</v>
      </c>
      <c r="I26" s="5" t="s">
        <v>62</v>
      </c>
      <c r="J26" s="31">
        <f>J23</f>
        <v>0.065</v>
      </c>
      <c r="K26" s="4" t="s">
        <v>186</v>
      </c>
      <c r="L26" s="2"/>
    </row>
    <row r="27">
      <c r="A27" s="2"/>
      <c r="B27" s="47" t="s">
        <v>222</v>
      </c>
      <c r="C27" s="14">
        <f>C11+C19</f>
        <v>400.5</v>
      </c>
      <c r="D27" s="14">
        <f>D11+D19</f>
        <v>403.1</v>
      </c>
      <c r="E27" s="14">
        <f>E11+E19</f>
        <v>426.3</v>
      </c>
      <c r="F27" s="14">
        <f>F11+F19</f>
        <v>469.4000000000002</v>
      </c>
      <c r="G27" s="14">
        <f>G11+G19</f>
        <v>1699.3000000000002</v>
      </c>
      <c r="H27" s="14">
        <f>H11+H19</f>
        <v>496</v>
      </c>
      <c r="I27" s="14">
        <f>I11+I19</f>
        <v>420.2</v>
      </c>
      <c r="J27" s="36">
        <f>J11+J19</f>
        <v>448.41357000000005</v>
      </c>
      <c r="K27" s="4" t="s">
        <v>189</v>
      </c>
      <c r="L27" s="2"/>
    </row>
    <row r="28">
      <c r="A28" s="2"/>
      <c r="B28" s="41" t="s">
        <v>108</v>
      </c>
      <c r="C28" s="7">
        <f>C12+C20</f>
        <v>423.5</v>
      </c>
      <c r="D28" s="7">
        <f>D12+D20</f>
        <v>353.7</v>
      </c>
      <c r="E28" s="7">
        <f>E12+E20</f>
        <v>406.6</v>
      </c>
      <c r="F28" s="7">
        <f>F12+F20</f>
        <v>434.1</v>
      </c>
      <c r="G28" s="7">
        <f>G12+G20</f>
        <v>1617.9</v>
      </c>
      <c r="H28" s="7">
        <f>C27</f>
        <v>400.5</v>
      </c>
      <c r="I28" s="7">
        <f>D27</f>
        <v>403.1</v>
      </c>
      <c r="J28" s="46">
        <f>E27</f>
        <v>426.3</v>
      </c>
      <c r="K28" s="4" t="s">
        <v>190</v>
      </c>
      <c r="L28" s="2"/>
    </row>
    <row r="29">
      <c r="A29" s="2"/>
      <c r="B29" s="3" t="s">
        <v>95</v>
      </c>
      <c r="C29" s="5" t="s">
        <v>62</v>
      </c>
      <c r="D29" s="5">
        <f>IFERROR(IF(C27&lt;=0,"n/m",D27/C27-1),"n/a")</f>
        <v>0.006491885143570686</v>
      </c>
      <c r="E29" s="5">
        <f>IFERROR(IF(D27&lt;=0,"n/m",E27/D27-1),"n/a")</f>
        <v>0.05755395683453224</v>
      </c>
      <c r="F29" s="5">
        <f>IFERROR(IF(E27&lt;=0,"n/m",F27/E27-1),"n/a")</f>
        <v>0.10110250996950554</v>
      </c>
      <c r="G29" s="5" t="s">
        <v>62</v>
      </c>
      <c r="H29" s="5">
        <f>IFERROR(IF(F27&lt;=0,"n/m",H27/F27-1),"n/a")</f>
        <v>0.05666808691947112</v>
      </c>
      <c r="I29" s="5">
        <f>IFERROR(IF(H27&lt;=0,"n/m",I27/H27-1),"n/a")</f>
        <v>-0.1528225806451613</v>
      </c>
      <c r="J29" s="31">
        <f>IFERROR(IF(I27&lt;=0,"n/m",J27/I27-1),"n/a")</f>
        <v>0.06714319371727773</v>
      </c>
      <c r="K29" s="2"/>
      <c r="L29" s="2"/>
    </row>
    <row r="30">
      <c r="A30" s="2"/>
      <c r="B30" s="41" t="s">
        <v>96</v>
      </c>
      <c r="C30" s="7" t="s">
        <v>62</v>
      </c>
      <c r="D30" s="7">
        <f>IFERROR(D27-C27,"n/a")</f>
        <v>2.6000000000000227</v>
      </c>
      <c r="E30" s="7">
        <f>IFERROR(E27-D27,"n/a")</f>
        <v>23.19999999999999</v>
      </c>
      <c r="F30" s="7">
        <f>IFERROR(F27-E27,"n/a")</f>
        <v>43.10000000000019</v>
      </c>
      <c r="G30" s="7" t="s">
        <v>62</v>
      </c>
      <c r="H30" s="7">
        <f>IFERROR(H27-F27,"n/a")</f>
        <v>26.599999999999795</v>
      </c>
      <c r="I30" s="7">
        <f>IFERROR(I27-H27,"n/a")</f>
        <v>-75.80000000000001</v>
      </c>
      <c r="J30" s="46">
        <f>IFERROR(J27-I27,"n/a")</f>
        <v>28.21357000000006</v>
      </c>
      <c r="K30" s="2"/>
      <c r="L30" s="2"/>
    </row>
    <row r="31">
      <c r="A31" s="2"/>
      <c r="B31" s="3" t="s">
        <v>191</v>
      </c>
      <c r="C31" s="10">
        <f>IFERROR(C27/'Income Statement'!C11,"n/a")</f>
        <v>0.2623133350799057</v>
      </c>
      <c r="D31" s="10">
        <f>IFERROR(D27/'Income Statement'!D11,"n/a")</f>
        <v>0.27876901798063625</v>
      </c>
      <c r="E31" s="10">
        <f>IFERROR(E27/'Income Statement'!E11,"n/a")</f>
        <v>0.2762083711286769</v>
      </c>
      <c r="F31" s="10">
        <f>IFERROR(F27/'Income Statement'!F11,"n/a")</f>
        <v>0.2658285196511497</v>
      </c>
      <c r="G31" s="10">
        <f>IFERROR(G27/'Income Statement'!G11,"n/a")</f>
        <v>0.2705030245144858</v>
      </c>
      <c r="H31" s="10">
        <f>IFERROR(H27/'Income Statement'!H11,"n/a")</f>
        <v>0.284648493543759</v>
      </c>
      <c r="I31" s="10">
        <f>IFERROR(I27/'Income Statement'!I11,"n/a")</f>
        <v>0.26901408450704223</v>
      </c>
      <c r="J31" s="52">
        <f>IFERROR(J27/'Income Statement'!J11,"n/a")</f>
        <v>0.27437887297173136</v>
      </c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43" t="s">
        <v>192</v>
      </c>
      <c r="C33" s="2"/>
      <c r="D33" s="2"/>
      <c r="E33" s="2"/>
      <c r="F33" s="2"/>
      <c r="G33" s="2"/>
      <c r="H33" s="2"/>
      <c r="I33" s="2"/>
      <c r="J33" s="23"/>
      <c r="K33" s="2"/>
      <c r="L33" s="2"/>
    </row>
    <row r="34">
      <c r="A34" s="2"/>
      <c r="B34" s="3" t="s">
        <v>116</v>
      </c>
      <c r="C34" s="5">
        <f>IFERROR(IF(OR(C28&lt;=0,ABS(C27/C28-1)&gt;5),"n/m",C27/C28-1),"n/a")</f>
        <v>-0.05430932703659974</v>
      </c>
      <c r="D34" s="5">
        <f>IFERROR(IF(OR(D28&lt;=0,ABS(D27/D28-1)&gt;5),"n/m",D27/D28-1),"n/a")</f>
        <v>0.13966638394119313</v>
      </c>
      <c r="E34" s="5">
        <f>IFERROR(IF(OR(E28&lt;=0,ABS(E27/E28-1)&gt;5),"n/m",E27/E28-1),"n/a")</f>
        <v>0.04845056566650263</v>
      </c>
      <c r="F34" s="5">
        <f>IFERROR(IF(OR(F28&lt;=0,ABS(F27/F28-1)&gt;5),"n/m",F27/F28-1),"n/a")</f>
        <v>0.08131766873992219</v>
      </c>
      <c r="G34" s="5">
        <f>IFERROR(IF(OR(G28&lt;=0,ABS(G27/G28-1)&gt;5),"n/m",G27/G28-1),"n/a")</f>
        <v>0.05031213301192916</v>
      </c>
      <c r="H34" s="5">
        <f>IFERROR(IF(OR(H28&lt;=0,ABS(H27/H28-1)&gt;5),"n/m",H27/H28-1),"n/a")</f>
        <v>0.23845193508114848</v>
      </c>
      <c r="I34" s="5">
        <f>IFERROR(IF(OR(I28&lt;=0,ABS(I27/I28-1)&gt;5),"n/m",I27/I28-1),"n/a")</f>
        <v>0.04242123542545273</v>
      </c>
      <c r="J34" s="31">
        <f>IFERROR(IF(OR(J28&lt;=0,ABS(J27/J28-1)&gt;5),"n/m",J27/J28-1),"n/a")</f>
        <v>0.05187325826882483</v>
      </c>
      <c r="K34" s="97" t="s">
        <v>193</v>
      </c>
      <c r="L34" s="2"/>
    </row>
    <row r="35">
      <c r="A35" s="2"/>
      <c r="B35" s="41" t="s">
        <v>117</v>
      </c>
      <c r="C35" s="12">
        <v>-18.4</v>
      </c>
      <c r="D35" s="12">
        <v>10.1</v>
      </c>
      <c r="E35" s="12">
        <v>28.8</v>
      </c>
      <c r="F35" s="12">
        <v>29.6</v>
      </c>
      <c r="G35" s="12">
        <v>50</v>
      </c>
      <c r="H35" s="12">
        <v>51.3</v>
      </c>
      <c r="I35" s="12">
        <v>20.3</v>
      </c>
      <c r="J35" s="46">
        <f>J28*J40</f>
        <v>-4.263</v>
      </c>
      <c r="K35" s="4" t="s">
        <v>223</v>
      </c>
      <c r="L35" s="2"/>
    </row>
    <row r="36">
      <c r="A36" s="2"/>
      <c r="B36" s="41" t="s">
        <v>119</v>
      </c>
      <c r="C36" s="12">
        <v>-16</v>
      </c>
      <c r="D36" s="12">
        <v>-12.2</v>
      </c>
      <c r="E36" s="12">
        <v>-22.1</v>
      </c>
      <c r="F36" s="12">
        <v>-36</v>
      </c>
      <c r="G36" s="12">
        <v>-86.3</v>
      </c>
      <c r="H36" s="12">
        <v>0</v>
      </c>
      <c r="I36" s="12">
        <v>0</v>
      </c>
      <c r="J36" s="49">
        <v>0</v>
      </c>
      <c r="K36" s="2"/>
      <c r="L36" s="2"/>
    </row>
    <row r="37">
      <c r="A37" s="2"/>
      <c r="B37" s="41" t="s">
        <v>120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49">
        <v>0</v>
      </c>
      <c r="K37" s="2"/>
      <c r="L37" s="2"/>
    </row>
    <row r="38">
      <c r="A38" s="2"/>
      <c r="B38" s="41" t="s">
        <v>121</v>
      </c>
      <c r="C38" s="7">
        <f>C27+C37</f>
        <v>400.5</v>
      </c>
      <c r="D38" s="7">
        <f>D27+D37</f>
        <v>403.1</v>
      </c>
      <c r="E38" s="7">
        <f>E27+E37</f>
        <v>426.3</v>
      </c>
      <c r="F38" s="7">
        <f>F27+F37</f>
        <v>469.4000000000002</v>
      </c>
      <c r="G38" s="7">
        <f>G27+G37</f>
        <v>1699.3000000000002</v>
      </c>
      <c r="H38" s="7">
        <f>H27+H37</f>
        <v>496</v>
      </c>
      <c r="I38" s="7">
        <f>I27+I37</f>
        <v>420.2</v>
      </c>
      <c r="J38" s="46">
        <f>J27+J37</f>
        <v>448.41357000000005</v>
      </c>
      <c r="K38" s="2"/>
      <c r="L38" s="2"/>
    </row>
    <row r="39">
      <c r="A39" s="2"/>
      <c r="B39" s="41" t="s">
        <v>122</v>
      </c>
      <c r="C39" s="7">
        <f>C28+C35+C36</f>
        <v>389.1</v>
      </c>
      <c r="D39" s="7">
        <f>D28+D35+D36</f>
        <v>351.6</v>
      </c>
      <c r="E39" s="7">
        <f>E28+E35+E36</f>
        <v>413.3</v>
      </c>
      <c r="F39" s="7">
        <f>F28+F35+F36</f>
        <v>427.70000000000005</v>
      </c>
      <c r="G39" s="7">
        <f>G28+G35+G36</f>
        <v>1581.6000000000001</v>
      </c>
      <c r="H39" s="7">
        <f>H28+H35+H36</f>
        <v>451.8</v>
      </c>
      <c r="I39" s="7">
        <f>I28+I35+I36</f>
        <v>423.40000000000003</v>
      </c>
      <c r="J39" s="46">
        <f>J28+J35+J36</f>
        <v>422.03700000000003</v>
      </c>
      <c r="K39" s="2"/>
      <c r="L39" s="2"/>
    </row>
    <row r="40">
      <c r="A40" s="2"/>
      <c r="B40" s="3" t="s">
        <v>98</v>
      </c>
      <c r="C40" s="5">
        <f>IFERROR(C35/C28,"n/a")</f>
        <v>-0.04344746162927981</v>
      </c>
      <c r="D40" s="5">
        <f>IFERROR(D35/D28,"n/a")</f>
        <v>0.02855527283008199</v>
      </c>
      <c r="E40" s="5">
        <f>IFERROR(E35/E28,"n/a")</f>
        <v>0.07083128381701918</v>
      </c>
      <c r="F40" s="5">
        <f>IFERROR(F35/F28,"n/a")</f>
        <v>0.0681870536742686</v>
      </c>
      <c r="G40" s="5">
        <f>IFERROR(G35/G28,"n/a")</f>
        <v>0.03090425860683602</v>
      </c>
      <c r="H40" s="5">
        <f>IFERROR(H35/H28,"n/a")</f>
        <v>0.12808988764044943</v>
      </c>
      <c r="I40" s="5">
        <f>IFERROR(I35/I28,"n/a")</f>
        <v>0.050359712230215826</v>
      </c>
      <c r="J40" s="44">
        <v>-0.01</v>
      </c>
      <c r="K40" s="2"/>
      <c r="L40" s="2"/>
    </row>
    <row r="41">
      <c r="A41" s="2"/>
      <c r="B41" s="41" t="s">
        <v>195</v>
      </c>
      <c r="C41" s="30" t="s">
        <v>62</v>
      </c>
      <c r="D41" s="30" t="s">
        <v>62</v>
      </c>
      <c r="E41" s="30" t="s">
        <v>62</v>
      </c>
      <c r="F41" s="30" t="s">
        <v>62</v>
      </c>
      <c r="G41" s="30" t="s">
        <v>62</v>
      </c>
      <c r="H41" s="30">
        <f>IFERROR((H40-C40)*10000,"n/a")</f>
        <v>1715.3734926972925</v>
      </c>
      <c r="I41" s="30">
        <f>IFERROR((I40-D40)*10000,"n/a")</f>
        <v>218.0443940013384</v>
      </c>
      <c r="J41" s="51">
        <f>IFERROR((J40-E40)*10000,"n/a")</f>
        <v>-808.3128381701918</v>
      </c>
      <c r="K41" s="2"/>
      <c r="L41" s="2"/>
    </row>
    <row r="42">
      <c r="A42" s="2"/>
      <c r="B42" s="3" t="s">
        <v>99</v>
      </c>
      <c r="C42" s="5">
        <f>IFERROR((C28+C35+C36)/(C28+C35)*C27/(C27+C37)-1,"n/a")</f>
        <v>-0.03949642063687975</v>
      </c>
      <c r="D42" s="5">
        <f>IFERROR((D28+D35+D36)/(D28+D35)*D27/(D27+D37)-1,"n/a")</f>
        <v>-0.03353490929081915</v>
      </c>
      <c r="E42" s="5">
        <f>IFERROR((E28+E35+E36)/(E28+E35)*E27/(E27+E37)-1,"n/a")</f>
        <v>-0.05075792374827748</v>
      </c>
      <c r="F42" s="5">
        <f>IFERROR((F28+F35+F36)/(F28+F35)*F27/(F27+F37)-1,"n/a")</f>
        <v>-0.07763640284666795</v>
      </c>
      <c r="G42" s="5">
        <f>IFERROR((G28+G35+G36)/(G28+G35)*G27/(G27+G37)-1,"n/a")</f>
        <v>-0.05174171113376114</v>
      </c>
      <c r="H42" s="5">
        <f>IFERROR((H28+H35+H36)/(H28+H35)*H27/(H27+H37)-1,"n/a")</f>
        <v>0</v>
      </c>
      <c r="I42" s="5">
        <f>IFERROR((I28+I35+I36)/(I28+I35)*I27/(I27+I37)-1,"n/a")</f>
        <v>0</v>
      </c>
      <c r="J42" s="31">
        <f>IFERROR((J28+J35+J36)/(J28+J35)*J27/(J27+J37)-1,"n/a")</f>
        <v>0</v>
      </c>
      <c r="K42" s="2"/>
      <c r="L42" s="2"/>
    </row>
    <row r="43">
      <c r="A43" s="2"/>
      <c r="B43" s="3" t="s">
        <v>100</v>
      </c>
      <c r="C43" s="5">
        <f>IFERROR((1+C34)/((1+C42)*(1+C40))-1,"n/a")</f>
        <v>0.029298380878951313</v>
      </c>
      <c r="D43" s="5">
        <f>IFERROR((1+D34)/((1+D42)*(1+D40))-1,"n/a")</f>
        <v>0.14647326507394776</v>
      </c>
      <c r="E43" s="5">
        <f>IFERROR((1+E34)/((1+E42)*(1+E40))-1,"n/a")</f>
        <v>0.0314541495281877</v>
      </c>
      <c r="F43" s="5">
        <f>IFERROR((1+F34)/((1+F42)*(1+F40))-1,"n/a")</f>
        <v>0.09749824643441696</v>
      </c>
      <c r="G43" s="5">
        <f>IFERROR((1+G34)/((1+G42)*(1+G40))-1,"n/a")</f>
        <v>0.07441831057157344</v>
      </c>
      <c r="H43" s="5">
        <f>IFERROR((1+H34)/((1+H42)*(1+H40))-1,"n/a")</f>
        <v>0.09783089862771122</v>
      </c>
      <c r="I43" s="5">
        <f>IFERROR((1+I34)/((1+I42)*(1+I40))-1,"n/a")</f>
        <v>-0.00755786490316479</v>
      </c>
      <c r="J43" s="31">
        <f>IFERROR((1+J34)/((1+J42)*(1+J40))-1,"n/a")</f>
        <v>0.06249824067558074</v>
      </c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3" t="s">
        <v>196</v>
      </c>
      <c r="C45" s="2"/>
      <c r="D45" s="2"/>
      <c r="E45" s="2"/>
      <c r="F45" s="2"/>
      <c r="G45" s="2"/>
      <c r="H45" s="2"/>
      <c r="I45" s="2"/>
      <c r="J45" s="23"/>
      <c r="K45" s="2"/>
      <c r="L45" s="2"/>
    </row>
    <row r="46">
      <c r="A46" s="2"/>
      <c r="B46" s="21" t="s">
        <v>197</v>
      </c>
      <c r="C46" s="5">
        <f>IFERROR(C19/C27,"n/a")</f>
        <v>0.5750312109862672</v>
      </c>
      <c r="D46" s="5">
        <f>IFERROR(D19/D27,"n/a")</f>
        <v>0.5574299181344579</v>
      </c>
      <c r="E46" s="5">
        <f>IFERROR(E19/E27,"n/a")</f>
        <v>0.4996481351161154</v>
      </c>
      <c r="F46" s="5">
        <f>IFERROR(F19/F27,"n/a")</f>
        <v>0.5852151682999573</v>
      </c>
      <c r="G46" s="5">
        <f>IFERROR(G19/G27,"n/a")</f>
        <v>0.5547578414641322</v>
      </c>
      <c r="H46" s="5">
        <f>IFERROR(H19/H27,"n/a")</f>
        <v>0.5518145161290322</v>
      </c>
      <c r="I46" s="5">
        <f>IFERROR(I19/I27,"n/a")</f>
        <v>0.5990004759638268</v>
      </c>
      <c r="J46" s="31">
        <f>IFERROR(J19/J27,"n/a")</f>
        <v>0.5008246070697637</v>
      </c>
      <c r="K46" s="2"/>
      <c r="L46" s="2"/>
    </row>
    <row r="47">
      <c r="A47" s="2"/>
      <c r="B47" s="41" t="s">
        <v>153</v>
      </c>
      <c r="C47" s="30" t="s">
        <v>62</v>
      </c>
      <c r="D47" s="30" t="s">
        <v>62</v>
      </c>
      <c r="E47" s="30" t="s">
        <v>62</v>
      </c>
      <c r="F47" s="30" t="s">
        <v>62</v>
      </c>
      <c r="G47" s="30" t="s">
        <v>62</v>
      </c>
      <c r="H47" s="30">
        <f>IFERROR((H46-C46)*10000,"n/a")</f>
        <v>-232.16694857234987</v>
      </c>
      <c r="I47" s="30">
        <f>IFERROR((I46-D46)*10000,"n/a")</f>
        <v>415.70557829368914</v>
      </c>
      <c r="J47" s="51">
        <f>IFERROR((J46-E46)*10000,"n/a")</f>
        <v>11.764719536483392</v>
      </c>
      <c r="K47" s="2"/>
      <c r="L47" s="2"/>
    </row>
    <row r="48">
      <c r="A48" s="2"/>
      <c r="B48" s="21" t="s">
        <v>198</v>
      </c>
      <c r="C48" s="5">
        <f>IFERROR(C11/C27,"n/a")</f>
        <v>0.4249687890137328</v>
      </c>
      <c r="D48" s="5">
        <f>IFERROR(D11/D27,"n/a")</f>
        <v>0.44257008186554203</v>
      </c>
      <c r="E48" s="5">
        <f>IFERROR(E11/E27,"n/a")</f>
        <v>0.5003518648838846</v>
      </c>
      <c r="F48" s="5">
        <f>IFERROR(F11/F27,"n/a")</f>
        <v>0.41478483170004266</v>
      </c>
      <c r="G48" s="5">
        <f>IFERROR(G11/G27,"n/a")</f>
        <v>0.4452421585358677</v>
      </c>
      <c r="H48" s="5">
        <f>IFERROR(H11/H27,"n/a")</f>
        <v>0.44818548387096774</v>
      </c>
      <c r="I48" s="5">
        <f>IFERROR(I11/I27,"n/a")</f>
        <v>0.4009995240361733</v>
      </c>
      <c r="J48" s="31">
        <f>IFERROR(J11/J27,"n/a")</f>
        <v>0.4991753929302363</v>
      </c>
      <c r="K48" s="2"/>
      <c r="L48" s="2"/>
    </row>
    <row r="49">
      <c r="A49" s="2"/>
      <c r="B49" s="41" t="s">
        <v>153</v>
      </c>
      <c r="C49" s="30" t="s">
        <v>62</v>
      </c>
      <c r="D49" s="30" t="s">
        <v>62</v>
      </c>
      <c r="E49" s="30" t="s">
        <v>62</v>
      </c>
      <c r="F49" s="30" t="s">
        <v>62</v>
      </c>
      <c r="G49" s="30" t="s">
        <v>62</v>
      </c>
      <c r="H49" s="30">
        <f>IFERROR((H48-C48)*10000,"n/a")</f>
        <v>232.16694857234933</v>
      </c>
      <c r="I49" s="30">
        <f>IFERROR((I48-D48)*10000,"n/a")</f>
        <v>-415.7055782936875</v>
      </c>
      <c r="J49" s="51">
        <f>IFERROR((J48-E48)*10000,"n/a")</f>
        <v>-11.764719536483392</v>
      </c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43" t="s">
        <v>199</v>
      </c>
      <c r="C51" s="2"/>
      <c r="D51" s="2"/>
      <c r="E51" s="2"/>
      <c r="F51" s="2"/>
      <c r="G51" s="2"/>
      <c r="H51" s="2"/>
      <c r="I51" s="2"/>
      <c r="J51" s="23"/>
      <c r="K51" s="2"/>
      <c r="L51" s="2"/>
    </row>
    <row r="52">
      <c r="A52" s="2"/>
      <c r="B52" s="2" t="s">
        <v>200</v>
      </c>
      <c r="C52" s="12">
        <v>117.6</v>
      </c>
      <c r="D52" s="12">
        <v>115.9</v>
      </c>
      <c r="E52" s="7" t="s">
        <v>62</v>
      </c>
      <c r="F52" s="7" t="s">
        <v>62</v>
      </c>
      <c r="G52" s="12">
        <v>497.1</v>
      </c>
      <c r="H52" s="12">
        <v>131.7</v>
      </c>
      <c r="I52" s="12">
        <v>106.6</v>
      </c>
      <c r="J52" s="46">
        <f>J27*(1-J57)</f>
        <v>123.31373175000003</v>
      </c>
      <c r="K52" s="4" t="s">
        <v>201</v>
      </c>
      <c r="L52" s="2"/>
    </row>
    <row r="53">
      <c r="A53" s="2"/>
      <c r="B53" s="3" t="s">
        <v>94</v>
      </c>
      <c r="C53" s="5" t="s">
        <v>62</v>
      </c>
      <c r="D53" s="5" t="s">
        <v>62</v>
      </c>
      <c r="E53" s="5" t="s">
        <v>62</v>
      </c>
      <c r="F53" s="5" t="s">
        <v>62</v>
      </c>
      <c r="G53" s="5" t="s">
        <v>62</v>
      </c>
      <c r="H53" s="5">
        <f>IFERROR(IF(OR(C52&lt;=0,ABS(H52/C52-1)&gt;5),"n/m",H52/C52-1),"n/a")</f>
        <v>0.11989795918367352</v>
      </c>
      <c r="I53" s="5">
        <f>IFERROR(IF(OR(D52&lt;=0,ABS(I52/D52-1)&gt;5),"n/m",I52/D52-1),"n/a")</f>
        <v>-0.08024158757549626</v>
      </c>
      <c r="J53" s="31" t="str">
        <f>IFERROR(IF(OR(E52&lt;=0,ABS(J52/E52-1)&gt;5),"n/m",J52/E52-1),"n/a")</f>
        <v>n/a</v>
      </c>
      <c r="K53" s="2"/>
      <c r="L53" s="2"/>
    </row>
    <row r="54">
      <c r="A54" s="2"/>
      <c r="B54" s="41" t="s">
        <v>96</v>
      </c>
      <c r="C54" s="7" t="s">
        <v>62</v>
      </c>
      <c r="D54" s="7">
        <f>IFERROR(D52-C52,"n/a")</f>
        <v>-1.6999999999999886</v>
      </c>
      <c r="E54" s="7" t="str">
        <f>IFERROR(E52-D52,"n/a")</f>
        <v>n/a</v>
      </c>
      <c r="F54" s="7" t="str">
        <f>IFERROR(F52-E52,"n/a")</f>
        <v>n/a</v>
      </c>
      <c r="G54" s="7" t="s">
        <v>62</v>
      </c>
      <c r="H54" s="7" t="str">
        <f>IFERROR(H52-F52,"n/a")</f>
        <v>n/a</v>
      </c>
      <c r="I54" s="7">
        <f>IFERROR(I52-H52,"n/a")</f>
        <v>-25.099999999999994</v>
      </c>
      <c r="J54" s="46">
        <f>IFERROR(J52-I52,"n/a")</f>
        <v>16.713731750000036</v>
      </c>
      <c r="K54" s="2"/>
      <c r="L54" s="2"/>
    </row>
    <row r="55">
      <c r="A55" s="2"/>
      <c r="B55" s="47" t="s">
        <v>202</v>
      </c>
      <c r="C55" s="14">
        <f>C27-C52</f>
        <v>282.9</v>
      </c>
      <c r="D55" s="14">
        <f>D27-D52</f>
        <v>287.20000000000005</v>
      </c>
      <c r="E55" s="14" t="s">
        <v>62</v>
      </c>
      <c r="F55" s="14" t="s">
        <v>62</v>
      </c>
      <c r="G55" s="14">
        <f>G27-G52</f>
        <v>1202.2000000000003</v>
      </c>
      <c r="H55" s="14">
        <f>H27-H52</f>
        <v>364.3</v>
      </c>
      <c r="I55" s="14">
        <f>I27-I52</f>
        <v>313.6</v>
      </c>
      <c r="J55" s="36">
        <f>J27-J52</f>
        <v>325.09983825</v>
      </c>
      <c r="K55" s="2"/>
      <c r="L55" s="2"/>
    </row>
    <row r="56">
      <c r="A56" s="2"/>
      <c r="B56" s="3" t="s">
        <v>94</v>
      </c>
      <c r="C56" s="5" t="s">
        <v>62</v>
      </c>
      <c r="D56" s="5" t="s">
        <v>62</v>
      </c>
      <c r="E56" s="5" t="s">
        <v>62</v>
      </c>
      <c r="F56" s="5" t="s">
        <v>62</v>
      </c>
      <c r="G56" s="5" t="s">
        <v>62</v>
      </c>
      <c r="H56" s="5">
        <f>IFERROR(IF(OR(C55&lt;=0,ABS(H55/C55-1)&gt;5),"n/m",H55/C55-1),"n/a")</f>
        <v>0.28773418168964304</v>
      </c>
      <c r="I56" s="5">
        <f>IFERROR(IF(OR(D55&lt;=0,ABS(I55/D55-1)&gt;5),"n/m",I55/D55-1),"n/a")</f>
        <v>0.09192200557103059</v>
      </c>
      <c r="J56" s="31" t="str">
        <f>IFERROR(IF(OR(E55&lt;=0,ABS(J55/E55-1)&gt;5),"n/m",J55/E55-1),"n/a")</f>
        <v>n/a</v>
      </c>
      <c r="K56" s="2"/>
      <c r="L56" s="2"/>
    </row>
    <row r="57">
      <c r="A57" s="2"/>
      <c r="B57" s="21" t="s">
        <v>203</v>
      </c>
      <c r="C57" s="5">
        <f>IFERROR(C55/C27,"n/a")</f>
        <v>0.7063670411985018</v>
      </c>
      <c r="D57" s="5">
        <f>IFERROR(D55/D27,"n/a")</f>
        <v>0.712478293227487</v>
      </c>
      <c r="E57" s="5" t="s">
        <v>62</v>
      </c>
      <c r="F57" s="5" t="s">
        <v>62</v>
      </c>
      <c r="G57" s="5">
        <f>IFERROR(G55/G27,"n/a")</f>
        <v>0.7074677808509388</v>
      </c>
      <c r="H57" s="5">
        <f>IFERROR(H55/H27,"n/a")</f>
        <v>0.7344758064516129</v>
      </c>
      <c r="I57" s="5">
        <f>IFERROR(I55/I27,"n/a")</f>
        <v>0.746311280342694</v>
      </c>
      <c r="J57" s="44">
        <v>0.725</v>
      </c>
      <c r="K57" s="4" t="s">
        <v>204</v>
      </c>
      <c r="L57" s="2"/>
    </row>
    <row r="58">
      <c r="A58" s="2"/>
      <c r="B58" s="41" t="s">
        <v>153</v>
      </c>
      <c r="C58" s="30" t="s">
        <v>62</v>
      </c>
      <c r="D58" s="30" t="s">
        <v>62</v>
      </c>
      <c r="E58" s="30" t="s">
        <v>62</v>
      </c>
      <c r="F58" s="30" t="s">
        <v>62</v>
      </c>
      <c r="G58" s="30" t="s">
        <v>62</v>
      </c>
      <c r="H58" s="30">
        <f>IFERROR((H57-C57)*10000,"n/a")</f>
        <v>281.08765253111125</v>
      </c>
      <c r="I58" s="30">
        <f>IFERROR((I57-D57)*10000,"n/a")</f>
        <v>338.3298711520699</v>
      </c>
      <c r="J58" s="51" t="str">
        <f>IFERROR((J57-E57)*10000,"n/a")</f>
        <v>n/a</v>
      </c>
      <c r="K58" s="2"/>
      <c r="L58" s="2"/>
    </row>
    <row r="59">
      <c r="A59" s="2"/>
      <c r="B59" s="2" t="s">
        <v>205</v>
      </c>
      <c r="C59" s="12">
        <v>180.5</v>
      </c>
      <c r="D59" s="12">
        <v>217.8</v>
      </c>
      <c r="E59" s="7" t="s">
        <v>62</v>
      </c>
      <c r="F59" s="7" t="s">
        <v>62</v>
      </c>
      <c r="G59" s="12">
        <v>835.5</v>
      </c>
      <c r="H59" s="12">
        <v>235.1</v>
      </c>
      <c r="I59" s="12">
        <v>224.8</v>
      </c>
      <c r="J59" s="46">
        <f>J55-J64</f>
        <v>221.96471714999998</v>
      </c>
      <c r="K59" s="4" t="s">
        <v>206</v>
      </c>
      <c r="L59" s="2"/>
    </row>
    <row r="60">
      <c r="A60" s="2"/>
      <c r="B60" s="3" t="s">
        <v>94</v>
      </c>
      <c r="C60" s="5" t="s">
        <v>62</v>
      </c>
      <c r="D60" s="5" t="s">
        <v>62</v>
      </c>
      <c r="E60" s="5" t="s">
        <v>62</v>
      </c>
      <c r="F60" s="5" t="s">
        <v>62</v>
      </c>
      <c r="G60" s="5" t="s">
        <v>62</v>
      </c>
      <c r="H60" s="5">
        <f>IFERROR(IF(OR(C59&lt;=0,ABS(H59/C59-1)&gt;5),"n/m",H59/C59-1),"n/a")</f>
        <v>0.30249307479224363</v>
      </c>
      <c r="I60" s="5">
        <f>IFERROR(IF(OR(D59&lt;=0,ABS(I59/D59-1)&gt;5),"n/m",I59/D59-1),"n/a")</f>
        <v>0.032139577594123114</v>
      </c>
      <c r="J60" s="31" t="str">
        <f>IFERROR(IF(OR(E59&lt;=0,ABS(J59/E59-1)&gt;5),"n/m",J59/E59-1),"n/a")</f>
        <v>n/a</v>
      </c>
      <c r="K60" s="2"/>
      <c r="L60" s="2"/>
    </row>
    <row r="61">
      <c r="A61" s="2"/>
      <c r="B61" s="41" t="s">
        <v>96</v>
      </c>
      <c r="C61" s="7" t="s">
        <v>62</v>
      </c>
      <c r="D61" s="7">
        <f>IFERROR(D59-C59,"n/a")</f>
        <v>37.30000000000001</v>
      </c>
      <c r="E61" s="7" t="str">
        <f>IFERROR(E59-D59,"n/a")</f>
        <v>n/a</v>
      </c>
      <c r="F61" s="7" t="str">
        <f>IFERROR(F59-E59,"n/a")</f>
        <v>n/a</v>
      </c>
      <c r="G61" s="7" t="s">
        <v>62</v>
      </c>
      <c r="H61" s="7" t="str">
        <f>IFERROR(H59-F59,"n/a")</f>
        <v>n/a</v>
      </c>
      <c r="I61" s="7">
        <f>IFERROR(I59-H59,"n/a")</f>
        <v>-10.299999999999983</v>
      </c>
      <c r="J61" s="46">
        <f>IFERROR(J59-I59,"n/a")</f>
        <v>-2.835282850000027</v>
      </c>
      <c r="K61" s="2"/>
      <c r="L61" s="2"/>
    </row>
    <row r="62">
      <c r="A62" s="2"/>
      <c r="B62" s="21" t="s">
        <v>207</v>
      </c>
      <c r="C62" s="5">
        <f>IFERROR(C59/C27,"n/a")</f>
        <v>0.45068664169787764</v>
      </c>
      <c r="D62" s="5">
        <f>IFERROR(D59/D27,"n/a")</f>
        <v>0.5403125775241876</v>
      </c>
      <c r="E62" s="5" t="s">
        <v>62</v>
      </c>
      <c r="F62" s="5" t="s">
        <v>62</v>
      </c>
      <c r="G62" s="5">
        <f>IFERROR(G59/G27,"n/a")</f>
        <v>0.4916730418407579</v>
      </c>
      <c r="H62" s="5">
        <f>IFERROR(H59/H27,"n/a")</f>
        <v>0.473991935483871</v>
      </c>
      <c r="I62" s="5">
        <f>IFERROR(I59/I27,"n/a")</f>
        <v>0.5349833412660638</v>
      </c>
      <c r="J62" s="31">
        <f>IFERROR(J59/J27,"n/a")</f>
        <v>0.4949999999999999</v>
      </c>
      <c r="K62" s="2"/>
      <c r="L62" s="2"/>
    </row>
    <row r="63">
      <c r="A63" s="2"/>
      <c r="B63" s="41" t="s">
        <v>153</v>
      </c>
      <c r="C63" s="30" t="s">
        <v>62</v>
      </c>
      <c r="D63" s="30" t="s">
        <v>62</v>
      </c>
      <c r="E63" s="30" t="s">
        <v>62</v>
      </c>
      <c r="F63" s="30" t="s">
        <v>62</v>
      </c>
      <c r="G63" s="30" t="s">
        <v>62</v>
      </c>
      <c r="H63" s="30">
        <f>IFERROR((H62-C62)*10000,"n/a")</f>
        <v>233.0529378599333</v>
      </c>
      <c r="I63" s="30">
        <f>IFERROR((I62-D62)*10000,"n/a")</f>
        <v>-53.2923625812376</v>
      </c>
      <c r="J63" s="51" t="str">
        <f>IFERROR((J62-E62)*10000,"n/a")</f>
        <v>n/a</v>
      </c>
      <c r="K63" s="2"/>
      <c r="L63" s="2"/>
    </row>
    <row r="64">
      <c r="A64" s="2"/>
      <c r="B64" s="47" t="s">
        <v>224</v>
      </c>
      <c r="C64" s="35">
        <v>102.4</v>
      </c>
      <c r="D64" s="35">
        <v>69.4</v>
      </c>
      <c r="E64" s="35">
        <v>91</v>
      </c>
      <c r="F64" s="14">
        <f>G64-C64-D64-E64</f>
        <v>103.89999999999995</v>
      </c>
      <c r="G64" s="35">
        <v>366.7</v>
      </c>
      <c r="H64" s="35">
        <v>129.2</v>
      </c>
      <c r="I64" s="35">
        <v>88.8</v>
      </c>
      <c r="J64" s="36">
        <f>J27*J68</f>
        <v>103.13512110000002</v>
      </c>
      <c r="K64" s="4" t="s">
        <v>210</v>
      </c>
      <c r="L64" s="2"/>
    </row>
    <row r="65">
      <c r="A65" s="2"/>
      <c r="B65" s="41" t="s">
        <v>108</v>
      </c>
      <c r="C65" s="12">
        <v>104</v>
      </c>
      <c r="D65" s="12">
        <v>53</v>
      </c>
      <c r="E65" s="12">
        <v>83.2</v>
      </c>
      <c r="F65" s="12">
        <v>79.7</v>
      </c>
      <c r="G65" s="12">
        <v>319.6</v>
      </c>
      <c r="H65" s="7">
        <f>C64</f>
        <v>102.4</v>
      </c>
      <c r="I65" s="7">
        <f>D64</f>
        <v>69.4</v>
      </c>
      <c r="J65" s="46">
        <f>E64</f>
        <v>91</v>
      </c>
      <c r="K65" s="4" t="s">
        <v>211</v>
      </c>
      <c r="L65" s="2"/>
    </row>
    <row r="66">
      <c r="A66" s="2"/>
      <c r="B66" s="3" t="s">
        <v>94</v>
      </c>
      <c r="C66" s="5">
        <f>IFERROR(IF(OR(C65&lt;=0,ABS(C64/C65-1)&gt;5),"n/m",C64/C65-1),"n/a")</f>
        <v>-0.01538461538461533</v>
      </c>
      <c r="D66" s="5">
        <f>IFERROR(IF(OR(D65&lt;=0,ABS(D64/D65-1)&gt;5),"n/m",D64/D65-1),"n/a")</f>
        <v>0.3094339622641511</v>
      </c>
      <c r="E66" s="5">
        <f>IFERROR(IF(OR(E65&lt;=0,ABS(E64/E65-1)&gt;5),"n/m",E64/E65-1),"n/a")</f>
        <v>0.09375</v>
      </c>
      <c r="F66" s="5">
        <f>IFERROR(IF(OR(F65&lt;=0,ABS(F64/F65-1)&gt;5),"n/m",F64/F65-1),"n/a")</f>
        <v>0.3036386449184434</v>
      </c>
      <c r="G66" s="5">
        <f>IFERROR(IF(OR(G65&lt;=0,ABS(G64/G65-1)&gt;5),"n/m",G64/G65-1),"n/a")</f>
        <v>0.147371714643304</v>
      </c>
      <c r="H66" s="5">
        <f>IFERROR(IF(OR(H65&lt;=0,ABS(H64/H65-1)&gt;5),"n/m",H64/H65-1),"n/a")</f>
        <v>0.2617187499999998</v>
      </c>
      <c r="I66" s="5">
        <f>IFERROR(IF(OR(I65&lt;=0,ABS(I64/I65-1)&gt;5),"n/m",I64/I65-1),"n/a")</f>
        <v>0.27953890489913524</v>
      </c>
      <c r="J66" s="31">
        <f>IFERROR(IF(OR(J65&lt;=0,ABS(J64/J65-1)&gt;5),"n/m",J64/J65-1),"n/a")</f>
        <v>0.1333529791208794</v>
      </c>
      <c r="K66" s="2"/>
      <c r="L66" s="2"/>
    </row>
    <row r="67">
      <c r="A67" s="2"/>
      <c r="B67" s="41" t="s">
        <v>96</v>
      </c>
      <c r="C67" s="7" t="s">
        <v>62</v>
      </c>
      <c r="D67" s="7">
        <f>IFERROR(D64-C64,"n/a")</f>
        <v>-33</v>
      </c>
      <c r="E67" s="7">
        <f>IFERROR(E64-D64,"n/a")</f>
        <v>21.599999999999994</v>
      </c>
      <c r="F67" s="7">
        <f>IFERROR(F64-E64,"n/a")</f>
        <v>12.899999999999949</v>
      </c>
      <c r="G67" s="7" t="s">
        <v>62</v>
      </c>
      <c r="H67" s="7">
        <f>IFERROR(H64-F64,"n/a")</f>
        <v>25.30000000000004</v>
      </c>
      <c r="I67" s="7">
        <f>IFERROR(I64-H64,"n/a")</f>
        <v>-40.39999999999999</v>
      </c>
      <c r="J67" s="46">
        <f>IFERROR(J64-I64,"n/a")</f>
        <v>14.335121100000023</v>
      </c>
      <c r="K67" s="2"/>
      <c r="L67" s="2"/>
    </row>
    <row r="68">
      <c r="A68" s="2"/>
      <c r="B68" s="21" t="s">
        <v>212</v>
      </c>
      <c r="C68" s="5">
        <f>IFERROR(C64/C27,"n/a")</f>
        <v>0.2556803995006242</v>
      </c>
      <c r="D68" s="5">
        <f>IFERROR(D64/D27,"n/a")</f>
        <v>0.17216571570329944</v>
      </c>
      <c r="E68" s="5">
        <f>IFERROR(E64/E27,"n/a")</f>
        <v>0.2134646962233169</v>
      </c>
      <c r="F68" s="5">
        <f>IFERROR(F64/F27,"n/a")</f>
        <v>0.22134639965913913</v>
      </c>
      <c r="G68" s="5">
        <f>IFERROR(G64/G27,"n/a")</f>
        <v>0.21579473901018062</v>
      </c>
      <c r="H68" s="5">
        <f>IFERROR(H64/H27,"n/a")</f>
        <v>0.2604838709677419</v>
      </c>
      <c r="I68" s="5">
        <f>IFERROR(I64/I27,"n/a")</f>
        <v>0.21132793907663017</v>
      </c>
      <c r="J68" s="44">
        <v>0.23</v>
      </c>
      <c r="K68" s="4" t="s">
        <v>213</v>
      </c>
      <c r="L68" s="2"/>
    </row>
    <row r="69">
      <c r="A69" s="2"/>
      <c r="B69" s="41" t="s">
        <v>153</v>
      </c>
      <c r="C69" s="30" t="s">
        <v>62</v>
      </c>
      <c r="D69" s="30" t="s">
        <v>62</v>
      </c>
      <c r="E69" s="30" t="s">
        <v>62</v>
      </c>
      <c r="F69" s="30" t="s">
        <v>62</v>
      </c>
      <c r="G69" s="30" t="s">
        <v>62</v>
      </c>
      <c r="H69" s="30">
        <f>IFERROR((H68-C68)*10000,"n/a")</f>
        <v>48.034714671176815</v>
      </c>
      <c r="I69" s="30">
        <f>IFERROR((I68-D68)*10000,"n/a")</f>
        <v>391.6222337333072</v>
      </c>
      <c r="J69" s="51">
        <f>IFERROR((J68-E68)*10000,"n/a")</f>
        <v>165.35303776683108</v>
      </c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43" t="s">
        <v>214</v>
      </c>
      <c r="C71" s="2"/>
      <c r="D71" s="2"/>
      <c r="E71" s="2"/>
      <c r="F71" s="2"/>
      <c r="G71" s="2"/>
      <c r="H71" s="2"/>
      <c r="I71" s="2"/>
      <c r="J71" s="23"/>
      <c r="K71" s="2"/>
      <c r="L71" s="2"/>
    </row>
    <row r="72">
      <c r="A72" s="2"/>
      <c r="B72" s="2" t="s">
        <v>157</v>
      </c>
      <c r="C72" s="30" t="s">
        <v>62</v>
      </c>
      <c r="D72" s="30" t="s">
        <v>62</v>
      </c>
      <c r="E72" s="30" t="s">
        <v>62</v>
      </c>
      <c r="F72" s="30" t="s">
        <v>62</v>
      </c>
      <c r="G72" s="30" t="s">
        <v>62</v>
      </c>
      <c r="H72" s="30" t="s">
        <v>62</v>
      </c>
      <c r="I72" s="30" t="s">
        <v>62</v>
      </c>
      <c r="J72" s="51" t="s">
        <v>62</v>
      </c>
      <c r="K72" s="4" t="s">
        <v>215</v>
      </c>
      <c r="L72" s="2"/>
    </row>
    <row r="73">
      <c r="A73" s="2"/>
      <c r="B73" s="34" t="s">
        <v>159</v>
      </c>
      <c r="C73" s="30" t="s">
        <v>62</v>
      </c>
      <c r="D73" s="30" t="s">
        <v>62</v>
      </c>
      <c r="E73" s="30" t="s">
        <v>62</v>
      </c>
      <c r="F73" s="30" t="s">
        <v>62</v>
      </c>
      <c r="G73" s="30" t="s">
        <v>62</v>
      </c>
      <c r="H73" s="30" t="s">
        <v>62</v>
      </c>
      <c r="I73" s="30" t="s">
        <v>62</v>
      </c>
      <c r="J73" s="51" t="s">
        <v>62</v>
      </c>
      <c r="K73" s="4" t="s">
        <v>216</v>
      </c>
      <c r="L73" s="2"/>
    </row>
    <row r="74">
      <c r="A74" s="2"/>
      <c r="B74" s="34" t="s">
        <v>161</v>
      </c>
      <c r="C74" s="30" t="s">
        <v>62</v>
      </c>
      <c r="D74" s="30" t="s">
        <v>62</v>
      </c>
      <c r="E74" s="30" t="s">
        <v>62</v>
      </c>
      <c r="F74" s="30" t="s">
        <v>62</v>
      </c>
      <c r="G74" s="30" t="s">
        <v>62</v>
      </c>
      <c r="H74" s="30" t="s">
        <v>62</v>
      </c>
      <c r="I74" s="30" t="s">
        <v>62</v>
      </c>
      <c r="J74" s="51" t="s">
        <v>62</v>
      </c>
      <c r="K74" s="4" t="s">
        <v>216</v>
      </c>
      <c r="L74" s="2"/>
    </row>
    <row r="75">
      <c r="A75" s="2"/>
      <c r="B75" s="34" t="s">
        <v>163</v>
      </c>
      <c r="C75" s="30" t="s">
        <v>62</v>
      </c>
      <c r="D75" s="30" t="s">
        <v>62</v>
      </c>
      <c r="E75" s="30" t="s">
        <v>62</v>
      </c>
      <c r="F75" s="30" t="s">
        <v>62</v>
      </c>
      <c r="G75" s="30" t="s">
        <v>62</v>
      </c>
      <c r="H75" s="30" t="s">
        <v>62</v>
      </c>
      <c r="I75" s="30" t="s">
        <v>62</v>
      </c>
      <c r="J75" s="51" t="s">
        <v>62</v>
      </c>
      <c r="K75" s="4" t="s">
        <v>216</v>
      </c>
      <c r="L75" s="2"/>
    </row>
    <row r="76">
      <c r="A76" s="2"/>
      <c r="B76" s="47" t="s">
        <v>165</v>
      </c>
      <c r="C76" s="39" t="s">
        <v>62</v>
      </c>
      <c r="D76" s="39" t="s">
        <v>62</v>
      </c>
      <c r="E76" s="39" t="s">
        <v>62</v>
      </c>
      <c r="F76" s="39" t="s">
        <v>62</v>
      </c>
      <c r="G76" s="69">
        <v>300</v>
      </c>
      <c r="H76" s="39" t="s">
        <v>62</v>
      </c>
      <c r="I76" s="39" t="s">
        <v>62</v>
      </c>
      <c r="J76" s="70" t="s">
        <v>62</v>
      </c>
      <c r="K76" s="4" t="s">
        <v>217</v>
      </c>
      <c r="L76" s="2"/>
    </row>
    <row r="77">
      <c r="A77" s="2"/>
      <c r="B77" s="34" t="s">
        <v>169</v>
      </c>
      <c r="C77" s="30" t="s">
        <v>62</v>
      </c>
      <c r="D77" s="30" t="s">
        <v>62</v>
      </c>
      <c r="E77" s="30" t="s">
        <v>62</v>
      </c>
      <c r="F77" s="30" t="s">
        <v>62</v>
      </c>
      <c r="G77" s="30" t="s">
        <v>62</v>
      </c>
      <c r="H77" s="30" t="s">
        <v>62</v>
      </c>
      <c r="I77" s="30" t="s">
        <v>62</v>
      </c>
      <c r="J77" s="51" t="s">
        <v>62</v>
      </c>
      <c r="K77" s="4" t="s">
        <v>218</v>
      </c>
      <c r="L77" s="2"/>
    </row>
    <row r="78">
      <c r="A78" s="2"/>
      <c r="B78" s="34" t="s">
        <v>219</v>
      </c>
      <c r="C78" s="30" t="s">
        <v>62</v>
      </c>
      <c r="D78" s="30" t="s">
        <v>62</v>
      </c>
      <c r="E78" s="30" t="s">
        <v>62</v>
      </c>
      <c r="F78" s="30" t="s">
        <v>62</v>
      </c>
      <c r="G78" s="30" t="s">
        <v>62</v>
      </c>
      <c r="H78" s="30" t="s">
        <v>62</v>
      </c>
      <c r="I78" s="30" t="s">
        <v>62</v>
      </c>
      <c r="J78" s="51" t="s">
        <v>62</v>
      </c>
      <c r="K78" s="4" t="s">
        <v>220</v>
      </c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80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225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178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179</v>
      </c>
      <c r="C11" s="12">
        <v>135</v>
      </c>
      <c r="D11" s="12">
        <v>95.5</v>
      </c>
      <c r="E11" s="12">
        <v>134.7</v>
      </c>
      <c r="F11" s="7">
        <f>G11-C11-D11-E11</f>
        <v>112.5</v>
      </c>
      <c r="G11" s="12">
        <v>477.7</v>
      </c>
      <c r="H11" s="12">
        <v>143.2</v>
      </c>
      <c r="I11" s="12">
        <v>102</v>
      </c>
      <c r="J11" s="46">
        <f>E11*(1+J15)*(1+J40)</f>
        <v>144.129</v>
      </c>
      <c r="K11" s="4" t="s">
        <v>180</v>
      </c>
      <c r="L11" s="2"/>
    </row>
    <row r="12">
      <c r="A12" s="2"/>
      <c r="B12" s="41" t="s">
        <v>108</v>
      </c>
      <c r="C12" s="12">
        <v>132.3</v>
      </c>
      <c r="D12" s="12">
        <v>112.2</v>
      </c>
      <c r="E12" s="12">
        <v>123.8</v>
      </c>
      <c r="F12" s="12">
        <v>125</v>
      </c>
      <c r="G12" s="12">
        <v>493.3</v>
      </c>
      <c r="H12" s="7">
        <f>C11</f>
        <v>135</v>
      </c>
      <c r="I12" s="7">
        <f>D11</f>
        <v>95.5</v>
      </c>
      <c r="J12" s="46">
        <f>E11</f>
        <v>134.7</v>
      </c>
      <c r="K12" s="4" t="s">
        <v>181</v>
      </c>
      <c r="L12" s="2"/>
    </row>
    <row r="13">
      <c r="A13" s="2"/>
      <c r="B13" s="3" t="s">
        <v>116</v>
      </c>
      <c r="C13" s="5">
        <f>IFERROR(IF(OR(C12&lt;=0,ABS(C11/C12-1)&gt;5),"n/m",C11/C12-1),"n/a")</f>
        <v>0.020408163265306145</v>
      </c>
      <c r="D13" s="5">
        <f>IFERROR(IF(OR(D12&lt;=0,ABS(D11/D12-1)&gt;5),"n/m",D11/D12-1),"n/a")</f>
        <v>-0.14884135472370774</v>
      </c>
      <c r="E13" s="5">
        <f>IFERROR(IF(OR(E12&lt;=0,ABS(E11/E12-1)&gt;5),"n/m",E11/E12-1),"n/a")</f>
        <v>0.0880452342487883</v>
      </c>
      <c r="F13" s="5">
        <f>IFERROR(IF(OR(F12&lt;=0,ABS(F11/F12-1)&gt;5),"n/m",F11/F12-1),"n/a")</f>
        <v>-0.09999999999999998</v>
      </c>
      <c r="G13" s="5">
        <f>IFERROR(IF(OR(G12&lt;=0,ABS(G11/G12-1)&gt;5),"n/m",G11/G12-1),"n/a")</f>
        <v>-0.03162375836205156</v>
      </c>
      <c r="H13" s="5">
        <f>IFERROR(IF(OR(H12&lt;=0,ABS(H11/H12-1)&gt;5),"n/m",H11/H12-1),"n/a")</f>
        <v>0.06074074074074076</v>
      </c>
      <c r="I13" s="5">
        <f>IFERROR(IF(OR(I12&lt;=0,ABS(I11/I12-1)&gt;5),"n/m",I11/I12-1),"n/a")</f>
        <v>0.0680628272251309</v>
      </c>
      <c r="J13" s="31">
        <f>IFERROR(IF(OR(J12&lt;=0,ABS(J11/J12-1)&gt;5),"n/m",J11/J12-1),"n/a")</f>
        <v>0.07000000000000006</v>
      </c>
      <c r="K13" s="2"/>
      <c r="L13" s="2"/>
    </row>
    <row r="14">
      <c r="A14" s="2"/>
      <c r="B14" s="41" t="s">
        <v>96</v>
      </c>
      <c r="C14" s="7" t="s">
        <v>62</v>
      </c>
      <c r="D14" s="7">
        <f>IFERROR(D11-C11,"n/a")</f>
        <v>-39.5</v>
      </c>
      <c r="E14" s="7">
        <f>IFERROR(E11-D11,"n/a")</f>
        <v>39.19999999999999</v>
      </c>
      <c r="F14" s="7">
        <f>IFERROR(F11-E11,"n/a")</f>
        <v>-22.19999999999999</v>
      </c>
      <c r="G14" s="7" t="s">
        <v>62</v>
      </c>
      <c r="H14" s="7">
        <f>IFERROR(H11-F11,"n/a")</f>
        <v>30.69999999999999</v>
      </c>
      <c r="I14" s="7">
        <f>IFERROR(I11-H11,"n/a")</f>
        <v>-41.19999999999999</v>
      </c>
      <c r="J14" s="46">
        <f>IFERROR(J11-I11,"n/a")</f>
        <v>42.12899999999999</v>
      </c>
      <c r="K14" s="2"/>
      <c r="L14" s="2"/>
    </row>
    <row r="15">
      <c r="A15" s="2"/>
      <c r="B15" s="3" t="s">
        <v>182</v>
      </c>
      <c r="C15" s="5" t="s">
        <v>62</v>
      </c>
      <c r="D15" s="5" t="s">
        <v>62</v>
      </c>
      <c r="E15" s="5" t="s">
        <v>62</v>
      </c>
      <c r="F15" s="5" t="s">
        <v>62</v>
      </c>
      <c r="G15" s="5" t="s">
        <v>62</v>
      </c>
      <c r="H15" s="5" t="s">
        <v>62</v>
      </c>
      <c r="I15" s="5" t="s">
        <v>62</v>
      </c>
      <c r="J15" s="44">
        <v>0.07</v>
      </c>
      <c r="K15" s="4" t="s">
        <v>183</v>
      </c>
      <c r="L15" s="2"/>
    </row>
    <row r="16">
      <c r="A16" s="2"/>
      <c r="B16" s="3" t="s">
        <v>98</v>
      </c>
      <c r="C16" s="5" t="s">
        <v>62</v>
      </c>
      <c r="D16" s="5" t="s">
        <v>62</v>
      </c>
      <c r="E16" s="5" t="s">
        <v>62</v>
      </c>
      <c r="F16" s="5" t="s">
        <v>62</v>
      </c>
      <c r="G16" s="5" t="s">
        <v>62</v>
      </c>
      <c r="H16" s="5" t="s">
        <v>62</v>
      </c>
      <c r="I16" s="5" t="s">
        <v>62</v>
      </c>
      <c r="J16" s="31">
        <f>J40</f>
        <v>0</v>
      </c>
      <c r="K16" s="4" t="s">
        <v>184</v>
      </c>
      <c r="L16" s="2"/>
    </row>
    <row r="17">
      <c r="A17" s="2"/>
      <c r="B17" s="3" t="s">
        <v>99</v>
      </c>
      <c r="C17" s="5" t="s">
        <v>62</v>
      </c>
      <c r="D17" s="5" t="s">
        <v>62</v>
      </c>
      <c r="E17" s="5" t="s">
        <v>62</v>
      </c>
      <c r="F17" s="5" t="s">
        <v>62</v>
      </c>
      <c r="G17" s="5" t="s">
        <v>62</v>
      </c>
      <c r="H17" s="5" t="s">
        <v>62</v>
      </c>
      <c r="I17" s="5" t="s">
        <v>62</v>
      </c>
      <c r="J17" s="44">
        <v>0</v>
      </c>
      <c r="K17" s="4" t="s">
        <v>185</v>
      </c>
      <c r="L17" s="2"/>
    </row>
    <row r="18">
      <c r="A18" s="2"/>
      <c r="B18" s="3" t="s">
        <v>100</v>
      </c>
      <c r="C18" s="5" t="s">
        <v>62</v>
      </c>
      <c r="D18" s="5" t="s">
        <v>62</v>
      </c>
      <c r="E18" s="5" t="s">
        <v>62</v>
      </c>
      <c r="F18" s="5" t="s">
        <v>62</v>
      </c>
      <c r="G18" s="5" t="s">
        <v>62</v>
      </c>
      <c r="H18" s="5" t="s">
        <v>62</v>
      </c>
      <c r="I18" s="5" t="s">
        <v>62</v>
      </c>
      <c r="J18" s="31">
        <f>J15</f>
        <v>0.07</v>
      </c>
      <c r="K18" s="4" t="s">
        <v>186</v>
      </c>
      <c r="L18" s="2"/>
    </row>
    <row r="19">
      <c r="A19" s="2"/>
      <c r="B19" s="2" t="s">
        <v>187</v>
      </c>
      <c r="C19" s="12">
        <v>173.1</v>
      </c>
      <c r="D19" s="12">
        <v>162.2</v>
      </c>
      <c r="E19" s="12">
        <v>143</v>
      </c>
      <c r="F19" s="7">
        <f>G19-C19-D19-E19</f>
        <v>178.40000000000003</v>
      </c>
      <c r="G19" s="12">
        <v>656.7</v>
      </c>
      <c r="H19" s="12">
        <v>204.3</v>
      </c>
      <c r="I19" s="12">
        <v>181.7</v>
      </c>
      <c r="J19" s="46">
        <f>E19*(1+J23)*(1+J40)</f>
        <v>157.3</v>
      </c>
      <c r="K19" s="4" t="s">
        <v>180</v>
      </c>
      <c r="L19" s="2"/>
    </row>
    <row r="20">
      <c r="A20" s="2"/>
      <c r="B20" s="41" t="s">
        <v>108</v>
      </c>
      <c r="C20" s="12">
        <v>156.5</v>
      </c>
      <c r="D20" s="12">
        <v>147.8</v>
      </c>
      <c r="E20" s="12">
        <v>123.3</v>
      </c>
      <c r="F20" s="12">
        <v>161.5</v>
      </c>
      <c r="G20" s="12">
        <v>589.1</v>
      </c>
      <c r="H20" s="7">
        <f>C19</f>
        <v>173.1</v>
      </c>
      <c r="I20" s="7">
        <f>D19</f>
        <v>162.2</v>
      </c>
      <c r="J20" s="46">
        <f>E19</f>
        <v>143</v>
      </c>
      <c r="K20" s="4" t="s">
        <v>181</v>
      </c>
      <c r="L20" s="2"/>
    </row>
    <row r="21">
      <c r="A21" s="2"/>
      <c r="B21" s="3" t="s">
        <v>116</v>
      </c>
      <c r="C21" s="5">
        <f>IFERROR(IF(OR(C20&lt;=0,ABS(C19/C20-1)&gt;5),"n/m",C19/C20-1),"n/a")</f>
        <v>0.10607028753993597</v>
      </c>
      <c r="D21" s="5">
        <f>IFERROR(IF(OR(D20&lt;=0,ABS(D19/D20-1)&gt;5),"n/m",D19/D20-1),"n/a")</f>
        <v>0.09742895805142071</v>
      </c>
      <c r="E21" s="5">
        <f>IFERROR(IF(OR(E20&lt;=0,ABS(E19/E20-1)&gt;5),"n/m",E19/E20-1),"n/a")</f>
        <v>0.1597729115977291</v>
      </c>
      <c r="F21" s="5">
        <f>IFERROR(IF(OR(F20&lt;=0,ABS(F19/F20-1)&gt;5),"n/m",F19/F20-1),"n/a")</f>
        <v>0.10464396284829736</v>
      </c>
      <c r="G21" s="5">
        <f>IFERROR(IF(OR(G20&lt;=0,ABS(G19/G20-1)&gt;5),"n/m",G19/G20-1),"n/a")</f>
        <v>0.11475131556611795</v>
      </c>
      <c r="H21" s="5">
        <f>IFERROR(IF(OR(H20&lt;=0,ABS(H19/H20-1)&gt;5),"n/m",H19/H20-1),"n/a")</f>
        <v>0.18024263431542464</v>
      </c>
      <c r="I21" s="5">
        <f>IFERROR(IF(OR(I20&lt;=0,ABS(I19/I20-1)&gt;5),"n/m",I19/I20-1),"n/a")</f>
        <v>0.12022194821208387</v>
      </c>
      <c r="J21" s="31">
        <f>IFERROR(IF(OR(J20&lt;=0,ABS(J19/J20-1)&gt;5),"n/m",J19/J20-1),"n/a")</f>
        <v>0.10000000000000009</v>
      </c>
      <c r="K21" s="2"/>
      <c r="L21" s="2"/>
    </row>
    <row r="22">
      <c r="A22" s="2"/>
      <c r="B22" s="41" t="s">
        <v>96</v>
      </c>
      <c r="C22" s="7" t="s">
        <v>62</v>
      </c>
      <c r="D22" s="7">
        <f>IFERROR(D19-C19,"n/a")</f>
        <v>-10.900000000000006</v>
      </c>
      <c r="E22" s="7">
        <f>IFERROR(E19-D19,"n/a")</f>
        <v>-19.19999999999999</v>
      </c>
      <c r="F22" s="7">
        <f>IFERROR(F19-E19,"n/a")</f>
        <v>35.400000000000034</v>
      </c>
      <c r="G22" s="7" t="s">
        <v>62</v>
      </c>
      <c r="H22" s="7">
        <f>IFERROR(H19-F19,"n/a")</f>
        <v>25.899999999999977</v>
      </c>
      <c r="I22" s="7">
        <f>IFERROR(I19-H19,"n/a")</f>
        <v>-22.600000000000023</v>
      </c>
      <c r="J22" s="46">
        <f>IFERROR(J19-I19,"n/a")</f>
        <v>-24.399999999999977</v>
      </c>
      <c r="K22" s="2"/>
      <c r="L22" s="2"/>
    </row>
    <row r="23">
      <c r="A23" s="2"/>
      <c r="B23" s="3" t="s">
        <v>182</v>
      </c>
      <c r="C23" s="5" t="s">
        <v>62</v>
      </c>
      <c r="D23" s="5" t="s">
        <v>62</v>
      </c>
      <c r="E23" s="5" t="s">
        <v>62</v>
      </c>
      <c r="F23" s="5" t="s">
        <v>62</v>
      </c>
      <c r="G23" s="5" t="s">
        <v>62</v>
      </c>
      <c r="H23" s="5" t="s">
        <v>62</v>
      </c>
      <c r="I23" s="5" t="s">
        <v>62</v>
      </c>
      <c r="J23" s="44">
        <v>0.1</v>
      </c>
      <c r="K23" s="4" t="s">
        <v>183</v>
      </c>
      <c r="L23" s="2"/>
    </row>
    <row r="24">
      <c r="A24" s="2"/>
      <c r="B24" s="3" t="s">
        <v>98</v>
      </c>
      <c r="C24" s="5" t="s">
        <v>62</v>
      </c>
      <c r="D24" s="5" t="s">
        <v>62</v>
      </c>
      <c r="E24" s="5" t="s">
        <v>62</v>
      </c>
      <c r="F24" s="5" t="s">
        <v>62</v>
      </c>
      <c r="G24" s="5" t="s">
        <v>62</v>
      </c>
      <c r="H24" s="5" t="s">
        <v>62</v>
      </c>
      <c r="I24" s="5" t="s">
        <v>62</v>
      </c>
      <c r="J24" s="31">
        <f>J40</f>
        <v>0</v>
      </c>
      <c r="K24" s="4" t="s">
        <v>184</v>
      </c>
      <c r="L24" s="2"/>
    </row>
    <row r="25">
      <c r="A25" s="2"/>
      <c r="B25" s="3" t="s">
        <v>99</v>
      </c>
      <c r="C25" s="5" t="s">
        <v>62</v>
      </c>
      <c r="D25" s="5" t="s">
        <v>62</v>
      </c>
      <c r="E25" s="5" t="s">
        <v>62</v>
      </c>
      <c r="F25" s="5" t="s">
        <v>62</v>
      </c>
      <c r="G25" s="5" t="s">
        <v>62</v>
      </c>
      <c r="H25" s="5" t="s">
        <v>62</v>
      </c>
      <c r="I25" s="5" t="s">
        <v>62</v>
      </c>
      <c r="J25" s="44">
        <v>0</v>
      </c>
      <c r="K25" s="4" t="s">
        <v>185</v>
      </c>
      <c r="L25" s="2"/>
    </row>
    <row r="26">
      <c r="A26" s="2"/>
      <c r="B26" s="3" t="s">
        <v>100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 t="s">
        <v>62</v>
      </c>
      <c r="I26" s="5" t="s">
        <v>62</v>
      </c>
      <c r="J26" s="31">
        <f>J23</f>
        <v>0.1</v>
      </c>
      <c r="K26" s="4" t="s">
        <v>186</v>
      </c>
      <c r="L26" s="2"/>
    </row>
    <row r="27">
      <c r="A27" s="2"/>
      <c r="B27" s="47" t="s">
        <v>226</v>
      </c>
      <c r="C27" s="14">
        <f>C11+C19</f>
        <v>308.1</v>
      </c>
      <c r="D27" s="14">
        <f>D11+D19</f>
        <v>257.7</v>
      </c>
      <c r="E27" s="14">
        <f>E11+E19</f>
        <v>277.7</v>
      </c>
      <c r="F27" s="14">
        <f>F11+F19</f>
        <v>290.90000000000003</v>
      </c>
      <c r="G27" s="14">
        <f>G11+G19</f>
        <v>1134.4</v>
      </c>
      <c r="H27" s="14">
        <f>H11+H19</f>
        <v>347.5</v>
      </c>
      <c r="I27" s="14">
        <f>I11+I19</f>
        <v>283.7</v>
      </c>
      <c r="J27" s="36">
        <f>J11+J19</f>
        <v>301.429</v>
      </c>
      <c r="K27" s="4" t="s">
        <v>189</v>
      </c>
      <c r="L27" s="2"/>
    </row>
    <row r="28">
      <c r="A28" s="2"/>
      <c r="B28" s="41" t="s">
        <v>108</v>
      </c>
      <c r="C28" s="7">
        <f>C12+C20</f>
        <v>288.8</v>
      </c>
      <c r="D28" s="7">
        <f>D12+D20</f>
        <v>260</v>
      </c>
      <c r="E28" s="7">
        <f>E12+E20</f>
        <v>247.1</v>
      </c>
      <c r="F28" s="7">
        <f>F12+F20</f>
        <v>286.5</v>
      </c>
      <c r="G28" s="7">
        <f>G12+G20</f>
        <v>1082.4</v>
      </c>
      <c r="H28" s="7">
        <f>C27</f>
        <v>308.1</v>
      </c>
      <c r="I28" s="7">
        <f>D27</f>
        <v>257.7</v>
      </c>
      <c r="J28" s="46">
        <f>E27</f>
        <v>277.7</v>
      </c>
      <c r="K28" s="4" t="s">
        <v>190</v>
      </c>
      <c r="L28" s="2"/>
    </row>
    <row r="29">
      <c r="A29" s="2"/>
      <c r="B29" s="3" t="s">
        <v>95</v>
      </c>
      <c r="C29" s="5" t="s">
        <v>62</v>
      </c>
      <c r="D29" s="5">
        <f>IFERROR(IF(C27&lt;=0,"n/m",D27/C27-1),"n/a")</f>
        <v>-0.16358325219084724</v>
      </c>
      <c r="E29" s="5">
        <f>IFERROR(IF(D27&lt;=0,"n/m",E27/D27-1),"n/a")</f>
        <v>0.07760962359332568</v>
      </c>
      <c r="F29" s="5">
        <f>IFERROR(IF(E27&lt;=0,"n/m",F27/E27-1),"n/a")</f>
        <v>0.047533309326611706</v>
      </c>
      <c r="G29" s="5" t="s">
        <v>62</v>
      </c>
      <c r="H29" s="5">
        <f>IFERROR(IF(F27&lt;=0,"n/m",H27/F27-1),"n/a")</f>
        <v>0.19456858026813317</v>
      </c>
      <c r="I29" s="5">
        <f>IFERROR(IF(H27&lt;=0,"n/m",I27/H27-1),"n/a")</f>
        <v>-0.1835971223021583</v>
      </c>
      <c r="J29" s="31">
        <f>IFERROR(IF(I27&lt;=0,"n/m",J27/I27-1),"n/a")</f>
        <v>0.06249206908706384</v>
      </c>
      <c r="K29" s="2"/>
      <c r="L29" s="2"/>
    </row>
    <row r="30">
      <c r="A30" s="2"/>
      <c r="B30" s="41" t="s">
        <v>96</v>
      </c>
      <c r="C30" s="7" t="s">
        <v>62</v>
      </c>
      <c r="D30" s="7">
        <f>IFERROR(D27-C27,"n/a")</f>
        <v>-50.400000000000034</v>
      </c>
      <c r="E30" s="7">
        <f>IFERROR(E27-D27,"n/a")</f>
        <v>20</v>
      </c>
      <c r="F30" s="7">
        <f>IFERROR(F27-E27,"n/a")</f>
        <v>13.200000000000045</v>
      </c>
      <c r="G30" s="7" t="s">
        <v>62</v>
      </c>
      <c r="H30" s="7">
        <f>IFERROR(H27-F27,"n/a")</f>
        <v>56.599999999999966</v>
      </c>
      <c r="I30" s="7">
        <f>IFERROR(I27-H27,"n/a")</f>
        <v>-63.80000000000001</v>
      </c>
      <c r="J30" s="46">
        <f>IFERROR(J27-I27,"n/a")</f>
        <v>17.728999999999985</v>
      </c>
      <c r="K30" s="2"/>
      <c r="L30" s="2"/>
    </row>
    <row r="31">
      <c r="A31" s="2"/>
      <c r="B31" s="3" t="s">
        <v>191</v>
      </c>
      <c r="C31" s="10">
        <f>IFERROR(C27/'Income Statement'!C11,"n/a")</f>
        <v>0.20179460309143307</v>
      </c>
      <c r="D31" s="10">
        <f>IFERROR(D27/'Income Statement'!D11,"n/a")</f>
        <v>0.17821576763485478</v>
      </c>
      <c r="E31" s="10">
        <f>IFERROR(E27/'Income Statement'!E11,"n/a")</f>
        <v>0.17992743294026176</v>
      </c>
      <c r="F31" s="10">
        <f>IFERROR(F27/'Income Statement'!F11,"n/a")</f>
        <v>0.16474119379318153</v>
      </c>
      <c r="G31" s="10">
        <f>IFERROR(G27/'Income Statement'!G11,"n/a")</f>
        <v>0.18057943330149634</v>
      </c>
      <c r="H31" s="10">
        <f>IFERROR(H27/'Income Statement'!H11,"n/a")</f>
        <v>0.1994261119081779</v>
      </c>
      <c r="I31" s="10">
        <f>IFERROR(I27/'Income Statement'!I11,"n/a")</f>
        <v>0.18162612035851472</v>
      </c>
      <c r="J31" s="52">
        <f>IFERROR(J27/'Income Statement'!J11,"n/a")</f>
        <v>0.1844407815334313</v>
      </c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43" t="s">
        <v>192</v>
      </c>
      <c r="C33" s="2"/>
      <c r="D33" s="2"/>
      <c r="E33" s="2"/>
      <c r="F33" s="2"/>
      <c r="G33" s="2"/>
      <c r="H33" s="2"/>
      <c r="I33" s="2"/>
      <c r="J33" s="23"/>
      <c r="K33" s="2"/>
      <c r="L33" s="2"/>
    </row>
    <row r="34">
      <c r="A34" s="2"/>
      <c r="B34" s="3" t="s">
        <v>116</v>
      </c>
      <c r="C34" s="5">
        <f>IFERROR(IF(OR(C28&lt;=0,ABS(C27/C28-1)&gt;5),"n/m",C27/C28-1),"n/a")</f>
        <v>0.06682825484764554</v>
      </c>
      <c r="D34" s="5">
        <f>IFERROR(IF(OR(D28&lt;=0,ABS(D27/D28-1)&gt;5),"n/m",D27/D28-1),"n/a")</f>
        <v>-0.008846153846153837</v>
      </c>
      <c r="E34" s="5">
        <f>IFERROR(IF(OR(E28&lt;=0,ABS(E27/E28-1)&gt;5),"n/m",E27/E28-1),"n/a")</f>
        <v>0.12383650343990293</v>
      </c>
      <c r="F34" s="5">
        <f>IFERROR(IF(OR(F28&lt;=0,ABS(F27/F28-1)&gt;5),"n/m",F27/F28-1),"n/a")</f>
        <v>0.015357766143106577</v>
      </c>
      <c r="G34" s="5">
        <f>IFERROR(IF(OR(G28&lt;=0,ABS(G27/G28-1)&gt;5),"n/m",G27/G28-1),"n/a")</f>
        <v>0.04804138950480419</v>
      </c>
      <c r="H34" s="5">
        <f>IFERROR(IF(OR(H28&lt;=0,ABS(H27/H28-1)&gt;5),"n/m",H27/H28-1),"n/a")</f>
        <v>0.1278805582603051</v>
      </c>
      <c r="I34" s="5">
        <f>IFERROR(IF(OR(I28&lt;=0,ABS(I27/I28-1)&gt;5),"n/m",I27/I28-1),"n/a")</f>
        <v>0.10089251067132321</v>
      </c>
      <c r="J34" s="31">
        <f>IFERROR(IF(OR(J28&lt;=0,ABS(J27/J28-1)&gt;5),"n/m",J27/J28-1),"n/a")</f>
        <v>0.08544832553114867</v>
      </c>
      <c r="K34" s="97" t="s">
        <v>193</v>
      </c>
      <c r="L34" s="2"/>
    </row>
    <row r="35">
      <c r="A35" s="2"/>
      <c r="B35" s="41" t="s">
        <v>117</v>
      </c>
      <c r="C35" s="12">
        <v>-8.7</v>
      </c>
      <c r="D35" s="12">
        <v>-2.7</v>
      </c>
      <c r="E35" s="12">
        <v>0.1</v>
      </c>
      <c r="F35" s="12">
        <v>-7.5</v>
      </c>
      <c r="G35" s="12">
        <v>-18.7</v>
      </c>
      <c r="H35" s="12">
        <v>1.1</v>
      </c>
      <c r="I35" s="12">
        <v>-4.2</v>
      </c>
      <c r="J35" s="46">
        <f>J28*J40</f>
        <v>0</v>
      </c>
      <c r="K35" s="4" t="s">
        <v>223</v>
      </c>
      <c r="L35" s="2"/>
    </row>
    <row r="36">
      <c r="A36" s="2"/>
      <c r="B36" s="41" t="s">
        <v>119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49">
        <v>0</v>
      </c>
      <c r="K36" s="2"/>
      <c r="L36" s="2"/>
    </row>
    <row r="37">
      <c r="A37" s="2"/>
      <c r="B37" s="41" t="s">
        <v>120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49">
        <v>0</v>
      </c>
      <c r="K37" s="2"/>
      <c r="L37" s="2"/>
    </row>
    <row r="38">
      <c r="A38" s="2"/>
      <c r="B38" s="41" t="s">
        <v>121</v>
      </c>
      <c r="C38" s="7">
        <f>C27+C37</f>
        <v>308.1</v>
      </c>
      <c r="D38" s="7">
        <f>D27+D37</f>
        <v>257.7</v>
      </c>
      <c r="E38" s="7">
        <f>E27+E37</f>
        <v>277.7</v>
      </c>
      <c r="F38" s="7">
        <f>F27+F37</f>
        <v>290.90000000000003</v>
      </c>
      <c r="G38" s="7">
        <f>G27+G37</f>
        <v>1134.4</v>
      </c>
      <c r="H38" s="7">
        <f>H27+H37</f>
        <v>347.5</v>
      </c>
      <c r="I38" s="7">
        <f>I27+I37</f>
        <v>283.7</v>
      </c>
      <c r="J38" s="46">
        <f>J27+J37</f>
        <v>301.429</v>
      </c>
      <c r="K38" s="2"/>
      <c r="L38" s="2"/>
    </row>
    <row r="39">
      <c r="A39" s="2"/>
      <c r="B39" s="41" t="s">
        <v>122</v>
      </c>
      <c r="C39" s="7">
        <f>C28+C35+C36</f>
        <v>280.1</v>
      </c>
      <c r="D39" s="7">
        <f>D28+D35+D36</f>
        <v>257.3</v>
      </c>
      <c r="E39" s="7">
        <f>E28+E35+E36</f>
        <v>247.2</v>
      </c>
      <c r="F39" s="7">
        <f>F28+F35+F36</f>
        <v>279</v>
      </c>
      <c r="G39" s="7">
        <f>G28+G35+G36</f>
        <v>1063.7</v>
      </c>
      <c r="H39" s="7">
        <f>H28+H35+H36</f>
        <v>309.20000000000005</v>
      </c>
      <c r="I39" s="7">
        <f>I28+I35+I36</f>
        <v>253.5</v>
      </c>
      <c r="J39" s="46">
        <f>J28+J35+J36</f>
        <v>277.7</v>
      </c>
      <c r="K39" s="2"/>
      <c r="L39" s="2"/>
    </row>
    <row r="40">
      <c r="A40" s="2"/>
      <c r="B40" s="3" t="s">
        <v>98</v>
      </c>
      <c r="C40" s="5">
        <f>IFERROR(C35/C28,"n/a")</f>
        <v>-0.030124653739612185</v>
      </c>
      <c r="D40" s="5">
        <f>IFERROR(D35/D28,"n/a")</f>
        <v>-0.010384615384615384</v>
      </c>
      <c r="E40" s="5">
        <f>IFERROR(E35/E28,"n/a")</f>
        <v>0.00040469445568595716</v>
      </c>
      <c r="F40" s="5">
        <f>IFERROR(F35/F28,"n/a")</f>
        <v>-0.02617801047120419</v>
      </c>
      <c r="G40" s="5">
        <f>IFERROR(G35/G28,"n/a")</f>
        <v>-0.01727642276422764</v>
      </c>
      <c r="H40" s="5">
        <f>IFERROR(H35/H28,"n/a")</f>
        <v>0.0035702693930542034</v>
      </c>
      <c r="I40" s="5">
        <f>IFERROR(I35/I28,"n/a")</f>
        <v>-0.016298020954598372</v>
      </c>
      <c r="J40" s="44">
        <v>0</v>
      </c>
      <c r="K40" s="2"/>
      <c r="L40" s="2"/>
    </row>
    <row r="41">
      <c r="A41" s="2"/>
      <c r="B41" s="41" t="s">
        <v>195</v>
      </c>
      <c r="C41" s="30" t="s">
        <v>62</v>
      </c>
      <c r="D41" s="30" t="s">
        <v>62</v>
      </c>
      <c r="E41" s="30" t="s">
        <v>62</v>
      </c>
      <c r="F41" s="30" t="s">
        <v>62</v>
      </c>
      <c r="G41" s="30" t="s">
        <v>62</v>
      </c>
      <c r="H41" s="30">
        <f>IFERROR((H40-C40)*10000,"n/a")</f>
        <v>336.9492313266639</v>
      </c>
      <c r="I41" s="30">
        <f>IFERROR((I40-D40)*10000,"n/a")</f>
        <v>-59.13405569982988</v>
      </c>
      <c r="J41" s="51">
        <f>IFERROR((J40-E40)*10000,"n/a")</f>
        <v>-4.046944556859572</v>
      </c>
      <c r="K41" s="2"/>
      <c r="L41" s="2"/>
    </row>
    <row r="42">
      <c r="A42" s="2"/>
      <c r="B42" s="3" t="s">
        <v>99</v>
      </c>
      <c r="C42" s="5">
        <f>IFERROR((C28+C35+C36)/(C28+C35)*C27/(C27+C37)-1,"n/a")</f>
        <v>0</v>
      </c>
      <c r="D42" s="5">
        <f>IFERROR((D28+D35+D36)/(D28+D35)*D27/(D27+D37)-1,"n/a")</f>
        <v>0</v>
      </c>
      <c r="E42" s="5">
        <f>IFERROR((E28+E35+E36)/(E28+E35)*E27/(E27+E37)-1,"n/a")</f>
        <v>0</v>
      </c>
      <c r="F42" s="5">
        <f>IFERROR((F28+F35+F36)/(F28+F35)*F27/(F27+F37)-1,"n/a")</f>
        <v>0</v>
      </c>
      <c r="G42" s="5">
        <f>IFERROR((G28+G35+G36)/(G28+G35)*G27/(G27+G37)-1,"n/a")</f>
        <v>0</v>
      </c>
      <c r="H42" s="5">
        <f>IFERROR((H28+H35+H36)/(H28+H35)*H27/(H27+H37)-1,"n/a")</f>
        <v>0</v>
      </c>
      <c r="I42" s="5">
        <f>IFERROR((I28+I35+I36)/(I28+I35)*I27/(I27+I37)-1,"n/a")</f>
        <v>0</v>
      </c>
      <c r="J42" s="31">
        <f>IFERROR((J28+J35+J36)/(J28+J35)*J27/(J27+J37)-1,"n/a")</f>
        <v>0</v>
      </c>
      <c r="K42" s="2"/>
      <c r="L42" s="2"/>
    </row>
    <row r="43">
      <c r="A43" s="2"/>
      <c r="B43" s="3" t="s">
        <v>100</v>
      </c>
      <c r="C43" s="5">
        <f>IFERROR((1+C34)/((1+C42)*(1+C40))-1,"n/a")</f>
        <v>0.09996429846483412</v>
      </c>
      <c r="D43" s="5">
        <f>IFERROR((1+D34)/((1+D42)*(1+D40))-1,"n/a")</f>
        <v>0.001554605518849561</v>
      </c>
      <c r="E43" s="5">
        <f>IFERROR((1+E34)/((1+E42)*(1+E40))-1,"n/a")</f>
        <v>0.1233818770226538</v>
      </c>
      <c r="F43" s="5">
        <f>IFERROR((1+F34)/((1+F42)*(1+F40))-1,"n/a")</f>
        <v>0.042652329749103934</v>
      </c>
      <c r="G43" s="5">
        <f>IFERROR((1+G34)/((1+G42)*(1+G40))-1,"n/a")</f>
        <v>0.06646610886528159</v>
      </c>
      <c r="H43" s="5">
        <f>IFERROR((1+H34)/((1+H42)*(1+H40))-1,"n/a")</f>
        <v>0.12386804657179828</v>
      </c>
      <c r="I43" s="5">
        <f>IFERROR((1+I34)/((1+I42)*(1+I40))-1,"n/a")</f>
        <v>0.11913214990138066</v>
      </c>
      <c r="J43" s="31">
        <f>IFERROR((1+J34)/((1+J42)*(1+J40))-1,"n/a")</f>
        <v>0.08544832553114867</v>
      </c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3" t="s">
        <v>196</v>
      </c>
      <c r="C45" s="2"/>
      <c r="D45" s="2"/>
      <c r="E45" s="2"/>
      <c r="F45" s="2"/>
      <c r="G45" s="2"/>
      <c r="H45" s="2"/>
      <c r="I45" s="2"/>
      <c r="J45" s="23"/>
      <c r="K45" s="2"/>
      <c r="L45" s="2"/>
    </row>
    <row r="46">
      <c r="A46" s="2"/>
      <c r="B46" s="21" t="s">
        <v>197</v>
      </c>
      <c r="C46" s="5">
        <f>IFERROR(C19/C27,"n/a")</f>
        <v>0.5618305744888022</v>
      </c>
      <c r="D46" s="5">
        <f>IFERROR(D19/D27,"n/a")</f>
        <v>0.6294140473418703</v>
      </c>
      <c r="E46" s="5">
        <f>IFERROR(E19/E27,"n/a")</f>
        <v>0.514944184371624</v>
      </c>
      <c r="F46" s="5">
        <f>IFERROR(F19/F27,"n/a")</f>
        <v>0.6132691646613957</v>
      </c>
      <c r="G46" s="5">
        <f>IFERROR(G19/G27,"n/a")</f>
        <v>0.5788963328631875</v>
      </c>
      <c r="H46" s="5">
        <f>IFERROR(H19/H27,"n/a")</f>
        <v>0.5879136690647482</v>
      </c>
      <c r="I46" s="5">
        <f>IFERROR(I19/I27,"n/a")</f>
        <v>0.6404652802255903</v>
      </c>
      <c r="J46" s="31">
        <f>IFERROR(J19/J27,"n/a")</f>
        <v>0.5218475992688163</v>
      </c>
      <c r="K46" s="2"/>
      <c r="L46" s="2"/>
    </row>
    <row r="47">
      <c r="A47" s="2"/>
      <c r="B47" s="41" t="s">
        <v>153</v>
      </c>
      <c r="C47" s="30" t="s">
        <v>62</v>
      </c>
      <c r="D47" s="30" t="s">
        <v>62</v>
      </c>
      <c r="E47" s="30" t="s">
        <v>62</v>
      </c>
      <c r="F47" s="30" t="s">
        <v>62</v>
      </c>
      <c r="G47" s="30" t="s">
        <v>62</v>
      </c>
      <c r="H47" s="30">
        <f>IFERROR((H46-C46)*10000,"n/a")</f>
        <v>260.8309457594593</v>
      </c>
      <c r="I47" s="30">
        <f>IFERROR((I46-D46)*10000,"n/a")</f>
        <v>110.51232883720007</v>
      </c>
      <c r="J47" s="51">
        <f>IFERROR((J46-E46)*10000,"n/a")</f>
        <v>69.03414897192262</v>
      </c>
      <c r="K47" s="2"/>
      <c r="L47" s="2"/>
    </row>
    <row r="48">
      <c r="A48" s="2"/>
      <c r="B48" s="21" t="s">
        <v>198</v>
      </c>
      <c r="C48" s="5">
        <f>IFERROR(C11/C27,"n/a")</f>
        <v>0.43816942551119764</v>
      </c>
      <c r="D48" s="5">
        <f>IFERROR(D11/D27,"n/a")</f>
        <v>0.3705859526581296</v>
      </c>
      <c r="E48" s="5">
        <f>IFERROR(E11/E27,"n/a")</f>
        <v>0.4850558156283759</v>
      </c>
      <c r="F48" s="5">
        <f>IFERROR(F11/F27,"n/a")</f>
        <v>0.3867308353386043</v>
      </c>
      <c r="G48" s="5">
        <f>IFERROR(G11/G27,"n/a")</f>
        <v>0.42110366713681235</v>
      </c>
      <c r="H48" s="5">
        <f>IFERROR(H11/H27,"n/a")</f>
        <v>0.41208633093525177</v>
      </c>
      <c r="I48" s="5">
        <f>IFERROR(I11/I27,"n/a")</f>
        <v>0.3595347197744096</v>
      </c>
      <c r="J48" s="31">
        <f>IFERROR(J11/J27,"n/a")</f>
        <v>0.4781524007311838</v>
      </c>
      <c r="K48" s="2"/>
      <c r="L48" s="2"/>
    </row>
    <row r="49">
      <c r="A49" s="2"/>
      <c r="B49" s="41" t="s">
        <v>153</v>
      </c>
      <c r="C49" s="30" t="s">
        <v>62</v>
      </c>
      <c r="D49" s="30" t="s">
        <v>62</v>
      </c>
      <c r="E49" s="30" t="s">
        <v>62</v>
      </c>
      <c r="F49" s="30" t="s">
        <v>62</v>
      </c>
      <c r="G49" s="30" t="s">
        <v>62</v>
      </c>
      <c r="H49" s="30">
        <f>IFERROR((H48-C48)*10000,"n/a")</f>
        <v>-260.83094575945876</v>
      </c>
      <c r="I49" s="30">
        <f>IFERROR((I48-D48)*10000,"n/a")</f>
        <v>-110.51232883720007</v>
      </c>
      <c r="J49" s="51">
        <f>IFERROR((J48-E48)*10000,"n/a")</f>
        <v>-69.03414897192096</v>
      </c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43" t="s">
        <v>199</v>
      </c>
      <c r="C51" s="2"/>
      <c r="D51" s="2"/>
      <c r="E51" s="2"/>
      <c r="F51" s="2"/>
      <c r="G51" s="2"/>
      <c r="H51" s="2"/>
      <c r="I51" s="2"/>
      <c r="J51" s="23"/>
      <c r="K51" s="2"/>
      <c r="L51" s="2"/>
    </row>
    <row r="52">
      <c r="A52" s="2"/>
      <c r="B52" s="2" t="s">
        <v>200</v>
      </c>
      <c r="C52" s="12">
        <v>117.4</v>
      </c>
      <c r="D52" s="12">
        <v>94.8</v>
      </c>
      <c r="E52" s="7" t="s">
        <v>62</v>
      </c>
      <c r="F52" s="7" t="s">
        <v>62</v>
      </c>
      <c r="G52" s="12">
        <v>441.5</v>
      </c>
      <c r="H52" s="12">
        <v>128.8</v>
      </c>
      <c r="I52" s="12">
        <v>97.7</v>
      </c>
      <c r="J52" s="46">
        <f>J27*(1-J57)</f>
        <v>108.51444</v>
      </c>
      <c r="K52" s="4" t="s">
        <v>201</v>
      </c>
      <c r="L52" s="2"/>
    </row>
    <row r="53">
      <c r="A53" s="2"/>
      <c r="B53" s="3" t="s">
        <v>94</v>
      </c>
      <c r="C53" s="5" t="s">
        <v>62</v>
      </c>
      <c r="D53" s="5" t="s">
        <v>62</v>
      </c>
      <c r="E53" s="5" t="s">
        <v>62</v>
      </c>
      <c r="F53" s="5" t="s">
        <v>62</v>
      </c>
      <c r="G53" s="5" t="s">
        <v>62</v>
      </c>
      <c r="H53" s="5">
        <f>IFERROR(IF(OR(C52&lt;=0,ABS(H52/C52-1)&gt;5),"n/m",H52/C52-1),"n/a")</f>
        <v>0.09710391822827935</v>
      </c>
      <c r="I53" s="5">
        <f>IFERROR(IF(OR(D52&lt;=0,ABS(I52/D52-1)&gt;5),"n/m",I52/D52-1),"n/a")</f>
        <v>0.030590717299578074</v>
      </c>
      <c r="J53" s="31" t="str">
        <f>IFERROR(IF(OR(E52&lt;=0,ABS(J52/E52-1)&gt;5),"n/m",J52/E52-1),"n/a")</f>
        <v>n/a</v>
      </c>
      <c r="K53" s="2"/>
      <c r="L53" s="2"/>
    </row>
    <row r="54">
      <c r="A54" s="2"/>
      <c r="B54" s="41" t="s">
        <v>96</v>
      </c>
      <c r="C54" s="7" t="s">
        <v>62</v>
      </c>
      <c r="D54" s="7">
        <f>IFERROR(D52-C52,"n/a")</f>
        <v>-22.60000000000001</v>
      </c>
      <c r="E54" s="7" t="str">
        <f>IFERROR(E52-D52,"n/a")</f>
        <v>n/a</v>
      </c>
      <c r="F54" s="7" t="str">
        <f>IFERROR(F52-E52,"n/a")</f>
        <v>n/a</v>
      </c>
      <c r="G54" s="7" t="s">
        <v>62</v>
      </c>
      <c r="H54" s="7" t="str">
        <f>IFERROR(H52-F52,"n/a")</f>
        <v>n/a</v>
      </c>
      <c r="I54" s="7">
        <f>IFERROR(I52-H52,"n/a")</f>
        <v>-31.10000000000001</v>
      </c>
      <c r="J54" s="46">
        <f>IFERROR(J52-I52,"n/a")</f>
        <v>10.81443999999999</v>
      </c>
      <c r="K54" s="2"/>
      <c r="L54" s="2"/>
    </row>
    <row r="55">
      <c r="A55" s="2"/>
      <c r="B55" s="47" t="s">
        <v>202</v>
      </c>
      <c r="C55" s="14">
        <f>C27-C52</f>
        <v>190.70000000000002</v>
      </c>
      <c r="D55" s="14">
        <f>D27-D52</f>
        <v>162.89999999999998</v>
      </c>
      <c r="E55" s="14" t="s">
        <v>62</v>
      </c>
      <c r="F55" s="14" t="s">
        <v>62</v>
      </c>
      <c r="G55" s="14">
        <f>G27-G52</f>
        <v>692.9000000000001</v>
      </c>
      <c r="H55" s="14">
        <f>H27-H52</f>
        <v>218.7</v>
      </c>
      <c r="I55" s="14">
        <f>I27-I52</f>
        <v>186</v>
      </c>
      <c r="J55" s="36">
        <f>J27-J52</f>
        <v>192.91456</v>
      </c>
      <c r="K55" s="2"/>
      <c r="L55" s="2"/>
    </row>
    <row r="56">
      <c r="A56" s="2"/>
      <c r="B56" s="3" t="s">
        <v>94</v>
      </c>
      <c r="C56" s="5" t="s">
        <v>62</v>
      </c>
      <c r="D56" s="5" t="s">
        <v>62</v>
      </c>
      <c r="E56" s="5" t="s">
        <v>62</v>
      </c>
      <c r="F56" s="5" t="s">
        <v>62</v>
      </c>
      <c r="G56" s="5" t="s">
        <v>62</v>
      </c>
      <c r="H56" s="5">
        <f>IFERROR(IF(OR(C55&lt;=0,ABS(H55/C55-1)&gt;5),"n/m",H55/C55-1),"n/a")</f>
        <v>0.1468274777136862</v>
      </c>
      <c r="I56" s="5">
        <f>IFERROR(IF(OR(D55&lt;=0,ABS(I55/D55-1)&gt;5),"n/m",I55/D55-1),"n/a")</f>
        <v>0.14180478821362819</v>
      </c>
      <c r="J56" s="31" t="str">
        <f>IFERROR(IF(OR(E55&lt;=0,ABS(J55/E55-1)&gt;5),"n/m",J55/E55-1),"n/a")</f>
        <v>n/a</v>
      </c>
      <c r="K56" s="2"/>
      <c r="L56" s="2"/>
    </row>
    <row r="57">
      <c r="A57" s="2"/>
      <c r="B57" s="21" t="s">
        <v>203</v>
      </c>
      <c r="C57" s="5">
        <f>IFERROR(C55/C27,"n/a")</f>
        <v>0.6189548847776696</v>
      </c>
      <c r="D57" s="5">
        <f>IFERROR(D55/D27,"n/a")</f>
        <v>0.6321303841676367</v>
      </c>
      <c r="E57" s="5" t="s">
        <v>62</v>
      </c>
      <c r="F57" s="5" t="s">
        <v>62</v>
      </c>
      <c r="G57" s="5">
        <f>IFERROR(G55/G27,"n/a")</f>
        <v>0.6108074753173484</v>
      </c>
      <c r="H57" s="5">
        <f>IFERROR(H55/H27,"n/a")</f>
        <v>0.6293525179856114</v>
      </c>
      <c r="I57" s="5">
        <f>IFERROR(I55/I27,"n/a")</f>
        <v>0.6556221360592175</v>
      </c>
      <c r="J57" s="44">
        <v>0.64</v>
      </c>
      <c r="K57" s="4" t="s">
        <v>204</v>
      </c>
      <c r="L57" s="2"/>
    </row>
    <row r="58">
      <c r="A58" s="2"/>
      <c r="B58" s="41" t="s">
        <v>153</v>
      </c>
      <c r="C58" s="30" t="s">
        <v>62</v>
      </c>
      <c r="D58" s="30" t="s">
        <v>62</v>
      </c>
      <c r="E58" s="30" t="s">
        <v>62</v>
      </c>
      <c r="F58" s="30" t="s">
        <v>62</v>
      </c>
      <c r="G58" s="30" t="s">
        <v>62</v>
      </c>
      <c r="H58" s="30">
        <f>IFERROR((H57-C57)*10000,"n/a")</f>
        <v>103.97633207941848</v>
      </c>
      <c r="I58" s="30">
        <f>IFERROR((I57-D57)*10000,"n/a")</f>
        <v>234.91751891580813</v>
      </c>
      <c r="J58" s="51" t="str">
        <f>IFERROR((J57-E57)*10000,"n/a")</f>
        <v>n/a</v>
      </c>
      <c r="K58" s="2"/>
      <c r="L58" s="2"/>
    </row>
    <row r="59">
      <c r="A59" s="2"/>
      <c r="B59" s="2" t="s">
        <v>205</v>
      </c>
      <c r="C59" s="12">
        <v>132.8</v>
      </c>
      <c r="D59" s="12">
        <v>133.3</v>
      </c>
      <c r="E59" s="7" t="s">
        <v>62</v>
      </c>
      <c r="F59" s="7" t="s">
        <v>62</v>
      </c>
      <c r="G59" s="12">
        <v>544.3</v>
      </c>
      <c r="H59" s="12">
        <v>148.3</v>
      </c>
      <c r="I59" s="12">
        <v>143.5</v>
      </c>
      <c r="J59" s="46">
        <f>J55-J64</f>
        <v>150.7145</v>
      </c>
      <c r="K59" s="4" t="s">
        <v>206</v>
      </c>
      <c r="L59" s="2"/>
    </row>
    <row r="60">
      <c r="A60" s="2"/>
      <c r="B60" s="3" t="s">
        <v>94</v>
      </c>
      <c r="C60" s="5" t="s">
        <v>62</v>
      </c>
      <c r="D60" s="5" t="s">
        <v>62</v>
      </c>
      <c r="E60" s="5" t="s">
        <v>62</v>
      </c>
      <c r="F60" s="5" t="s">
        <v>62</v>
      </c>
      <c r="G60" s="5" t="s">
        <v>62</v>
      </c>
      <c r="H60" s="5">
        <f>IFERROR(IF(OR(C59&lt;=0,ABS(H59/C59-1)&gt;5),"n/m",H59/C59-1),"n/a")</f>
        <v>0.11671686746987953</v>
      </c>
      <c r="I60" s="5">
        <f>IFERROR(IF(OR(D59&lt;=0,ABS(I59/D59-1)&gt;5),"n/m",I59/D59-1),"n/a")</f>
        <v>0.07651912978244546</v>
      </c>
      <c r="J60" s="31" t="str">
        <f>IFERROR(IF(OR(E59&lt;=0,ABS(J59/E59-1)&gt;5),"n/m",J59/E59-1),"n/a")</f>
        <v>n/a</v>
      </c>
      <c r="K60" s="2"/>
      <c r="L60" s="2"/>
    </row>
    <row r="61">
      <c r="A61" s="2"/>
      <c r="B61" s="41" t="s">
        <v>96</v>
      </c>
      <c r="C61" s="7" t="s">
        <v>62</v>
      </c>
      <c r="D61" s="7">
        <f>IFERROR(D59-C59,"n/a")</f>
        <v>0.5</v>
      </c>
      <c r="E61" s="7" t="str">
        <f>IFERROR(E59-D59,"n/a")</f>
        <v>n/a</v>
      </c>
      <c r="F61" s="7" t="str">
        <f>IFERROR(F59-E59,"n/a")</f>
        <v>n/a</v>
      </c>
      <c r="G61" s="7" t="s">
        <v>62</v>
      </c>
      <c r="H61" s="7" t="str">
        <f>IFERROR(H59-F59,"n/a")</f>
        <v>n/a</v>
      </c>
      <c r="I61" s="7">
        <f>IFERROR(I59-H59,"n/a")</f>
        <v>-4.800000000000011</v>
      </c>
      <c r="J61" s="46">
        <f>IFERROR(J59-I59,"n/a")</f>
        <v>7.214499999999987</v>
      </c>
      <c r="K61" s="2"/>
      <c r="L61" s="2"/>
    </row>
    <row r="62">
      <c r="A62" s="2"/>
      <c r="B62" s="21" t="s">
        <v>207</v>
      </c>
      <c r="C62" s="5">
        <f>IFERROR(C59/C27,"n/a")</f>
        <v>0.43102888672508927</v>
      </c>
      <c r="D62" s="5">
        <f>IFERROR(D59/D27,"n/a")</f>
        <v>0.517268141249515</v>
      </c>
      <c r="E62" s="5" t="s">
        <v>62</v>
      </c>
      <c r="F62" s="5" t="s">
        <v>62</v>
      </c>
      <c r="G62" s="5">
        <f>IFERROR(G59/G27,"n/a")</f>
        <v>0.4798131170662905</v>
      </c>
      <c r="H62" s="5">
        <f>IFERROR(H59/H27,"n/a")</f>
        <v>0.4267625899280576</v>
      </c>
      <c r="I62" s="5">
        <f>IFERROR(I59/I27,"n/a")</f>
        <v>0.5058160028198802</v>
      </c>
      <c r="J62" s="31">
        <f>IFERROR(J59/J27,"n/a")</f>
        <v>0.5</v>
      </c>
      <c r="K62" s="2"/>
      <c r="L62" s="2"/>
    </row>
    <row r="63">
      <c r="A63" s="2"/>
      <c r="B63" s="41" t="s">
        <v>153</v>
      </c>
      <c r="C63" s="30" t="s">
        <v>62</v>
      </c>
      <c r="D63" s="30" t="s">
        <v>62</v>
      </c>
      <c r="E63" s="30" t="s">
        <v>62</v>
      </c>
      <c r="F63" s="30" t="s">
        <v>62</v>
      </c>
      <c r="G63" s="30" t="s">
        <v>62</v>
      </c>
      <c r="H63" s="30">
        <f>IFERROR((H62-C62)*10000,"n/a")</f>
        <v>-42.66296797031666</v>
      </c>
      <c r="I63" s="30">
        <f>IFERROR((I62-D62)*10000,"n/a")</f>
        <v>-114.52138429634884</v>
      </c>
      <c r="J63" s="51" t="str">
        <f>IFERROR((J62-E62)*10000,"n/a")</f>
        <v>n/a</v>
      </c>
      <c r="K63" s="2"/>
      <c r="L63" s="2"/>
    </row>
    <row r="64">
      <c r="A64" s="2"/>
      <c r="B64" s="47" t="s">
        <v>227</v>
      </c>
      <c r="C64" s="35">
        <v>57.9</v>
      </c>
      <c r="D64" s="35">
        <v>29.6</v>
      </c>
      <c r="E64" s="35">
        <v>33.4</v>
      </c>
      <c r="F64" s="14">
        <f>G64-C64-D64-E64</f>
        <v>27.69999999999999</v>
      </c>
      <c r="G64" s="35">
        <v>148.6</v>
      </c>
      <c r="H64" s="35">
        <v>70.4</v>
      </c>
      <c r="I64" s="35">
        <v>42.5</v>
      </c>
      <c r="J64" s="36">
        <f>J27*J68</f>
        <v>42.20006</v>
      </c>
      <c r="K64" s="4" t="s">
        <v>210</v>
      </c>
      <c r="L64" s="2"/>
    </row>
    <row r="65">
      <c r="A65" s="2"/>
      <c r="B65" s="41" t="s">
        <v>108</v>
      </c>
      <c r="C65" s="12">
        <v>48</v>
      </c>
      <c r="D65" s="12">
        <v>34</v>
      </c>
      <c r="E65" s="12">
        <v>28.5</v>
      </c>
      <c r="F65" s="12">
        <v>23.9</v>
      </c>
      <c r="G65" s="12">
        <v>134.9</v>
      </c>
      <c r="H65" s="7">
        <f>C64</f>
        <v>57.9</v>
      </c>
      <c r="I65" s="7">
        <f>D64</f>
        <v>29.6</v>
      </c>
      <c r="J65" s="46">
        <f>E64</f>
        <v>33.4</v>
      </c>
      <c r="K65" s="4" t="s">
        <v>211</v>
      </c>
      <c r="L65" s="2"/>
    </row>
    <row r="66">
      <c r="A66" s="2"/>
      <c r="B66" s="3" t="s">
        <v>94</v>
      </c>
      <c r="C66" s="5">
        <f>IFERROR(IF(OR(C65&lt;=0,ABS(C64/C65-1)&gt;5),"n/m",C64/C65-1),"n/a")</f>
        <v>0.20625000000000004</v>
      </c>
      <c r="D66" s="5">
        <f>IFERROR(IF(OR(D65&lt;=0,ABS(D64/D65-1)&gt;5),"n/m",D64/D65-1),"n/a")</f>
        <v>-0.12941176470588234</v>
      </c>
      <c r="E66" s="5">
        <f>IFERROR(IF(OR(E65&lt;=0,ABS(E64/E65-1)&gt;5),"n/m",E64/E65-1),"n/a")</f>
        <v>0.17192982456140338</v>
      </c>
      <c r="F66" s="5">
        <f>IFERROR(IF(OR(F65&lt;=0,ABS(F64/F65-1)&gt;5),"n/m",F64/F65-1),"n/a")</f>
        <v>0.15899581589958123</v>
      </c>
      <c r="G66" s="5">
        <f>IFERROR(IF(OR(G65&lt;=0,ABS(G64/G65-1)&gt;5),"n/m",G64/G65-1),"n/a")</f>
        <v>0.10155670867309108</v>
      </c>
      <c r="H66" s="5">
        <f>IFERROR(IF(OR(H65&lt;=0,ABS(H64/H65-1)&gt;5),"n/m",H64/H65-1),"n/a")</f>
        <v>0.21588946459412783</v>
      </c>
      <c r="I66" s="5">
        <f>IFERROR(IF(OR(I65&lt;=0,ABS(I64/I65-1)&gt;5),"n/m",I64/I65-1),"n/a")</f>
        <v>0.43581081081081074</v>
      </c>
      <c r="J66" s="31">
        <f>IFERROR(IF(OR(J65&lt;=0,ABS(J64/J65-1)&gt;5),"n/m",J64/J65-1),"n/a")</f>
        <v>0.2634748502994013</v>
      </c>
      <c r="K66" s="2"/>
      <c r="L66" s="2"/>
    </row>
    <row r="67">
      <c r="A67" s="2"/>
      <c r="B67" s="41" t="s">
        <v>96</v>
      </c>
      <c r="C67" s="7" t="s">
        <v>62</v>
      </c>
      <c r="D67" s="7">
        <f>IFERROR(D64-C64,"n/a")</f>
        <v>-28.299999999999997</v>
      </c>
      <c r="E67" s="7">
        <f>IFERROR(E64-D64,"n/a")</f>
        <v>3.799999999999997</v>
      </c>
      <c r="F67" s="7">
        <f>IFERROR(F64-E64,"n/a")</f>
        <v>-5.70000000000001</v>
      </c>
      <c r="G67" s="7" t="s">
        <v>62</v>
      </c>
      <c r="H67" s="7">
        <f>IFERROR(H64-F64,"n/a")</f>
        <v>42.70000000000002</v>
      </c>
      <c r="I67" s="7">
        <f>IFERROR(I64-H64,"n/a")</f>
        <v>-27.900000000000006</v>
      </c>
      <c r="J67" s="46">
        <f>IFERROR(J64-I64,"n/a")</f>
        <v>-0.29993999999999943</v>
      </c>
      <c r="K67" s="2"/>
      <c r="L67" s="2"/>
    </row>
    <row r="68">
      <c r="A68" s="2"/>
      <c r="B68" s="21" t="s">
        <v>212</v>
      </c>
      <c r="C68" s="5">
        <f>IFERROR(C64/C27,"n/a")</f>
        <v>0.1879259980525803</v>
      </c>
      <c r="D68" s="5">
        <f>IFERROR(D64/D27,"n/a")</f>
        <v>0.11486224291812186</v>
      </c>
      <c r="E68" s="5">
        <f>IFERROR(E64/E27,"n/a")</f>
        <v>0.12027367662945625</v>
      </c>
      <c r="F68" s="5">
        <f>IFERROR(F64/F27,"n/a")</f>
        <v>0.09522172567892742</v>
      </c>
      <c r="G68" s="5">
        <f>IFERROR(G64/G27,"n/a")</f>
        <v>0.13099435825105782</v>
      </c>
      <c r="H68" s="5">
        <f>IFERROR(H64/H27,"n/a")</f>
        <v>0.20258992805755396</v>
      </c>
      <c r="I68" s="5">
        <f>IFERROR(I64/I27,"n/a")</f>
        <v>0.14980613323933734</v>
      </c>
      <c r="J68" s="44">
        <v>0.14</v>
      </c>
      <c r="K68" s="4" t="s">
        <v>213</v>
      </c>
      <c r="L68" s="2"/>
    </row>
    <row r="69">
      <c r="A69" s="2"/>
      <c r="B69" s="41" t="s">
        <v>153</v>
      </c>
      <c r="C69" s="30" t="s">
        <v>62</v>
      </c>
      <c r="D69" s="30" t="s">
        <v>62</v>
      </c>
      <c r="E69" s="30" t="s">
        <v>62</v>
      </c>
      <c r="F69" s="30" t="s">
        <v>62</v>
      </c>
      <c r="G69" s="30" t="s">
        <v>62</v>
      </c>
      <c r="H69" s="30">
        <f>IFERROR((H68-C68)*10000,"n/a")</f>
        <v>146.63930004973653</v>
      </c>
      <c r="I69" s="30">
        <f>IFERROR((I68-D68)*10000,"n/a")</f>
        <v>349.43890321215474</v>
      </c>
      <c r="J69" s="51">
        <f>IFERROR((J68-E68)*10000,"n/a")</f>
        <v>197.26323370543767</v>
      </c>
      <c r="K69" s="2"/>
      <c r="L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A71" s="2"/>
      <c r="B71" s="43" t="s">
        <v>214</v>
      </c>
      <c r="C71" s="2"/>
      <c r="D71" s="2"/>
      <c r="E71" s="2"/>
      <c r="F71" s="2"/>
      <c r="G71" s="2"/>
      <c r="H71" s="2"/>
      <c r="I71" s="2"/>
      <c r="J71" s="23"/>
      <c r="K71" s="2"/>
      <c r="L71" s="2"/>
    </row>
    <row r="72">
      <c r="A72" s="2"/>
      <c r="B72" s="2" t="s">
        <v>157</v>
      </c>
      <c r="C72" s="30" t="s">
        <v>62</v>
      </c>
      <c r="D72" s="30" t="s">
        <v>62</v>
      </c>
      <c r="E72" s="30" t="s">
        <v>62</v>
      </c>
      <c r="F72" s="30" t="s">
        <v>62</v>
      </c>
      <c r="G72" s="30" t="s">
        <v>62</v>
      </c>
      <c r="H72" s="30" t="s">
        <v>62</v>
      </c>
      <c r="I72" s="30" t="s">
        <v>62</v>
      </c>
      <c r="J72" s="51" t="s">
        <v>62</v>
      </c>
      <c r="K72" s="4" t="s">
        <v>215</v>
      </c>
      <c r="L72" s="2"/>
    </row>
    <row r="73">
      <c r="A73" s="2"/>
      <c r="B73" s="34" t="s">
        <v>159</v>
      </c>
      <c r="C73" s="30" t="s">
        <v>62</v>
      </c>
      <c r="D73" s="30" t="s">
        <v>62</v>
      </c>
      <c r="E73" s="30" t="s">
        <v>62</v>
      </c>
      <c r="F73" s="30" t="s">
        <v>62</v>
      </c>
      <c r="G73" s="30" t="s">
        <v>62</v>
      </c>
      <c r="H73" s="30" t="s">
        <v>62</v>
      </c>
      <c r="I73" s="30" t="s">
        <v>62</v>
      </c>
      <c r="J73" s="51" t="s">
        <v>62</v>
      </c>
      <c r="K73" s="4" t="s">
        <v>216</v>
      </c>
      <c r="L73" s="2"/>
    </row>
    <row r="74">
      <c r="A74" s="2"/>
      <c r="B74" s="34" t="s">
        <v>161</v>
      </c>
      <c r="C74" s="30" t="s">
        <v>62</v>
      </c>
      <c r="D74" s="30" t="s">
        <v>62</v>
      </c>
      <c r="E74" s="30" t="s">
        <v>62</v>
      </c>
      <c r="F74" s="30" t="s">
        <v>62</v>
      </c>
      <c r="G74" s="30" t="s">
        <v>62</v>
      </c>
      <c r="H74" s="30" t="s">
        <v>62</v>
      </c>
      <c r="I74" s="30" t="s">
        <v>62</v>
      </c>
      <c r="J74" s="51" t="s">
        <v>62</v>
      </c>
      <c r="K74" s="4" t="s">
        <v>216</v>
      </c>
      <c r="L74" s="2"/>
    </row>
    <row r="75">
      <c r="A75" s="2"/>
      <c r="B75" s="34" t="s">
        <v>163</v>
      </c>
      <c r="C75" s="30" t="s">
        <v>62</v>
      </c>
      <c r="D75" s="30" t="s">
        <v>62</v>
      </c>
      <c r="E75" s="30" t="s">
        <v>62</v>
      </c>
      <c r="F75" s="30" t="s">
        <v>62</v>
      </c>
      <c r="G75" s="30" t="s">
        <v>62</v>
      </c>
      <c r="H75" s="30" t="s">
        <v>62</v>
      </c>
      <c r="I75" s="30" t="s">
        <v>62</v>
      </c>
      <c r="J75" s="51" t="s">
        <v>62</v>
      </c>
      <c r="K75" s="4" t="s">
        <v>216</v>
      </c>
      <c r="L75" s="2"/>
    </row>
    <row r="76">
      <c r="A76" s="2"/>
      <c r="B76" s="47" t="s">
        <v>165</v>
      </c>
      <c r="C76" s="39" t="s">
        <v>62</v>
      </c>
      <c r="D76" s="39" t="s">
        <v>62</v>
      </c>
      <c r="E76" s="39" t="s">
        <v>62</v>
      </c>
      <c r="F76" s="39" t="s">
        <v>62</v>
      </c>
      <c r="G76" s="69">
        <v>444</v>
      </c>
      <c r="H76" s="39" t="s">
        <v>62</v>
      </c>
      <c r="I76" s="39" t="s">
        <v>62</v>
      </c>
      <c r="J76" s="70" t="s">
        <v>62</v>
      </c>
      <c r="K76" s="4" t="s">
        <v>217</v>
      </c>
      <c r="L76" s="2"/>
    </row>
    <row r="77">
      <c r="A77" s="2"/>
      <c r="B77" s="34" t="s">
        <v>169</v>
      </c>
      <c r="C77" s="30" t="s">
        <v>62</v>
      </c>
      <c r="D77" s="30" t="s">
        <v>62</v>
      </c>
      <c r="E77" s="30" t="s">
        <v>62</v>
      </c>
      <c r="F77" s="30" t="s">
        <v>62</v>
      </c>
      <c r="G77" s="30" t="s">
        <v>62</v>
      </c>
      <c r="H77" s="30" t="s">
        <v>62</v>
      </c>
      <c r="I77" s="30" t="s">
        <v>62</v>
      </c>
      <c r="J77" s="51" t="s">
        <v>62</v>
      </c>
      <c r="K77" s="4" t="s">
        <v>218</v>
      </c>
      <c r="L77" s="2"/>
    </row>
    <row r="78">
      <c r="A78" s="2"/>
      <c r="B78" s="34" t="s">
        <v>219</v>
      </c>
      <c r="C78" s="30" t="s">
        <v>62</v>
      </c>
      <c r="D78" s="30" t="s">
        <v>62</v>
      </c>
      <c r="E78" s="58">
        <v>46</v>
      </c>
      <c r="F78" s="30" t="s">
        <v>62</v>
      </c>
      <c r="G78" s="30" t="s">
        <v>62</v>
      </c>
      <c r="H78" s="58">
        <v>38</v>
      </c>
      <c r="I78" s="58">
        <v>17</v>
      </c>
      <c r="J78" s="51" t="s">
        <v>62</v>
      </c>
      <c r="K78" s="4" t="s">
        <v>220</v>
      </c>
      <c r="L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L68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228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178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179</v>
      </c>
      <c r="C11" s="12">
        <v>11.9</v>
      </c>
      <c r="D11" s="12">
        <v>12.6</v>
      </c>
      <c r="E11" s="12">
        <v>11.5</v>
      </c>
      <c r="F11" s="7">
        <f>G11-C11-D11-E11</f>
        <v>13.399999999999999</v>
      </c>
      <c r="G11" s="12">
        <v>49.4</v>
      </c>
      <c r="H11" s="12">
        <v>10.5</v>
      </c>
      <c r="I11" s="12">
        <v>12.8</v>
      </c>
      <c r="J11" s="46">
        <f>E11*(1+J15)*(1+J40)</f>
        <v>12.075000000000001</v>
      </c>
      <c r="K11" s="4" t="s">
        <v>180</v>
      </c>
      <c r="L11" s="2"/>
    </row>
    <row r="12">
      <c r="A12" s="2"/>
      <c r="B12" s="41" t="s">
        <v>108</v>
      </c>
      <c r="C12" s="12">
        <v>11.3</v>
      </c>
      <c r="D12" s="12">
        <v>14.3</v>
      </c>
      <c r="E12" s="12">
        <v>14.7</v>
      </c>
      <c r="F12" s="12">
        <v>13.1</v>
      </c>
      <c r="G12" s="12">
        <v>53.4</v>
      </c>
      <c r="H12" s="7">
        <f>C11</f>
        <v>11.9</v>
      </c>
      <c r="I12" s="7">
        <f>D11</f>
        <v>12.6</v>
      </c>
      <c r="J12" s="46">
        <f>E11</f>
        <v>11.5</v>
      </c>
      <c r="K12" s="4" t="s">
        <v>181</v>
      </c>
      <c r="L12" s="2"/>
    </row>
    <row r="13">
      <c r="A13" s="2"/>
      <c r="B13" s="3" t="s">
        <v>116</v>
      </c>
      <c r="C13" s="5">
        <f>IFERROR(IF(OR(C12&lt;=0,ABS(C11/C12-1)&gt;5),"n/m",C11/C12-1),"n/a")</f>
        <v>0.05309734513274322</v>
      </c>
      <c r="D13" s="5">
        <f>IFERROR(IF(OR(D12&lt;=0,ABS(D11/D12-1)&gt;5),"n/m",D11/D12-1),"n/a")</f>
        <v>-0.11888111888111896</v>
      </c>
      <c r="E13" s="5">
        <f>IFERROR(IF(OR(E12&lt;=0,ABS(E11/E12-1)&gt;5),"n/m",E11/E12-1),"n/a")</f>
        <v>-0.21768707482993188</v>
      </c>
      <c r="F13" s="5">
        <f>IFERROR(IF(OR(F12&lt;=0,ABS(F11/F12-1)&gt;5),"n/m",F11/F12-1),"n/a")</f>
        <v>0.022900763358778553</v>
      </c>
      <c r="G13" s="5">
        <f>IFERROR(IF(OR(G12&lt;=0,ABS(G11/G12-1)&gt;5),"n/m",G11/G12-1),"n/a")</f>
        <v>-0.07490636704119846</v>
      </c>
      <c r="H13" s="5">
        <f>IFERROR(IF(OR(H12&lt;=0,ABS(H11/H12-1)&gt;5),"n/m",H11/H12-1),"n/a")</f>
        <v>-0.11764705882352944</v>
      </c>
      <c r="I13" s="5">
        <f>IFERROR(IF(OR(I12&lt;=0,ABS(I11/I12-1)&gt;5),"n/m",I11/I12-1),"n/a")</f>
        <v>0.01587301587301604</v>
      </c>
      <c r="J13" s="31">
        <f>IFERROR(IF(OR(J12&lt;=0,ABS(J11/J12-1)&gt;5),"n/m",J11/J12-1),"n/a")</f>
        <v>0.050000000000000044</v>
      </c>
      <c r="K13" s="2"/>
      <c r="L13" s="2"/>
    </row>
    <row r="14">
      <c r="A14" s="2"/>
      <c r="B14" s="41" t="s">
        <v>96</v>
      </c>
      <c r="C14" s="7" t="s">
        <v>62</v>
      </c>
      <c r="D14" s="7">
        <f>IFERROR(D11-C11,"n/a")</f>
        <v>0.6999999999999993</v>
      </c>
      <c r="E14" s="7">
        <f>IFERROR(E11-D11,"n/a")</f>
        <v>-1.0999999999999996</v>
      </c>
      <c r="F14" s="7">
        <f>IFERROR(F11-E11,"n/a")</f>
        <v>1.8999999999999986</v>
      </c>
      <c r="G14" s="7" t="s">
        <v>62</v>
      </c>
      <c r="H14" s="7">
        <f>IFERROR(H11-F11,"n/a")</f>
        <v>-2.8999999999999986</v>
      </c>
      <c r="I14" s="7">
        <f>IFERROR(I11-H11,"n/a")</f>
        <v>2.3000000000000007</v>
      </c>
      <c r="J14" s="46">
        <f>IFERROR(J11-I11,"n/a")</f>
        <v>-0.7249999999999996</v>
      </c>
      <c r="K14" s="2"/>
      <c r="L14" s="2"/>
    </row>
    <row r="15">
      <c r="A15" s="2"/>
      <c r="B15" s="3" t="s">
        <v>182</v>
      </c>
      <c r="C15" s="5" t="s">
        <v>62</v>
      </c>
      <c r="D15" s="5" t="s">
        <v>62</v>
      </c>
      <c r="E15" s="5" t="s">
        <v>62</v>
      </c>
      <c r="F15" s="5" t="s">
        <v>62</v>
      </c>
      <c r="G15" s="5" t="s">
        <v>62</v>
      </c>
      <c r="H15" s="5" t="s">
        <v>62</v>
      </c>
      <c r="I15" s="5" t="s">
        <v>62</v>
      </c>
      <c r="J15" s="44">
        <v>0.05</v>
      </c>
      <c r="K15" s="4" t="s">
        <v>183</v>
      </c>
      <c r="L15" s="2"/>
    </row>
    <row r="16">
      <c r="A16" s="2"/>
      <c r="B16" s="3" t="s">
        <v>98</v>
      </c>
      <c r="C16" s="5" t="s">
        <v>62</v>
      </c>
      <c r="D16" s="5" t="s">
        <v>62</v>
      </c>
      <c r="E16" s="5" t="s">
        <v>62</v>
      </c>
      <c r="F16" s="5" t="s">
        <v>62</v>
      </c>
      <c r="G16" s="5" t="s">
        <v>62</v>
      </c>
      <c r="H16" s="5" t="s">
        <v>62</v>
      </c>
      <c r="I16" s="5" t="s">
        <v>62</v>
      </c>
      <c r="J16" s="31">
        <f>J40</f>
        <v>0</v>
      </c>
      <c r="K16" s="4" t="s">
        <v>184</v>
      </c>
      <c r="L16" s="2"/>
    </row>
    <row r="17">
      <c r="A17" s="2"/>
      <c r="B17" s="3" t="s">
        <v>99</v>
      </c>
      <c r="C17" s="5" t="s">
        <v>62</v>
      </c>
      <c r="D17" s="5" t="s">
        <v>62</v>
      </c>
      <c r="E17" s="5" t="s">
        <v>62</v>
      </c>
      <c r="F17" s="5" t="s">
        <v>62</v>
      </c>
      <c r="G17" s="5" t="s">
        <v>62</v>
      </c>
      <c r="H17" s="5" t="s">
        <v>62</v>
      </c>
      <c r="I17" s="5" t="s">
        <v>62</v>
      </c>
      <c r="J17" s="44">
        <v>0</v>
      </c>
      <c r="K17" s="4" t="s">
        <v>185</v>
      </c>
      <c r="L17" s="2"/>
    </row>
    <row r="18">
      <c r="A18" s="2"/>
      <c r="B18" s="3" t="s">
        <v>100</v>
      </c>
      <c r="C18" s="5" t="s">
        <v>62</v>
      </c>
      <c r="D18" s="5" t="s">
        <v>62</v>
      </c>
      <c r="E18" s="5" t="s">
        <v>62</v>
      </c>
      <c r="F18" s="5" t="s">
        <v>62</v>
      </c>
      <c r="G18" s="5" t="s">
        <v>62</v>
      </c>
      <c r="H18" s="5" t="s">
        <v>62</v>
      </c>
      <c r="I18" s="5" t="s">
        <v>62</v>
      </c>
      <c r="J18" s="31">
        <f>J15</f>
        <v>0.05</v>
      </c>
      <c r="K18" s="4" t="s">
        <v>186</v>
      </c>
      <c r="L18" s="2"/>
    </row>
    <row r="19">
      <c r="A19" s="2"/>
      <c r="B19" s="2" t="s">
        <v>187</v>
      </c>
      <c r="C19" s="12">
        <v>23.3</v>
      </c>
      <c r="D19" s="12">
        <v>24.2</v>
      </c>
      <c r="E19" s="12">
        <v>21.5</v>
      </c>
      <c r="F19" s="7">
        <f>G19-C19-D19-E19</f>
        <v>32.900000000000006</v>
      </c>
      <c r="G19" s="12">
        <v>101.9</v>
      </c>
      <c r="H19" s="12">
        <v>32.8</v>
      </c>
      <c r="I19" s="12">
        <v>29.8</v>
      </c>
      <c r="J19" s="46">
        <f>E19*(1+J23)*(1+J40)</f>
        <v>25.369999999999997</v>
      </c>
      <c r="K19" s="4" t="s">
        <v>180</v>
      </c>
      <c r="L19" s="2"/>
    </row>
    <row r="20">
      <c r="A20" s="2"/>
      <c r="B20" s="41" t="s">
        <v>108</v>
      </c>
      <c r="C20" s="12">
        <v>20.8</v>
      </c>
      <c r="D20" s="12">
        <v>18.6</v>
      </c>
      <c r="E20" s="12">
        <v>17.5</v>
      </c>
      <c r="F20" s="12">
        <v>20.8</v>
      </c>
      <c r="G20" s="12">
        <v>77.7</v>
      </c>
      <c r="H20" s="7">
        <f>C19</f>
        <v>23.3</v>
      </c>
      <c r="I20" s="7">
        <f>D19</f>
        <v>24.2</v>
      </c>
      <c r="J20" s="46">
        <f>E19</f>
        <v>21.5</v>
      </c>
      <c r="K20" s="4" t="s">
        <v>181</v>
      </c>
      <c r="L20" s="2"/>
    </row>
    <row r="21">
      <c r="A21" s="2"/>
      <c r="B21" s="3" t="s">
        <v>116</v>
      </c>
      <c r="C21" s="5">
        <f>IFERROR(IF(OR(C20&lt;=0,ABS(C19/C20-1)&gt;5),"n/m",C19/C20-1),"n/a")</f>
        <v>0.12019230769230771</v>
      </c>
      <c r="D21" s="5">
        <f>IFERROR(IF(OR(D20&lt;=0,ABS(D19/D20-1)&gt;5),"n/m",D19/D20-1),"n/a")</f>
        <v>0.30107526881720426</v>
      </c>
      <c r="E21" s="5">
        <f>IFERROR(IF(OR(E20&lt;=0,ABS(E19/E20-1)&gt;5),"n/m",E19/E20-1),"n/a")</f>
        <v>0.22857142857142865</v>
      </c>
      <c r="F21" s="5">
        <f>IFERROR(IF(OR(F20&lt;=0,ABS(F19/F20-1)&gt;5),"n/m",F19/F20-1),"n/a")</f>
        <v>0.5817307692307694</v>
      </c>
      <c r="G21" s="5">
        <f>IFERROR(IF(OR(G20&lt;=0,ABS(G19/G20-1)&gt;5),"n/m",G19/G20-1),"n/a")</f>
        <v>0.31145431145431157</v>
      </c>
      <c r="H21" s="5">
        <f>IFERROR(IF(OR(H20&lt;=0,ABS(H19/H20-1)&gt;5),"n/m",H19/H20-1),"n/a")</f>
        <v>0.4077253218884118</v>
      </c>
      <c r="I21" s="5">
        <f>IFERROR(IF(OR(I20&lt;=0,ABS(I19/I20-1)&gt;5),"n/m",I19/I20-1),"n/a")</f>
        <v>0.23140495867768607</v>
      </c>
      <c r="J21" s="31">
        <f>IFERROR(IF(OR(J20&lt;=0,ABS(J19/J20-1)&gt;5),"n/m",J19/J20-1),"n/a")</f>
        <v>0.17999999999999994</v>
      </c>
      <c r="K21" s="2"/>
      <c r="L21" s="2"/>
    </row>
    <row r="22">
      <c r="A22" s="2"/>
      <c r="B22" s="41" t="s">
        <v>96</v>
      </c>
      <c r="C22" s="7" t="s">
        <v>62</v>
      </c>
      <c r="D22" s="7">
        <f>IFERROR(D19-C19,"n/a")</f>
        <v>0.8999999999999986</v>
      </c>
      <c r="E22" s="7">
        <f>IFERROR(E19-D19,"n/a")</f>
        <v>-2.6999999999999993</v>
      </c>
      <c r="F22" s="7">
        <f>IFERROR(F19-E19,"n/a")</f>
        <v>11.400000000000006</v>
      </c>
      <c r="G22" s="7" t="s">
        <v>62</v>
      </c>
      <c r="H22" s="7">
        <f>IFERROR(H19-F19,"n/a")</f>
        <v>-0.10000000000000853</v>
      </c>
      <c r="I22" s="7">
        <f>IFERROR(I19-H19,"n/a")</f>
        <v>-2.9999999999999964</v>
      </c>
      <c r="J22" s="46">
        <f>IFERROR(J19-I19,"n/a")</f>
        <v>-4.430000000000003</v>
      </c>
      <c r="K22" s="2"/>
      <c r="L22" s="2"/>
    </row>
    <row r="23">
      <c r="A23" s="2"/>
      <c r="B23" s="3" t="s">
        <v>182</v>
      </c>
      <c r="C23" s="5" t="s">
        <v>62</v>
      </c>
      <c r="D23" s="5" t="s">
        <v>62</v>
      </c>
      <c r="E23" s="5" t="s">
        <v>62</v>
      </c>
      <c r="F23" s="5" t="s">
        <v>62</v>
      </c>
      <c r="G23" s="5" t="s">
        <v>62</v>
      </c>
      <c r="H23" s="5" t="s">
        <v>62</v>
      </c>
      <c r="I23" s="5" t="s">
        <v>62</v>
      </c>
      <c r="J23" s="44">
        <v>0.18</v>
      </c>
      <c r="K23" s="4" t="s">
        <v>183</v>
      </c>
      <c r="L23" s="2"/>
    </row>
    <row r="24">
      <c r="A24" s="2"/>
      <c r="B24" s="3" t="s">
        <v>98</v>
      </c>
      <c r="C24" s="5" t="s">
        <v>62</v>
      </c>
      <c r="D24" s="5" t="s">
        <v>62</v>
      </c>
      <c r="E24" s="5" t="s">
        <v>62</v>
      </c>
      <c r="F24" s="5" t="s">
        <v>62</v>
      </c>
      <c r="G24" s="5" t="s">
        <v>62</v>
      </c>
      <c r="H24" s="5" t="s">
        <v>62</v>
      </c>
      <c r="I24" s="5" t="s">
        <v>62</v>
      </c>
      <c r="J24" s="31">
        <f>J40</f>
        <v>0</v>
      </c>
      <c r="K24" s="4" t="s">
        <v>184</v>
      </c>
      <c r="L24" s="2"/>
    </row>
    <row r="25">
      <c r="A25" s="2"/>
      <c r="B25" s="3" t="s">
        <v>99</v>
      </c>
      <c r="C25" s="5" t="s">
        <v>62</v>
      </c>
      <c r="D25" s="5" t="s">
        <v>62</v>
      </c>
      <c r="E25" s="5" t="s">
        <v>62</v>
      </c>
      <c r="F25" s="5" t="s">
        <v>62</v>
      </c>
      <c r="G25" s="5" t="s">
        <v>62</v>
      </c>
      <c r="H25" s="5" t="s">
        <v>62</v>
      </c>
      <c r="I25" s="5" t="s">
        <v>62</v>
      </c>
      <c r="J25" s="44">
        <v>0</v>
      </c>
      <c r="K25" s="4" t="s">
        <v>185</v>
      </c>
      <c r="L25" s="2"/>
    </row>
    <row r="26">
      <c r="A26" s="2"/>
      <c r="B26" s="3" t="s">
        <v>100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 t="s">
        <v>62</v>
      </c>
      <c r="I26" s="5" t="s">
        <v>62</v>
      </c>
      <c r="J26" s="31">
        <f>J23</f>
        <v>0.18</v>
      </c>
      <c r="K26" s="4" t="s">
        <v>186</v>
      </c>
      <c r="L26" s="2"/>
    </row>
    <row r="27">
      <c r="A27" s="2"/>
      <c r="B27" s="47" t="s">
        <v>229</v>
      </c>
      <c r="C27" s="14">
        <f>C11+C19</f>
        <v>35.2</v>
      </c>
      <c r="D27" s="14">
        <f>D11+D19</f>
        <v>36.8</v>
      </c>
      <c r="E27" s="14">
        <f>E11+E19</f>
        <v>33</v>
      </c>
      <c r="F27" s="14">
        <f>F11+F19</f>
        <v>46.300000000000004</v>
      </c>
      <c r="G27" s="14">
        <f>G11+G19</f>
        <v>151.3</v>
      </c>
      <c r="H27" s="14">
        <f>H11+H19</f>
        <v>43.3</v>
      </c>
      <c r="I27" s="14">
        <f>I11+I19</f>
        <v>42.6</v>
      </c>
      <c r="J27" s="36">
        <f>J11+J19</f>
        <v>37.445</v>
      </c>
      <c r="K27" s="4" t="s">
        <v>189</v>
      </c>
      <c r="L27" s="2"/>
    </row>
    <row r="28">
      <c r="A28" s="2"/>
      <c r="B28" s="41" t="s">
        <v>108</v>
      </c>
      <c r="C28" s="7">
        <f>C12+C20</f>
        <v>32.1</v>
      </c>
      <c r="D28" s="7">
        <f>D12+D20</f>
        <v>32.900000000000006</v>
      </c>
      <c r="E28" s="7">
        <f>E12+E20</f>
        <v>32.2</v>
      </c>
      <c r="F28" s="7">
        <f>F12+F20</f>
        <v>33.9</v>
      </c>
      <c r="G28" s="7">
        <f>G12+G20</f>
        <v>131.1</v>
      </c>
      <c r="H28" s="7">
        <f>C27</f>
        <v>35.2</v>
      </c>
      <c r="I28" s="7">
        <f>D27</f>
        <v>36.8</v>
      </c>
      <c r="J28" s="46">
        <f>E27</f>
        <v>33</v>
      </c>
      <c r="K28" s="4" t="s">
        <v>190</v>
      </c>
      <c r="L28" s="2"/>
    </row>
    <row r="29">
      <c r="A29" s="2"/>
      <c r="B29" s="3" t="s">
        <v>95</v>
      </c>
      <c r="C29" s="5" t="s">
        <v>62</v>
      </c>
      <c r="D29" s="5">
        <f>IFERROR(IF(C27&lt;=0,"n/m",D27/C27-1),"n/a")</f>
        <v>0.04545454545454519</v>
      </c>
      <c r="E29" s="5">
        <f>IFERROR(IF(D27&lt;=0,"n/m",E27/D27-1),"n/a")</f>
        <v>-0.1032608695652173</v>
      </c>
      <c r="F29" s="5">
        <f>IFERROR(IF(E27&lt;=0,"n/m",F27/E27-1),"n/a")</f>
        <v>0.40303030303030307</v>
      </c>
      <c r="G29" s="5" t="s">
        <v>62</v>
      </c>
      <c r="H29" s="5">
        <f>IFERROR(IF(F27&lt;=0,"n/m",H27/F27-1),"n/a")</f>
        <v>-0.06479481641468698</v>
      </c>
      <c r="I29" s="5">
        <f>IFERROR(IF(H27&lt;=0,"n/m",I27/H27-1),"n/a")</f>
        <v>-0.016166281755196188</v>
      </c>
      <c r="J29" s="31">
        <f>IFERROR(IF(I27&lt;=0,"n/m",J27/I27-1),"n/a")</f>
        <v>-0.12100938967136154</v>
      </c>
      <c r="K29" s="2"/>
      <c r="L29" s="2"/>
    </row>
    <row r="30">
      <c r="A30" s="2"/>
      <c r="B30" s="41" t="s">
        <v>96</v>
      </c>
      <c r="C30" s="7" t="s">
        <v>62</v>
      </c>
      <c r="D30" s="7">
        <f>IFERROR(D27-C27,"n/a")</f>
        <v>1.5999999999999943</v>
      </c>
      <c r="E30" s="7">
        <f>IFERROR(E27-D27,"n/a")</f>
        <v>-3.799999999999997</v>
      </c>
      <c r="F30" s="7">
        <f>IFERROR(F27-E27,"n/a")</f>
        <v>13.300000000000004</v>
      </c>
      <c r="G30" s="7" t="s">
        <v>62</v>
      </c>
      <c r="H30" s="7">
        <f>IFERROR(H27-F27,"n/a")</f>
        <v>-3.000000000000007</v>
      </c>
      <c r="I30" s="7">
        <f>IFERROR(I27-H27,"n/a")</f>
        <v>-0.6999999999999957</v>
      </c>
      <c r="J30" s="46">
        <f>IFERROR(J27-I27,"n/a")</f>
        <v>-5.155000000000001</v>
      </c>
      <c r="K30" s="2"/>
      <c r="L30" s="2"/>
    </row>
    <row r="31">
      <c r="A31" s="2"/>
      <c r="B31" s="3" t="s">
        <v>191</v>
      </c>
      <c r="C31" s="10">
        <f>IFERROR(C27/'Income Statement'!C11,"n/a")</f>
        <v>0.023054755043227668</v>
      </c>
      <c r="D31" s="10">
        <f>IFERROR(D27/'Income Statement'!D11,"n/a")</f>
        <v>0.025449515905947438</v>
      </c>
      <c r="E31" s="10">
        <f>IFERROR(E27/'Income Statement'!E11,"n/a")</f>
        <v>0.0213813658157315</v>
      </c>
      <c r="F31" s="10">
        <f>IFERROR(F27/'Income Statement'!F11,"n/a")</f>
        <v>0.02622041001245894</v>
      </c>
      <c r="G31" s="10">
        <f>IFERROR(G27/'Income Statement'!G11,"n/a")</f>
        <v>0.02408468640560331</v>
      </c>
      <c r="H31" s="10">
        <f>IFERROR(H27/'Income Statement'!H11,"n/a")</f>
        <v>0.0248493543758967</v>
      </c>
      <c r="I31" s="10">
        <f>IFERROR(I27/'Income Statement'!I11,"n/a")</f>
        <v>0.027272727272727275</v>
      </c>
      <c r="J31" s="52">
        <f>IFERROR(J27/'Income Statement'!J11,"n/a")</f>
        <v>0.022912145362653676</v>
      </c>
      <c r="K31" s="2"/>
      <c r="L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A33" s="2"/>
      <c r="B33" s="43" t="s">
        <v>192</v>
      </c>
      <c r="C33" s="2"/>
      <c r="D33" s="2"/>
      <c r="E33" s="2"/>
      <c r="F33" s="2"/>
      <c r="G33" s="2"/>
      <c r="H33" s="2"/>
      <c r="I33" s="2"/>
      <c r="J33" s="23"/>
      <c r="K33" s="2"/>
      <c r="L33" s="2"/>
    </row>
    <row r="34">
      <c r="A34" s="2"/>
      <c r="B34" s="3" t="s">
        <v>116</v>
      </c>
      <c r="C34" s="5">
        <f>IFERROR(IF(OR(C28&lt;=0,ABS(C27/C28-1)&gt;5),"n/m",C27/C28-1),"n/a")</f>
        <v>0.09657320872274155</v>
      </c>
      <c r="D34" s="5">
        <f>IFERROR(IF(OR(D28&lt;=0,ABS(D27/D28-1)&gt;5),"n/m",D27/D28-1),"n/a")</f>
        <v>0.11854103343465017</v>
      </c>
      <c r="E34" s="5">
        <f>IFERROR(IF(OR(E28&lt;=0,ABS(E27/E28-1)&gt;5),"n/m",E27/E28-1),"n/a")</f>
        <v>0.024844720496894235</v>
      </c>
      <c r="F34" s="5">
        <f>IFERROR(IF(OR(F28&lt;=0,ABS(F27/F28-1)&gt;5),"n/m",F27/F28-1),"n/a")</f>
        <v>0.36578171091445455</v>
      </c>
      <c r="G34" s="5">
        <f>IFERROR(IF(OR(G28&lt;=0,ABS(G27/G28-1)&gt;5),"n/m",G27/G28-1),"n/a")</f>
        <v>0.15408085430968743</v>
      </c>
      <c r="H34" s="5">
        <f>IFERROR(IF(OR(H28&lt;=0,ABS(H27/H28-1)&gt;5),"n/m",H27/H28-1),"n/a")</f>
        <v>0.23011363636363624</v>
      </c>
      <c r="I34" s="5">
        <f>IFERROR(IF(OR(I28&lt;=0,ABS(I27/I28-1)&gt;5),"n/m",I27/I28-1),"n/a")</f>
        <v>0.15760869565217406</v>
      </c>
      <c r="J34" s="31">
        <f>IFERROR(IF(OR(J28&lt;=0,ABS(J27/J28-1)&gt;5),"n/m",J27/J28-1),"n/a")</f>
        <v>0.13469696969696976</v>
      </c>
      <c r="K34" s="97" t="s">
        <v>193</v>
      </c>
      <c r="L34" s="2"/>
    </row>
    <row r="35">
      <c r="A35" s="2"/>
      <c r="B35" s="41" t="s">
        <v>117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46">
        <f>J28*J40</f>
        <v>0</v>
      </c>
      <c r="K35" s="4" t="s">
        <v>194</v>
      </c>
      <c r="L35" s="2"/>
    </row>
    <row r="36">
      <c r="A36" s="2"/>
      <c r="B36" s="41" t="s">
        <v>119</v>
      </c>
      <c r="C36" s="12">
        <v>0</v>
      </c>
      <c r="D36" s="12">
        <v>0</v>
      </c>
      <c r="E36" s="12">
        <v>0</v>
      </c>
      <c r="F36" s="12">
        <v>-1.9</v>
      </c>
      <c r="G36" s="12">
        <v>-1.9</v>
      </c>
      <c r="H36" s="12">
        <v>0</v>
      </c>
      <c r="I36" s="12">
        <v>0</v>
      </c>
      <c r="J36" s="49">
        <v>0</v>
      </c>
      <c r="K36" s="2"/>
      <c r="L36" s="2"/>
    </row>
    <row r="37">
      <c r="A37" s="2"/>
      <c r="B37" s="41" t="s">
        <v>120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49">
        <v>0</v>
      </c>
      <c r="K37" s="2"/>
      <c r="L37" s="2"/>
    </row>
    <row r="38">
      <c r="A38" s="2"/>
      <c r="B38" s="41" t="s">
        <v>121</v>
      </c>
      <c r="C38" s="7">
        <f>C27+C37</f>
        <v>35.2</v>
      </c>
      <c r="D38" s="7">
        <f>D27+D37</f>
        <v>36.8</v>
      </c>
      <c r="E38" s="7">
        <f>E27+E37</f>
        <v>33</v>
      </c>
      <c r="F38" s="7">
        <f>F27+F37</f>
        <v>46.300000000000004</v>
      </c>
      <c r="G38" s="7">
        <f>G27+G37</f>
        <v>151.3</v>
      </c>
      <c r="H38" s="7">
        <f>H27+H37</f>
        <v>43.3</v>
      </c>
      <c r="I38" s="7">
        <f>I27+I37</f>
        <v>42.6</v>
      </c>
      <c r="J38" s="46">
        <f>J27+J37</f>
        <v>37.445</v>
      </c>
      <c r="K38" s="2"/>
      <c r="L38" s="2"/>
    </row>
    <row r="39">
      <c r="A39" s="2"/>
      <c r="B39" s="41" t="s">
        <v>122</v>
      </c>
      <c r="C39" s="7">
        <f>C28+C35+C36</f>
        <v>32.1</v>
      </c>
      <c r="D39" s="7">
        <f>D28+D35+D36</f>
        <v>32.900000000000006</v>
      </c>
      <c r="E39" s="7">
        <f>E28+E35+E36</f>
        <v>32.2</v>
      </c>
      <c r="F39" s="7">
        <f>F28+F35+F36</f>
        <v>32</v>
      </c>
      <c r="G39" s="7">
        <f>G28+G35+G36</f>
        <v>129.2</v>
      </c>
      <c r="H39" s="7">
        <f>H28+H35+H36</f>
        <v>35.2</v>
      </c>
      <c r="I39" s="7">
        <f>I28+I35+I36</f>
        <v>36.8</v>
      </c>
      <c r="J39" s="46">
        <f>J28+J35+J36</f>
        <v>33</v>
      </c>
      <c r="K39" s="2"/>
      <c r="L39" s="2"/>
    </row>
    <row r="40">
      <c r="A40" s="2"/>
      <c r="B40" s="3" t="s">
        <v>98</v>
      </c>
      <c r="C40" s="5">
        <f>IFERROR(C35/C28,"n/a")</f>
        <v>0</v>
      </c>
      <c r="D40" s="5">
        <f>IFERROR(D35/D28,"n/a")</f>
        <v>0</v>
      </c>
      <c r="E40" s="5">
        <f>IFERROR(E35/E28,"n/a")</f>
        <v>0</v>
      </c>
      <c r="F40" s="5">
        <f>IFERROR(F35/F28,"n/a")</f>
        <v>0</v>
      </c>
      <c r="G40" s="5">
        <f>IFERROR(G35/G28,"n/a")</f>
        <v>0</v>
      </c>
      <c r="H40" s="5">
        <f>IFERROR(H35/H28,"n/a")</f>
        <v>0</v>
      </c>
      <c r="I40" s="5">
        <f>IFERROR(I35/I28,"n/a")</f>
        <v>0</v>
      </c>
      <c r="J40" s="44">
        <v>0</v>
      </c>
      <c r="K40" s="2"/>
      <c r="L40" s="2"/>
    </row>
    <row r="41">
      <c r="A41" s="2"/>
      <c r="B41" s="41" t="s">
        <v>195</v>
      </c>
      <c r="C41" s="30" t="s">
        <v>62</v>
      </c>
      <c r="D41" s="30" t="s">
        <v>62</v>
      </c>
      <c r="E41" s="30" t="s">
        <v>62</v>
      </c>
      <c r="F41" s="30" t="s">
        <v>62</v>
      </c>
      <c r="G41" s="30" t="s">
        <v>62</v>
      </c>
      <c r="H41" s="30">
        <f>IFERROR((H40-C40)*10000,"n/a")</f>
        <v>0</v>
      </c>
      <c r="I41" s="30">
        <f>IFERROR((I40-D40)*10000,"n/a")</f>
        <v>0</v>
      </c>
      <c r="J41" s="51">
        <f>IFERROR((J40-E40)*10000,"n/a")</f>
        <v>0</v>
      </c>
      <c r="K41" s="2"/>
      <c r="L41" s="2"/>
    </row>
    <row r="42">
      <c r="A42" s="2"/>
      <c r="B42" s="3" t="s">
        <v>99</v>
      </c>
      <c r="C42" s="5">
        <f>IFERROR((C28+C35+C36)/(C28+C35)*C27/(C27+C37)-1,"n/a")</f>
        <v>0</v>
      </c>
      <c r="D42" s="5">
        <f>IFERROR((D28+D35+D36)/(D28+D35)*D27/(D27+D37)-1,"n/a")</f>
        <v>0</v>
      </c>
      <c r="E42" s="5">
        <f>IFERROR((E28+E35+E36)/(E28+E35)*E27/(E27+E37)-1,"n/a")</f>
        <v>0</v>
      </c>
      <c r="F42" s="5">
        <f>IFERROR((F28+F35+F36)/(F28+F35)*F27/(F27+F37)-1,"n/a")</f>
        <v>-0.05604719764011801</v>
      </c>
      <c r="G42" s="5">
        <f>IFERROR((G28+G35+G36)/(G28+G35)*G27/(G27+G37)-1,"n/a")</f>
        <v>-0.01449275362318847</v>
      </c>
      <c r="H42" s="5">
        <f>IFERROR((H28+H35+H36)/(H28+H35)*H27/(H27+H37)-1,"n/a")</f>
        <v>0</v>
      </c>
      <c r="I42" s="5">
        <f>IFERROR((I28+I35+I36)/(I28+I35)*I27/(I27+I37)-1,"n/a")</f>
        <v>0</v>
      </c>
      <c r="J42" s="31">
        <f>IFERROR((J28+J35+J36)/(J28+J35)*J27/(J27+J37)-1,"n/a")</f>
        <v>0</v>
      </c>
      <c r="K42" s="2"/>
      <c r="L42" s="2"/>
    </row>
    <row r="43">
      <c r="A43" s="2"/>
      <c r="B43" s="3" t="s">
        <v>100</v>
      </c>
      <c r="C43" s="5">
        <f>IFERROR((1+C34)/((1+C42)*(1+C40))-1,"n/a")</f>
        <v>0.09657320872274155</v>
      </c>
      <c r="D43" s="5">
        <f>IFERROR((1+D34)/((1+D42)*(1+D40))-1,"n/a")</f>
        <v>0.11854103343465017</v>
      </c>
      <c r="E43" s="5">
        <f>IFERROR((1+E34)/((1+E42)*(1+E40))-1,"n/a")</f>
        <v>0.024844720496894235</v>
      </c>
      <c r="F43" s="5">
        <f>IFERROR((1+F34)/((1+F42)*(1+F40))-1,"n/a")</f>
        <v>0.44687500000000036</v>
      </c>
      <c r="G43" s="5">
        <f>IFERROR((1+G34)/((1+G42)*(1+G40))-1,"n/a")</f>
        <v>0.17105263157894757</v>
      </c>
      <c r="H43" s="5">
        <f>IFERROR((1+H34)/((1+H42)*(1+H40))-1,"n/a")</f>
        <v>0.23011363636363624</v>
      </c>
      <c r="I43" s="5">
        <f>IFERROR((1+I34)/((1+I42)*(1+I40))-1,"n/a")</f>
        <v>0.15760869565217406</v>
      </c>
      <c r="J43" s="31">
        <f>IFERROR((1+J34)/((1+J42)*(1+J40))-1,"n/a")</f>
        <v>0.13469696969696976</v>
      </c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3" t="s">
        <v>196</v>
      </c>
      <c r="C45" s="2"/>
      <c r="D45" s="2"/>
      <c r="E45" s="2"/>
      <c r="F45" s="2"/>
      <c r="G45" s="2"/>
      <c r="H45" s="2"/>
      <c r="I45" s="2"/>
      <c r="J45" s="23"/>
      <c r="K45" s="2"/>
      <c r="L45" s="2"/>
    </row>
    <row r="46">
      <c r="A46" s="2"/>
      <c r="B46" s="21" t="s">
        <v>197</v>
      </c>
      <c r="C46" s="5">
        <f>IFERROR(C19/C27,"n/a")</f>
        <v>0.6619318181818181</v>
      </c>
      <c r="D46" s="5">
        <f>IFERROR(D19/D27,"n/a")</f>
        <v>0.657608695652174</v>
      </c>
      <c r="E46" s="5">
        <f>IFERROR(E19/E27,"n/a")</f>
        <v>0.6515151515151515</v>
      </c>
      <c r="F46" s="5">
        <f>IFERROR(F19/F27,"n/a")</f>
        <v>0.7105831533477323</v>
      </c>
      <c r="G46" s="5">
        <f>IFERROR(G19/G27,"n/a")</f>
        <v>0.6734963648380701</v>
      </c>
      <c r="H46" s="5">
        <f>IFERROR(H19/H27,"n/a")</f>
        <v>0.7575057736720554</v>
      </c>
      <c r="I46" s="5">
        <f>IFERROR(I19/I27,"n/a")</f>
        <v>0.6995305164319249</v>
      </c>
      <c r="J46" s="31">
        <f>IFERROR(J19/J27,"n/a")</f>
        <v>0.6775270396581652</v>
      </c>
      <c r="K46" s="2"/>
      <c r="L46" s="2"/>
    </row>
    <row r="47">
      <c r="A47" s="2"/>
      <c r="B47" s="41" t="s">
        <v>153</v>
      </c>
      <c r="C47" s="30" t="s">
        <v>62</v>
      </c>
      <c r="D47" s="30" t="s">
        <v>62</v>
      </c>
      <c r="E47" s="30" t="s">
        <v>62</v>
      </c>
      <c r="F47" s="30" t="s">
        <v>62</v>
      </c>
      <c r="G47" s="30" t="s">
        <v>62</v>
      </c>
      <c r="H47" s="30">
        <f>IFERROR((H46-C46)*10000,"n/a")</f>
        <v>955.7395549023728</v>
      </c>
      <c r="I47" s="30">
        <f>IFERROR((I46-D46)*10000,"n/a")</f>
        <v>419.2182077975093</v>
      </c>
      <c r="J47" s="51">
        <f>IFERROR((J46-E46)*10000,"n/a")</f>
        <v>260.1188814301369</v>
      </c>
      <c r="K47" s="2"/>
      <c r="L47" s="2"/>
    </row>
    <row r="48">
      <c r="A48" s="2"/>
      <c r="B48" s="21" t="s">
        <v>198</v>
      </c>
      <c r="C48" s="5">
        <f>IFERROR(C11/C27,"n/a")</f>
        <v>0.3380681818181818</v>
      </c>
      <c r="D48" s="5">
        <f>IFERROR(D11/D27,"n/a")</f>
        <v>0.3423913043478261</v>
      </c>
      <c r="E48" s="5">
        <f>IFERROR(E11/E27,"n/a")</f>
        <v>0.3484848484848485</v>
      </c>
      <c r="F48" s="5">
        <f>IFERROR(F11/F27,"n/a")</f>
        <v>0.28941684665226775</v>
      </c>
      <c r="G48" s="5">
        <f>IFERROR(G11/G27,"n/a")</f>
        <v>0.32650363516192993</v>
      </c>
      <c r="H48" s="5">
        <f>IFERROR(H11/H27,"n/a")</f>
        <v>0.2424942263279446</v>
      </c>
      <c r="I48" s="5">
        <f>IFERROR(I11/I27,"n/a")</f>
        <v>0.3004694835680751</v>
      </c>
      <c r="J48" s="31">
        <f>IFERROR(J11/J27,"n/a")</f>
        <v>0.3224729603418347</v>
      </c>
      <c r="K48" s="2"/>
      <c r="L48" s="2"/>
    </row>
    <row r="49">
      <c r="A49" s="2"/>
      <c r="B49" s="41" t="s">
        <v>153</v>
      </c>
      <c r="C49" s="30" t="s">
        <v>62</v>
      </c>
      <c r="D49" s="30" t="s">
        <v>62</v>
      </c>
      <c r="E49" s="30" t="s">
        <v>62</v>
      </c>
      <c r="F49" s="30" t="s">
        <v>62</v>
      </c>
      <c r="G49" s="30" t="s">
        <v>62</v>
      </c>
      <c r="H49" s="30">
        <f>IFERROR((H48-C48)*10000,"n/a")</f>
        <v>-955.7395549023723</v>
      </c>
      <c r="I49" s="30">
        <f>IFERROR((I48-D48)*10000,"n/a")</f>
        <v>-419.2182077975098</v>
      </c>
      <c r="J49" s="51">
        <f>IFERROR((J48-E48)*10000,"n/a")</f>
        <v>-260.11888143013806</v>
      </c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A51" s="2"/>
      <c r="B51" s="43" t="s">
        <v>199</v>
      </c>
      <c r="C51" s="2"/>
      <c r="D51" s="2"/>
      <c r="E51" s="2"/>
      <c r="F51" s="2"/>
      <c r="G51" s="2"/>
      <c r="H51" s="2"/>
      <c r="I51" s="2"/>
      <c r="J51" s="23"/>
      <c r="K51" s="2"/>
      <c r="L51" s="2"/>
    </row>
    <row r="52">
      <c r="A52" s="2"/>
      <c r="B52" s="47" t="s">
        <v>230</v>
      </c>
      <c r="C52" s="35">
        <v>-3.1</v>
      </c>
      <c r="D52" s="35">
        <v>-4.4</v>
      </c>
      <c r="E52" s="35">
        <v>-4.8</v>
      </c>
      <c r="F52" s="14">
        <f>G52-C52-D52-E52</f>
        <v>-1.2999999999999998</v>
      </c>
      <c r="G52" s="35">
        <v>-13.6</v>
      </c>
      <c r="H52" s="35">
        <v>-0.8</v>
      </c>
      <c r="I52" s="35">
        <v>-2.4</v>
      </c>
      <c r="J52" s="36">
        <f>J27*J56</f>
        <v>-2.9956</v>
      </c>
      <c r="K52" s="4" t="s">
        <v>210</v>
      </c>
      <c r="L52" s="2"/>
    </row>
    <row r="53">
      <c r="A53" s="2"/>
      <c r="B53" s="41" t="s">
        <v>108</v>
      </c>
      <c r="C53" s="12">
        <v>-1</v>
      </c>
      <c r="D53" s="12">
        <v>-3</v>
      </c>
      <c r="E53" s="12">
        <v>-5.8</v>
      </c>
      <c r="F53" s="12">
        <v>-10.4</v>
      </c>
      <c r="G53" s="12">
        <v>-20</v>
      </c>
      <c r="H53" s="7">
        <f>C52</f>
        <v>-3.1</v>
      </c>
      <c r="I53" s="7">
        <f>D52</f>
        <v>-4.4</v>
      </c>
      <c r="J53" s="46">
        <f>E52</f>
        <v>-4.8</v>
      </c>
      <c r="K53" s="4" t="s">
        <v>211</v>
      </c>
      <c r="L53" s="2"/>
    </row>
    <row r="54">
      <c r="A54" s="2"/>
      <c r="B54" s="3" t="s">
        <v>94</v>
      </c>
      <c r="C54" s="5" t="str">
        <f>IFERROR(IF(OR(C53&lt;=0,ABS(C52/C53-1)&gt;5),"n/m",C52/C53-1),"n/a")</f>
        <v>n/m</v>
      </c>
      <c r="D54" s="5" t="str">
        <f>IFERROR(IF(OR(D53&lt;=0,ABS(D52/D53-1)&gt;5),"n/m",D52/D53-1),"n/a")</f>
        <v>n/m</v>
      </c>
      <c r="E54" s="5" t="str">
        <f>IFERROR(IF(OR(E53&lt;=0,ABS(E52/E53-1)&gt;5),"n/m",E52/E53-1),"n/a")</f>
        <v>n/m</v>
      </c>
      <c r="F54" s="5" t="str">
        <f>IFERROR(IF(OR(F53&lt;=0,ABS(F52/F53-1)&gt;5),"n/m",F52/F53-1),"n/a")</f>
        <v>n/m</v>
      </c>
      <c r="G54" s="5" t="str">
        <f>IFERROR(IF(OR(G53&lt;=0,ABS(G52/G53-1)&gt;5),"n/m",G52/G53-1),"n/a")</f>
        <v>n/m</v>
      </c>
      <c r="H54" s="5" t="str">
        <f>IFERROR(IF(OR(H53&lt;=0,ABS(H52/H53-1)&gt;5),"n/m",H52/H53-1),"n/a")</f>
        <v>n/m</v>
      </c>
      <c r="I54" s="5" t="str">
        <f>IFERROR(IF(OR(I53&lt;=0,ABS(I52/I53-1)&gt;5),"n/m",I52/I53-1),"n/a")</f>
        <v>n/m</v>
      </c>
      <c r="J54" s="31" t="str">
        <f>IFERROR(IF(OR(J53&lt;=0,ABS(J52/J53-1)&gt;5),"n/m",J52/J53-1),"n/a")</f>
        <v>n/m</v>
      </c>
      <c r="K54" s="2"/>
      <c r="L54" s="2"/>
    </row>
    <row r="55">
      <c r="A55" s="2"/>
      <c r="B55" s="41" t="s">
        <v>96</v>
      </c>
      <c r="C55" s="7" t="s">
        <v>62</v>
      </c>
      <c r="D55" s="7">
        <f>IFERROR(D52-C52,"n/a")</f>
        <v>-1.3000000000000003</v>
      </c>
      <c r="E55" s="7">
        <f>IFERROR(E52-D52,"n/a")</f>
        <v>-0.39999999999999947</v>
      </c>
      <c r="F55" s="7">
        <f>IFERROR(F52-E52,"n/a")</f>
        <v>3.5</v>
      </c>
      <c r="G55" s="7" t="s">
        <v>62</v>
      </c>
      <c r="H55" s="7">
        <f>IFERROR(H52-F52,"n/a")</f>
        <v>0.4999999999999998</v>
      </c>
      <c r="I55" s="7">
        <f>IFERROR(I52-H52,"n/a")</f>
        <v>-1.5999999999999999</v>
      </c>
      <c r="J55" s="46">
        <f>IFERROR(J52-I52,"n/a")</f>
        <v>-0.5956000000000001</v>
      </c>
      <c r="K55" s="2"/>
      <c r="L55" s="2"/>
    </row>
    <row r="56">
      <c r="A56" s="2"/>
      <c r="B56" s="21" t="s">
        <v>212</v>
      </c>
      <c r="C56" s="5">
        <f>IFERROR(C52/C27,"n/a")</f>
        <v>-0.08806818181818181</v>
      </c>
      <c r="D56" s="5">
        <f>IFERROR(D52/D27,"n/a")</f>
        <v>-0.11956521739130437</v>
      </c>
      <c r="E56" s="5">
        <f>IFERROR(E52/E27,"n/a")</f>
        <v>-0.14545454545454545</v>
      </c>
      <c r="F56" s="5">
        <f>IFERROR(F52/F27,"n/a")</f>
        <v>-0.02807775377969762</v>
      </c>
      <c r="G56" s="5">
        <f>IFERROR(G52/G27,"n/a")</f>
        <v>-0.0898876404494382</v>
      </c>
      <c r="H56" s="5">
        <f>IFERROR(H52/H27,"n/a")</f>
        <v>-0.01847575057736721</v>
      </c>
      <c r="I56" s="5">
        <f>IFERROR(I52/I27,"n/a")</f>
        <v>-0.05633802816901408</v>
      </c>
      <c r="J56" s="44">
        <v>-0.08</v>
      </c>
      <c r="K56" s="4" t="s">
        <v>213</v>
      </c>
      <c r="L56" s="2"/>
    </row>
    <row r="57">
      <c r="A57" s="2"/>
      <c r="B57" s="41" t="s">
        <v>153</v>
      </c>
      <c r="C57" s="30" t="s">
        <v>62</v>
      </c>
      <c r="D57" s="30" t="s">
        <v>62</v>
      </c>
      <c r="E57" s="30" t="s">
        <v>62</v>
      </c>
      <c r="F57" s="30" t="s">
        <v>62</v>
      </c>
      <c r="G57" s="30" t="s">
        <v>62</v>
      </c>
      <c r="H57" s="30">
        <f>IFERROR((H56-C56)*10000,"n/a")</f>
        <v>695.924312408146</v>
      </c>
      <c r="I57" s="30">
        <f>IFERROR((I56-D56)*10000,"n/a")</f>
        <v>632.2718922229029</v>
      </c>
      <c r="J57" s="51">
        <f>IFERROR((J56-E56)*10000,"n/a")</f>
        <v>654.5454545454545</v>
      </c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A59" s="2"/>
      <c r="B59" s="43" t="s">
        <v>214</v>
      </c>
      <c r="C59" s="2"/>
      <c r="D59" s="2"/>
      <c r="E59" s="2"/>
      <c r="F59" s="2"/>
      <c r="G59" s="2"/>
      <c r="H59" s="2"/>
      <c r="I59" s="2"/>
      <c r="J59" s="23"/>
      <c r="K59" s="2"/>
      <c r="L59" s="2"/>
    </row>
    <row r="60">
      <c r="A60" s="2"/>
      <c r="B60" s="2" t="s">
        <v>157</v>
      </c>
      <c r="C60" s="30" t="s">
        <v>62</v>
      </c>
      <c r="D60" s="30" t="s">
        <v>62</v>
      </c>
      <c r="E60" s="30" t="s">
        <v>62</v>
      </c>
      <c r="F60" s="30" t="s">
        <v>62</v>
      </c>
      <c r="G60" s="30" t="s">
        <v>62</v>
      </c>
      <c r="H60" s="30" t="s">
        <v>62</v>
      </c>
      <c r="I60" s="30" t="s">
        <v>62</v>
      </c>
      <c r="J60" s="51" t="s">
        <v>62</v>
      </c>
      <c r="K60" s="4" t="s">
        <v>215</v>
      </c>
      <c r="L60" s="2"/>
    </row>
    <row r="61">
      <c r="A61" s="2"/>
      <c r="B61" s="34" t="s">
        <v>159</v>
      </c>
      <c r="C61" s="30" t="s">
        <v>62</v>
      </c>
      <c r="D61" s="30" t="s">
        <v>62</v>
      </c>
      <c r="E61" s="30" t="s">
        <v>62</v>
      </c>
      <c r="F61" s="30" t="s">
        <v>62</v>
      </c>
      <c r="G61" s="30" t="s">
        <v>62</v>
      </c>
      <c r="H61" s="30" t="s">
        <v>62</v>
      </c>
      <c r="I61" s="30" t="s">
        <v>62</v>
      </c>
      <c r="J61" s="51" t="s">
        <v>62</v>
      </c>
      <c r="K61" s="4" t="s">
        <v>216</v>
      </c>
      <c r="L61" s="2"/>
    </row>
    <row r="62">
      <c r="A62" s="2"/>
      <c r="B62" s="34" t="s">
        <v>161</v>
      </c>
      <c r="C62" s="30" t="s">
        <v>62</v>
      </c>
      <c r="D62" s="30" t="s">
        <v>62</v>
      </c>
      <c r="E62" s="30" t="s">
        <v>62</v>
      </c>
      <c r="F62" s="30" t="s">
        <v>62</v>
      </c>
      <c r="G62" s="30" t="s">
        <v>62</v>
      </c>
      <c r="H62" s="30" t="s">
        <v>62</v>
      </c>
      <c r="I62" s="30" t="s">
        <v>62</v>
      </c>
      <c r="J62" s="51" t="s">
        <v>62</v>
      </c>
      <c r="K62" s="4" t="s">
        <v>216</v>
      </c>
      <c r="L62" s="2"/>
    </row>
    <row r="63">
      <c r="A63" s="2"/>
      <c r="B63" s="34" t="s">
        <v>163</v>
      </c>
      <c r="C63" s="30" t="s">
        <v>62</v>
      </c>
      <c r="D63" s="30" t="s">
        <v>62</v>
      </c>
      <c r="E63" s="30" t="s">
        <v>62</v>
      </c>
      <c r="F63" s="30" t="s">
        <v>62</v>
      </c>
      <c r="G63" s="30" t="s">
        <v>62</v>
      </c>
      <c r="H63" s="30" t="s">
        <v>62</v>
      </c>
      <c r="I63" s="30" t="s">
        <v>62</v>
      </c>
      <c r="J63" s="51" t="s">
        <v>62</v>
      </c>
      <c r="K63" s="4" t="s">
        <v>216</v>
      </c>
      <c r="L63" s="2"/>
    </row>
    <row r="64">
      <c r="A64" s="2"/>
      <c r="B64" s="47" t="s">
        <v>165</v>
      </c>
      <c r="C64" s="39" t="s">
        <v>62</v>
      </c>
      <c r="D64" s="39" t="s">
        <v>62</v>
      </c>
      <c r="E64" s="39" t="s">
        <v>62</v>
      </c>
      <c r="F64" s="39" t="s">
        <v>62</v>
      </c>
      <c r="G64" s="69">
        <v>14</v>
      </c>
      <c r="H64" s="39" t="s">
        <v>62</v>
      </c>
      <c r="I64" s="39" t="s">
        <v>62</v>
      </c>
      <c r="J64" s="70" t="s">
        <v>62</v>
      </c>
      <c r="K64" s="4" t="s">
        <v>217</v>
      </c>
      <c r="L64" s="2"/>
    </row>
    <row r="65">
      <c r="A65" s="2"/>
      <c r="B65" s="34" t="s">
        <v>169</v>
      </c>
      <c r="C65" s="30" t="s">
        <v>62</v>
      </c>
      <c r="D65" s="30" t="s">
        <v>62</v>
      </c>
      <c r="E65" s="30" t="s">
        <v>62</v>
      </c>
      <c r="F65" s="30" t="s">
        <v>62</v>
      </c>
      <c r="G65" s="30" t="s">
        <v>62</v>
      </c>
      <c r="H65" s="30" t="s">
        <v>62</v>
      </c>
      <c r="I65" s="30" t="s">
        <v>62</v>
      </c>
      <c r="J65" s="51" t="s">
        <v>62</v>
      </c>
      <c r="K65" s="4" t="s">
        <v>218</v>
      </c>
      <c r="L65" s="2"/>
    </row>
    <row r="66">
      <c r="A66" s="2"/>
      <c r="B66" s="34" t="s">
        <v>219</v>
      </c>
      <c r="C66" s="30" t="s">
        <v>62</v>
      </c>
      <c r="D66" s="30" t="s">
        <v>62</v>
      </c>
      <c r="E66" s="30" t="s">
        <v>62</v>
      </c>
      <c r="F66" s="30" t="s">
        <v>62</v>
      </c>
      <c r="G66" s="30" t="s">
        <v>62</v>
      </c>
      <c r="H66" s="30" t="s">
        <v>62</v>
      </c>
      <c r="I66" s="30" t="s">
        <v>62</v>
      </c>
      <c r="J66" s="51" t="s">
        <v>62</v>
      </c>
      <c r="K66" s="4" t="s">
        <v>220</v>
      </c>
      <c r="L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L173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231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232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47" t="s">
        <v>233</v>
      </c>
      <c r="C11" s="81">
        <f>'Revenue summary'!C43</f>
        <v>1526.8</v>
      </c>
      <c r="D11" s="81">
        <f>'Revenue summary'!D43</f>
        <v>1446</v>
      </c>
      <c r="E11" s="81">
        <f>'Revenue summary'!E43</f>
        <v>1543.4</v>
      </c>
      <c r="F11" s="81">
        <f>'Revenue summary'!F43</f>
        <v>1765.8000000000004</v>
      </c>
      <c r="G11" s="81">
        <f>'Revenue summary'!G43</f>
        <v>6282.000000000001</v>
      </c>
      <c r="H11" s="81">
        <f>'Revenue summary'!H43</f>
        <v>1742.5</v>
      </c>
      <c r="I11" s="81">
        <f>'Revenue summary'!I43</f>
        <v>1562</v>
      </c>
      <c r="J11" s="88">
        <f>'Revenue summary'!J43</f>
        <v>1634.2860699999999</v>
      </c>
      <c r="K11" s="4" t="s">
        <v>234</v>
      </c>
      <c r="L11" s="2"/>
    </row>
    <row r="12">
      <c r="A12" s="2"/>
      <c r="B12" s="41" t="s">
        <v>235</v>
      </c>
      <c r="C12" s="16">
        <f>'Revenue summary'!C44</f>
        <v>1480.1999999999998</v>
      </c>
      <c r="D12" s="16">
        <f>'Revenue summary'!D44</f>
        <v>1358.8000000000002</v>
      </c>
      <c r="E12" s="16">
        <f>'Revenue summary'!E44</f>
        <v>1443.1000000000001</v>
      </c>
      <c r="F12" s="16">
        <f>'Revenue summary'!F44</f>
        <v>1749.9</v>
      </c>
      <c r="G12" s="16">
        <f>'Revenue summary'!G44</f>
        <v>6032</v>
      </c>
      <c r="H12" s="7">
        <f>C11</f>
        <v>1526.8</v>
      </c>
      <c r="I12" s="7">
        <f>D11</f>
        <v>1446</v>
      </c>
      <c r="J12" s="46">
        <f>E11</f>
        <v>1543.4</v>
      </c>
      <c r="K12" s="4" t="s">
        <v>236</v>
      </c>
      <c r="L12" s="2"/>
    </row>
    <row r="13">
      <c r="A13" s="2"/>
      <c r="B13" s="3" t="s">
        <v>94</v>
      </c>
      <c r="C13" s="5">
        <f>IFERROR(IF(OR(C12&lt;=0,ABS(C11/C12-1)&gt;5),"n/m",C11/C12-1),"n/a")</f>
        <v>0.031482232130793264</v>
      </c>
      <c r="D13" s="5">
        <f>IFERROR(IF(OR(D12&lt;=0,ABS(D11/D12-1)&gt;5),"n/m",D11/D12-1),"n/a")</f>
        <v>0.06417427141595522</v>
      </c>
      <c r="E13" s="5">
        <f>IFERROR(IF(OR(E12&lt;=0,ABS(E11/E12-1)&gt;5),"n/m",E11/E12-1),"n/a")</f>
        <v>0.06950315293465459</v>
      </c>
      <c r="F13" s="5">
        <f>IFERROR(IF(OR(F12&lt;=0,ABS(F11/F12-1)&gt;5),"n/m",F11/F12-1),"n/a")</f>
        <v>0.00908623349905735</v>
      </c>
      <c r="G13" s="5">
        <f>IFERROR(IF(OR(G12&lt;=0,ABS(G11/G12-1)&gt;5),"n/m",G11/G12-1),"n/a")</f>
        <v>0.041445623342175164</v>
      </c>
      <c r="H13" s="5">
        <f>IFERROR(IF(OR(H12&lt;=0,ABS(H11/H12-1)&gt;5),"n/m",H11/H12-1),"n/a")</f>
        <v>0.14127587110296047</v>
      </c>
      <c r="I13" s="5">
        <f>IFERROR(IF(OR(I12&lt;=0,ABS(I11/I12-1)&gt;5),"n/m",I11/I12-1),"n/a")</f>
        <v>0.08022130013831252</v>
      </c>
      <c r="J13" s="31">
        <f>IFERROR(IF(OR(J12&lt;=0,ABS(J11/J12-1)&gt;5),"n/m",J11/J12-1),"n/a")</f>
        <v>0.05888691849164163</v>
      </c>
      <c r="K13" s="97" t="s">
        <v>237</v>
      </c>
      <c r="L13" s="2"/>
    </row>
    <row r="14">
      <c r="A14" s="2"/>
      <c r="B14" s="3" t="s">
        <v>95</v>
      </c>
      <c r="C14" s="5" t="s">
        <v>62</v>
      </c>
      <c r="D14" s="5">
        <f>IFERROR(IF(C11&lt;=0,"n/m",D11/C11-1),"n/a")</f>
        <v>-0.05292114225831801</v>
      </c>
      <c r="E14" s="5">
        <f>IFERROR(IF(D11&lt;=0,"n/m",E11/D11-1),"n/a")</f>
        <v>0.06735822959889348</v>
      </c>
      <c r="F14" s="5">
        <f>IFERROR(IF(E11&lt;=0,"n/m",F11/E11-1),"n/a")</f>
        <v>0.1440974471945058</v>
      </c>
      <c r="G14" s="5" t="s">
        <v>62</v>
      </c>
      <c r="H14" s="5">
        <f>IFERROR(IF(F11&lt;=0,"n/m",H11/F11-1),"n/a")</f>
        <v>-0.013195152338883465</v>
      </c>
      <c r="I14" s="5">
        <f>IFERROR(IF(H11&lt;=0,"n/m",I11/H11-1),"n/a")</f>
        <v>-0.10358680057388814</v>
      </c>
      <c r="J14" s="31">
        <f>IFERROR(IF(I11&lt;=0,"n/m",J11/I11-1),"n/a")</f>
        <v>0.046277893725992225</v>
      </c>
      <c r="K14" s="2"/>
      <c r="L14" s="2"/>
    </row>
    <row r="15">
      <c r="A15" s="2"/>
      <c r="B15" s="2" t="s">
        <v>238</v>
      </c>
      <c r="C15" s="12">
        <v>579.2</v>
      </c>
      <c r="D15" s="12">
        <v>540.2</v>
      </c>
      <c r="E15" s="12">
        <v>591.8</v>
      </c>
      <c r="F15" s="12">
        <v>693</v>
      </c>
      <c r="G15" s="7">
        <f>C15+D15+E15+F15</f>
        <v>2404.2</v>
      </c>
      <c r="H15" s="12">
        <v>664.2</v>
      </c>
      <c r="I15" s="12">
        <v>582.9</v>
      </c>
      <c r="J15" s="46">
        <f>J11*(1-J119)-J117</f>
        <v>591.0287066</v>
      </c>
      <c r="K15" s="4" t="s">
        <v>239</v>
      </c>
      <c r="L15" s="2"/>
    </row>
    <row r="16">
      <c r="A16" s="2"/>
      <c r="B16" s="3" t="s">
        <v>94</v>
      </c>
      <c r="C16" s="5" t="s">
        <v>62</v>
      </c>
      <c r="D16" s="5" t="s">
        <v>62</v>
      </c>
      <c r="E16" s="5" t="s">
        <v>62</v>
      </c>
      <c r="F16" s="5" t="s">
        <v>62</v>
      </c>
      <c r="G16" s="5" t="s">
        <v>62</v>
      </c>
      <c r="H16" s="5">
        <f>IFERROR(IF(OR(C15&lt;=0,ABS(H15/C15-1)&gt;5),"n/m",H15/C15-1),"n/a")</f>
        <v>0.14675414364640882</v>
      </c>
      <c r="I16" s="5">
        <f>IFERROR(IF(OR(D15&lt;=0,ABS(I15/D15-1)&gt;5),"n/m",I15/D15-1),"n/a")</f>
        <v>0.07904479822288035</v>
      </c>
      <c r="J16" s="31">
        <f>IFERROR(IF(OR(E15&lt;=0,ABS(J15/E15-1)&gt;5),"n/m",J15/E15-1),"n/a")</f>
        <v>-0.0013033007772895733</v>
      </c>
      <c r="K16" s="2"/>
      <c r="L16" s="2"/>
    </row>
    <row r="17">
      <c r="A17" s="2"/>
      <c r="B17" s="41" t="s">
        <v>96</v>
      </c>
      <c r="C17" s="7" t="s">
        <v>62</v>
      </c>
      <c r="D17" s="7">
        <f>IFERROR(D15-C15,"n/a")</f>
        <v>-39</v>
      </c>
      <c r="E17" s="7">
        <f>IFERROR(E15-D15,"n/a")</f>
        <v>51.59999999999991</v>
      </c>
      <c r="F17" s="7">
        <f>IFERROR(F15-E15,"n/a")</f>
        <v>101.20000000000005</v>
      </c>
      <c r="G17" s="7" t="s">
        <v>62</v>
      </c>
      <c r="H17" s="7">
        <f>IFERROR(H15-F15,"n/a")</f>
        <v>-28.799999999999955</v>
      </c>
      <c r="I17" s="7">
        <f>IFERROR(I15-H15,"n/a")</f>
        <v>-81.30000000000007</v>
      </c>
      <c r="J17" s="46">
        <f>IFERROR(J15-I15,"n/a")</f>
        <v>8.128706599999987</v>
      </c>
      <c r="K17" s="2"/>
      <c r="L17" s="2"/>
    </row>
    <row r="18">
      <c r="A18" s="2"/>
      <c r="B18" s="47" t="s">
        <v>240</v>
      </c>
      <c r="C18" s="14">
        <f>C11-C15</f>
        <v>947.5999999999999</v>
      </c>
      <c r="D18" s="14">
        <f>D11-D15</f>
        <v>905.8</v>
      </c>
      <c r="E18" s="14">
        <f>E11-E15</f>
        <v>951.6000000000001</v>
      </c>
      <c r="F18" s="14">
        <f>F11-F15</f>
        <v>1072.8000000000004</v>
      </c>
      <c r="G18" s="14">
        <f>G11-G15</f>
        <v>3877.800000000001</v>
      </c>
      <c r="H18" s="14">
        <f>H11-H15</f>
        <v>1078.3</v>
      </c>
      <c r="I18" s="14">
        <f>I11-I15</f>
        <v>979.1</v>
      </c>
      <c r="J18" s="36">
        <f>J11-J15</f>
        <v>1043.2573634</v>
      </c>
      <c r="K18" s="2"/>
      <c r="L18" s="2"/>
    </row>
    <row r="19">
      <c r="A19" s="2"/>
      <c r="B19" s="41" t="s">
        <v>241</v>
      </c>
      <c r="C19" s="12">
        <v>869.8</v>
      </c>
      <c r="D19" s="12">
        <v>832.4</v>
      </c>
      <c r="E19" s="12">
        <v>873.9</v>
      </c>
      <c r="F19" s="12">
        <v>1081</v>
      </c>
      <c r="G19" s="12">
        <v>3657.1</v>
      </c>
      <c r="H19" s="7">
        <f>C18</f>
        <v>947.5999999999999</v>
      </c>
      <c r="I19" s="7">
        <f>D18</f>
        <v>905.8</v>
      </c>
      <c r="J19" s="46">
        <f>E18</f>
        <v>951.6000000000001</v>
      </c>
      <c r="K19" s="2"/>
      <c r="L19" s="2"/>
    </row>
    <row r="20">
      <c r="A20" s="2"/>
      <c r="B20" s="3" t="s">
        <v>94</v>
      </c>
      <c r="C20" s="5">
        <f>IFERROR(IF(OR(C19&lt;=0,ABS(C18/C19-1)&gt;5),"n/m",C18/C19-1),"n/a")</f>
        <v>0.08944584962060231</v>
      </c>
      <c r="D20" s="5">
        <f>IFERROR(IF(OR(D19&lt;=0,ABS(D18/D19-1)&gt;5),"n/m",D18/D19-1),"n/a")</f>
        <v>0.08817876021143678</v>
      </c>
      <c r="E20" s="5">
        <f>IFERROR(IF(OR(E19&lt;=0,ABS(E18/E19-1)&gt;5),"n/m",E18/E19-1),"n/a")</f>
        <v>0.08891177480260914</v>
      </c>
      <c r="F20" s="5">
        <f>IFERROR(IF(OR(F19&lt;=0,ABS(F18/F19-1)&gt;5),"n/m",F18/F19-1),"n/a")</f>
        <v>-0.007585568917668484</v>
      </c>
      <c r="G20" s="5">
        <f>IFERROR(IF(OR(G19&lt;=0,ABS(G18/G19-1)&gt;5),"n/m",G18/G19-1),"n/a")</f>
        <v>0.0603483634573847</v>
      </c>
      <c r="H20" s="5">
        <f>IFERROR(IF(OR(H19&lt;=0,ABS(H18/H19-1)&gt;5),"n/m",H18/H19-1),"n/a")</f>
        <v>0.13792739552553823</v>
      </c>
      <c r="I20" s="5">
        <f>IFERROR(IF(OR(I19&lt;=0,ABS(I18/I19-1)&gt;5),"n/m",I18/I19-1),"n/a")</f>
        <v>0.08092294104658881</v>
      </c>
      <c r="J20" s="31">
        <f>IFERROR(IF(OR(J19&lt;=0,ABS(J18/J19-1)&gt;5),"n/m",J18/J19-1),"n/a")</f>
        <v>0.09631921332492621</v>
      </c>
      <c r="K20" s="2"/>
      <c r="L20" s="2"/>
    </row>
    <row r="21">
      <c r="A21" s="2"/>
      <c r="B21" s="21" t="s">
        <v>242</v>
      </c>
      <c r="C21" s="5">
        <f>IFERROR(C18/C11,"n/a")</f>
        <v>0.6206444851977992</v>
      </c>
      <c r="D21" s="5">
        <f>IFERROR(D18/D11,"n/a")</f>
        <v>0.626417704011065</v>
      </c>
      <c r="E21" s="5">
        <f>IFERROR(E18/E11,"n/a")</f>
        <v>0.6165608397045484</v>
      </c>
      <c r="F21" s="5">
        <f>IFERROR(F18/F11,"n/a")</f>
        <v>0.6075433231396535</v>
      </c>
      <c r="G21" s="5">
        <f>IFERROR(G18/G11,"n/a")</f>
        <v>0.6172874880611271</v>
      </c>
      <c r="H21" s="5">
        <f>IFERROR(H18/H11,"n/a")</f>
        <v>0.6188235294117647</v>
      </c>
      <c r="I21" s="5">
        <f>IFERROR(I18/I11,"n/a")</f>
        <v>0.6268245838668374</v>
      </c>
      <c r="J21" s="31">
        <f>IFERROR(J18/J11,"n/a")</f>
        <v>0.638356639361186</v>
      </c>
      <c r="K21" s="2"/>
      <c r="L21" s="2"/>
    </row>
    <row r="22">
      <c r="A22" s="2"/>
      <c r="B22" s="3" t="s">
        <v>243</v>
      </c>
      <c r="C22" s="5">
        <f>IFERROR(C19/C12,"n/a")</f>
        <v>0.5876232941494393</v>
      </c>
      <c r="D22" s="5">
        <f>IFERROR(D19/D12,"n/a")</f>
        <v>0.612599352369738</v>
      </c>
      <c r="E22" s="5">
        <f>IFERROR(E19/E12,"n/a")</f>
        <v>0.6055713394775136</v>
      </c>
      <c r="F22" s="5">
        <f>IFERROR(F19/F12,"n/a")</f>
        <v>0.6177495856906109</v>
      </c>
      <c r="G22" s="5">
        <f>IFERROR(G19/G12,"n/a")</f>
        <v>0.6062831564986737</v>
      </c>
      <c r="H22" s="5">
        <f>IFERROR(H19/H12,"n/a")</f>
        <v>0.6206444851977992</v>
      </c>
      <c r="I22" s="5">
        <f>IFERROR(I19/I12,"n/a")</f>
        <v>0.626417704011065</v>
      </c>
      <c r="J22" s="31">
        <f>IFERROR(J19/J12,"n/a")</f>
        <v>0.6165608397045484</v>
      </c>
      <c r="K22" s="2"/>
      <c r="L22" s="2"/>
    </row>
    <row r="23">
      <c r="A23" s="2"/>
      <c r="B23" s="41" t="s">
        <v>244</v>
      </c>
      <c r="C23" s="30">
        <f>IFERROR((C21-C22)*10000,"n/a")</f>
        <v>330.21191048359987</v>
      </c>
      <c r="D23" s="30">
        <f>IFERROR((D21-D22)*10000,"n/a")</f>
        <v>138.18351641327052</v>
      </c>
      <c r="E23" s="30">
        <f>IFERROR((E21-E22)*10000,"n/a")</f>
        <v>109.89500227034821</v>
      </c>
      <c r="F23" s="30">
        <f>IFERROR((F21-F22)*10000,"n/a")</f>
        <v>-102.06262550957356</v>
      </c>
      <c r="G23" s="30">
        <f>IFERROR((G21-G22)*10000,"n/a")</f>
        <v>110.04331562453396</v>
      </c>
      <c r="H23" s="30">
        <f>IFERROR((H21-H22)*10000,"n/a")</f>
        <v>-18.20955786034584</v>
      </c>
      <c r="I23" s="30">
        <f>IFERROR((I21-I22)*10000,"n/a")</f>
        <v>4.068798557723685</v>
      </c>
      <c r="J23" s="51">
        <f>IFERROR((J21-J22)*10000,"n/a")</f>
        <v>217.9579965663758</v>
      </c>
      <c r="K23" s="2"/>
      <c r="L23" s="2"/>
    </row>
    <row r="24">
      <c r="A24" s="2"/>
      <c r="B24" s="2" t="s">
        <v>245</v>
      </c>
      <c r="C24" s="12">
        <v>746.8</v>
      </c>
      <c r="D24" s="12">
        <v>791</v>
      </c>
      <c r="E24" s="12">
        <v>775.6</v>
      </c>
      <c r="F24" s="12">
        <v>859.8</v>
      </c>
      <c r="G24" s="7">
        <f>C24+D24+E24+F24</f>
        <v>3173.2</v>
      </c>
      <c r="H24" s="12">
        <v>871.7</v>
      </c>
      <c r="I24" s="12">
        <v>843.4</v>
      </c>
      <c r="J24" s="46">
        <f>J110+J107</f>
        <v>821.4580000000001</v>
      </c>
      <c r="K24" s="4" t="s">
        <v>246</v>
      </c>
      <c r="L24" s="2"/>
    </row>
    <row r="25">
      <c r="A25" s="2"/>
      <c r="B25" s="3" t="s">
        <v>94</v>
      </c>
      <c r="C25" s="5" t="s">
        <v>62</v>
      </c>
      <c r="D25" s="5" t="s">
        <v>62</v>
      </c>
      <c r="E25" s="5" t="s">
        <v>62</v>
      </c>
      <c r="F25" s="5" t="s">
        <v>62</v>
      </c>
      <c r="G25" s="5" t="s">
        <v>62</v>
      </c>
      <c r="H25" s="5">
        <f>IFERROR(IF(OR(C24&lt;=0,ABS(H24/C24-1)&gt;5),"n/m",H24/C24-1),"n/a")</f>
        <v>0.16724692019282283</v>
      </c>
      <c r="I25" s="5">
        <f>IFERROR(IF(OR(D24&lt;=0,ABS(I24/D24-1)&gt;5),"n/m",I24/D24-1),"n/a")</f>
        <v>0.06624525916561308</v>
      </c>
      <c r="J25" s="31">
        <f>IFERROR(IF(OR(E24&lt;=0,ABS(J24/E24-1)&gt;5),"n/m",J24/E24-1),"n/a")</f>
        <v>0.05912583806085614</v>
      </c>
      <c r="K25" s="2"/>
      <c r="L25" s="2"/>
    </row>
    <row r="26">
      <c r="A26" s="2"/>
      <c r="B26" s="41" t="s">
        <v>96</v>
      </c>
      <c r="C26" s="7" t="s">
        <v>62</v>
      </c>
      <c r="D26" s="7">
        <f>IFERROR(D24-C24,"n/a")</f>
        <v>44.200000000000045</v>
      </c>
      <c r="E26" s="7">
        <f>IFERROR(E24-D24,"n/a")</f>
        <v>-15.399999999999977</v>
      </c>
      <c r="F26" s="7">
        <f>IFERROR(F24-E24,"n/a")</f>
        <v>84.19999999999993</v>
      </c>
      <c r="G26" s="7" t="s">
        <v>62</v>
      </c>
      <c r="H26" s="7">
        <f>IFERROR(H24-F24,"n/a")</f>
        <v>11.900000000000091</v>
      </c>
      <c r="I26" s="7">
        <f>IFERROR(I24-H24,"n/a")</f>
        <v>-28.300000000000068</v>
      </c>
      <c r="J26" s="46">
        <f>IFERROR(J24-I24,"n/a")</f>
        <v>-21.941999999999894</v>
      </c>
      <c r="K26" s="2"/>
      <c r="L26" s="2"/>
    </row>
    <row r="27">
      <c r="A27" s="2"/>
      <c r="B27" s="21" t="s">
        <v>247</v>
      </c>
      <c r="C27" s="5">
        <f>IFERROR(C24/C11,"n/a")</f>
        <v>0.489127587110296</v>
      </c>
      <c r="D27" s="5">
        <f>IFERROR(D24/D11,"n/a")</f>
        <v>0.5470262793914247</v>
      </c>
      <c r="E27" s="5">
        <f>IFERROR(E24/E11,"n/a")</f>
        <v>0.5025268886873137</v>
      </c>
      <c r="F27" s="5">
        <f>IFERROR(F24/F11,"n/a")</f>
        <v>0.48691811077132163</v>
      </c>
      <c r="G27" s="5">
        <f>IFERROR(G24/G11,"n/a")</f>
        <v>0.5051257561286213</v>
      </c>
      <c r="H27" s="5">
        <f>IFERROR(H24/H11,"n/a")</f>
        <v>0.5002582496413199</v>
      </c>
      <c r="I27" s="5">
        <f>IFERROR(I24/I11,"n/a")</f>
        <v>0.5399487836107554</v>
      </c>
      <c r="J27" s="31">
        <f>IFERROR(J24/J11,"n/a")</f>
        <v>0.5026402752120381</v>
      </c>
      <c r="K27" s="2"/>
      <c r="L27" s="2"/>
    </row>
    <row r="28">
      <c r="A28" s="2"/>
      <c r="B28" s="41" t="s">
        <v>153</v>
      </c>
      <c r="C28" s="30" t="s">
        <v>62</v>
      </c>
      <c r="D28" s="30" t="s">
        <v>62</v>
      </c>
      <c r="E28" s="30" t="s">
        <v>62</v>
      </c>
      <c r="F28" s="30" t="s">
        <v>62</v>
      </c>
      <c r="G28" s="30" t="s">
        <v>62</v>
      </c>
      <c r="H28" s="30">
        <f>IFERROR((H27-C27)*10000,"n/a")</f>
        <v>111.30662531023904</v>
      </c>
      <c r="I28" s="30">
        <f>IFERROR((I27-D27)*10000,"n/a")</f>
        <v>-70.77495780669297</v>
      </c>
      <c r="J28" s="51">
        <f>IFERROR((J27-E27)*10000,"n/a")</f>
        <v>1.1338652472447919</v>
      </c>
      <c r="K28" s="2"/>
      <c r="L28" s="2"/>
    </row>
    <row r="29">
      <c r="A29" s="2"/>
      <c r="B29" s="2" t="s">
        <v>248</v>
      </c>
      <c r="C29" s="12">
        <v>6.7</v>
      </c>
      <c r="D29" s="12">
        <v>6.8</v>
      </c>
      <c r="E29" s="12">
        <v>8.6</v>
      </c>
      <c r="F29" s="12">
        <v>2.4</v>
      </c>
      <c r="G29" s="7">
        <f>C29+D29+E29+F29</f>
        <v>24.5</v>
      </c>
      <c r="H29" s="12">
        <v>7.9</v>
      </c>
      <c r="I29" s="12">
        <v>13.5</v>
      </c>
      <c r="J29" s="49">
        <v>10</v>
      </c>
      <c r="K29" s="4" t="s">
        <v>249</v>
      </c>
      <c r="L29" s="2"/>
    </row>
    <row r="30">
      <c r="A30" s="2"/>
      <c r="B30" s="3" t="s">
        <v>94</v>
      </c>
      <c r="C30" s="5" t="s">
        <v>62</v>
      </c>
      <c r="D30" s="5" t="s">
        <v>62</v>
      </c>
      <c r="E30" s="5" t="s">
        <v>62</v>
      </c>
      <c r="F30" s="5" t="s">
        <v>62</v>
      </c>
      <c r="G30" s="5" t="s">
        <v>62</v>
      </c>
      <c r="H30" s="5">
        <f>IFERROR(IF(OR(C29&lt;=0,ABS(H29/C29-1)&gt;5),"n/m",H29/C29-1),"n/a")</f>
        <v>0.17910447761194037</v>
      </c>
      <c r="I30" s="5">
        <f>IFERROR(IF(OR(D29&lt;=0,ABS(I29/D29-1)&gt;5),"n/m",I29/D29-1),"n/a")</f>
        <v>0.9852941176470589</v>
      </c>
      <c r="J30" s="31">
        <f>IFERROR(IF(OR(E29&lt;=0,ABS(J29/E29-1)&gt;5),"n/m",J29/E29-1),"n/a")</f>
        <v>0.16279069767441867</v>
      </c>
      <c r="K30" s="2"/>
      <c r="L30" s="2"/>
    </row>
    <row r="31">
      <c r="A31" s="2"/>
      <c r="B31" s="41" t="s">
        <v>96</v>
      </c>
      <c r="C31" s="7" t="s">
        <v>62</v>
      </c>
      <c r="D31" s="7">
        <f>IFERROR(D29-C29,"n/a")</f>
        <v>0.09999999999999964</v>
      </c>
      <c r="E31" s="7">
        <f>IFERROR(E29-D29,"n/a")</f>
        <v>1.7999999999999998</v>
      </c>
      <c r="F31" s="7">
        <f>IFERROR(F29-E29,"n/a")</f>
        <v>-6.199999999999999</v>
      </c>
      <c r="G31" s="7" t="s">
        <v>62</v>
      </c>
      <c r="H31" s="7">
        <f>IFERROR(H29-F29,"n/a")</f>
        <v>5.5</v>
      </c>
      <c r="I31" s="7">
        <f>IFERROR(I29-H29,"n/a")</f>
        <v>5.6</v>
      </c>
      <c r="J31" s="46">
        <f>IFERROR(J29-I29,"n/a")</f>
        <v>-3.5</v>
      </c>
      <c r="K31" s="2"/>
      <c r="L31" s="2"/>
    </row>
    <row r="32">
      <c r="A32" s="2"/>
      <c r="B32" s="2" t="s">
        <v>250</v>
      </c>
      <c r="C32" s="12">
        <v>2.5</v>
      </c>
      <c r="D32" s="12">
        <v>0</v>
      </c>
      <c r="E32" s="12">
        <v>0</v>
      </c>
      <c r="F32" s="12">
        <v>0</v>
      </c>
      <c r="G32" s="7">
        <f>C32+D32+E32+F32</f>
        <v>2.5</v>
      </c>
      <c r="H32" s="12">
        <v>0</v>
      </c>
      <c r="I32" s="12">
        <v>0</v>
      </c>
      <c r="J32" s="49">
        <v>0</v>
      </c>
      <c r="K32" s="2"/>
      <c r="L32" s="2"/>
    </row>
    <row r="33">
      <c r="A33" s="2"/>
      <c r="B33" s="47" t="s">
        <v>251</v>
      </c>
      <c r="C33" s="14">
        <f>C18-C24-C29-C32</f>
        <v>191.59999999999997</v>
      </c>
      <c r="D33" s="14">
        <f>D18-D24-D29-D32</f>
        <v>107.99999999999996</v>
      </c>
      <c r="E33" s="14">
        <f>E18-E24-E29-E32</f>
        <v>167.40000000000012</v>
      </c>
      <c r="F33" s="14">
        <f>F18-F24-F29-F32</f>
        <v>210.60000000000045</v>
      </c>
      <c r="G33" s="14">
        <f>G18-G24-G29-G32</f>
        <v>677.6000000000013</v>
      </c>
      <c r="H33" s="14">
        <f>H18-H24-H29-H32</f>
        <v>198.6999999999999</v>
      </c>
      <c r="I33" s="14">
        <f>I18-I24-I29-I32</f>
        <v>122.20000000000005</v>
      </c>
      <c r="J33" s="36">
        <f>J18-J24-J29-J32</f>
        <v>211.79936339999995</v>
      </c>
      <c r="K33" s="2"/>
      <c r="L33" s="2"/>
    </row>
    <row r="34">
      <c r="A34" s="2"/>
      <c r="B34" s="41" t="s">
        <v>252</v>
      </c>
      <c r="C34" s="12">
        <v>0.6</v>
      </c>
      <c r="D34" s="12">
        <v>20.9</v>
      </c>
      <c r="E34" s="12">
        <v>32.7</v>
      </c>
      <c r="F34" s="12">
        <v>208.5</v>
      </c>
      <c r="G34" s="12">
        <v>262.7</v>
      </c>
      <c r="H34" s="7">
        <f>C33</f>
        <v>191.59999999999997</v>
      </c>
      <c r="I34" s="7">
        <f>D33</f>
        <v>107.99999999999996</v>
      </c>
      <c r="J34" s="46">
        <f>E33</f>
        <v>167.40000000000012</v>
      </c>
      <c r="K34" s="2"/>
      <c r="L34" s="2"/>
    </row>
    <row r="35">
      <c r="A35" s="2"/>
      <c r="B35" s="3" t="s">
        <v>94</v>
      </c>
      <c r="C35" s="5" t="str">
        <f>IFERROR(IF(OR(C34&lt;=0,ABS(C33/C34-1)&gt;5),"n/m",C33/C34-1),"n/a")</f>
        <v>n/m</v>
      </c>
      <c r="D35" s="5">
        <f>IFERROR(IF(OR(D34&lt;=0,ABS(D33/D34-1)&gt;5),"n/m",D33/D34-1),"n/a")</f>
        <v>4.167464114832534</v>
      </c>
      <c r="E35" s="5">
        <f>IFERROR(IF(OR(E34&lt;=0,ABS(E33/E34-1)&gt;5),"n/m",E33/E34-1),"n/a")</f>
        <v>4.119266055045875</v>
      </c>
      <c r="F35" s="5">
        <f>IFERROR(IF(OR(F34&lt;=0,ABS(F33/F34-1)&gt;5),"n/m",F33/F34-1),"n/a")</f>
        <v>0.010071942446045368</v>
      </c>
      <c r="G35" s="5">
        <f>IFERROR(IF(OR(G34&lt;=0,ABS(G33/G34-1)&gt;5),"n/m",G33/G34-1),"n/a")</f>
        <v>1.5793681004948659</v>
      </c>
      <c r="H35" s="5">
        <f>IFERROR(IF(OR(H34&lt;=0,ABS(H33/H34-1)&gt;5),"n/m",H33/H34-1),"n/a")</f>
        <v>0.03705636743215002</v>
      </c>
      <c r="I35" s="5">
        <f>IFERROR(IF(OR(I34&lt;=0,ABS(I33/I34-1)&gt;5),"n/m",I33/I34-1),"n/a")</f>
        <v>0.13148148148148242</v>
      </c>
      <c r="J35" s="31">
        <f>IFERROR(IF(OR(J34&lt;=0,ABS(J33/J34-1)&gt;5),"n/m",J33/J34-1),"n/a")</f>
        <v>0.26522917204300955</v>
      </c>
      <c r="K35" s="2"/>
      <c r="L35" s="2"/>
    </row>
    <row r="36">
      <c r="A36" s="2"/>
      <c r="B36" s="21" t="s">
        <v>253</v>
      </c>
      <c r="C36" s="5">
        <f>IFERROR(C33/C11,"n/a")</f>
        <v>0.12549122347393238</v>
      </c>
      <c r="D36" s="5">
        <f>IFERROR(D33/D11,"n/a")</f>
        <v>0.0746887966804979</v>
      </c>
      <c r="E36" s="5">
        <f>IFERROR(E33/E11,"n/a")</f>
        <v>0.10846183750161988</v>
      </c>
      <c r="F36" s="5">
        <f>IFERROR(F33/F11,"n/a")</f>
        <v>0.11926605504587179</v>
      </c>
      <c r="G36" s="5">
        <f>IFERROR(G33/G11,"n/a")</f>
        <v>0.10786373766316479</v>
      </c>
      <c r="H36" s="5">
        <f>IFERROR(H33/H11,"n/a")</f>
        <v>0.11403156384505016</v>
      </c>
      <c r="I36" s="5">
        <f>IFERROR(I33/I11,"n/a")</f>
        <v>0.07823303457106277</v>
      </c>
      <c r="J36" s="31">
        <f>IFERROR(J33/J11,"n/a")</f>
        <v>0.12959748436208599</v>
      </c>
      <c r="K36" s="2"/>
      <c r="L36" s="2"/>
    </row>
    <row r="37">
      <c r="A37" s="2"/>
      <c r="B37" s="41" t="s">
        <v>153</v>
      </c>
      <c r="C37" s="30" t="s">
        <v>62</v>
      </c>
      <c r="D37" s="30" t="s">
        <v>62</v>
      </c>
      <c r="E37" s="30" t="s">
        <v>62</v>
      </c>
      <c r="F37" s="30" t="s">
        <v>62</v>
      </c>
      <c r="G37" s="30" t="s">
        <v>62</v>
      </c>
      <c r="H37" s="30">
        <f>IFERROR((H36-C36)*10000,"n/a")</f>
        <v>-114.59659628882221</v>
      </c>
      <c r="I37" s="30">
        <f>IFERROR((I36-D36)*10000,"n/a")</f>
        <v>35.44237890564877</v>
      </c>
      <c r="J37" s="51">
        <f>IFERROR((J36-E36)*10000,"n/a")</f>
        <v>211.3564686046611</v>
      </c>
      <c r="K37" s="2"/>
      <c r="L37" s="2"/>
    </row>
    <row r="38">
      <c r="A38" s="2"/>
      <c r="B38" s="2" t="s">
        <v>254</v>
      </c>
      <c r="C38" s="12">
        <v>-10.9</v>
      </c>
      <c r="D38" s="12">
        <v>-11.8</v>
      </c>
      <c r="E38" s="12">
        <v>-12.5</v>
      </c>
      <c r="F38" s="12">
        <v>-13.4</v>
      </c>
      <c r="G38" s="7">
        <f>C38+D38+E38+F38</f>
        <v>-48.6</v>
      </c>
      <c r="H38" s="12">
        <v>-13.1</v>
      </c>
      <c r="I38" s="12">
        <v>-12.9</v>
      </c>
      <c r="J38" s="49">
        <v>-13</v>
      </c>
      <c r="K38" s="4" t="s">
        <v>255</v>
      </c>
      <c r="L38" s="2"/>
    </row>
    <row r="39">
      <c r="A39" s="2"/>
      <c r="B39" s="3" t="s">
        <v>256</v>
      </c>
      <c r="C39" s="5" t="s">
        <v>62</v>
      </c>
      <c r="D39" s="5" t="s">
        <v>62</v>
      </c>
      <c r="E39" s="5" t="s">
        <v>62</v>
      </c>
      <c r="F39" s="5" t="s">
        <v>62</v>
      </c>
      <c r="G39" s="5" t="s">
        <v>62</v>
      </c>
      <c r="H39" s="5">
        <f>IFERROR(IF(C38&gt;=0,"n/m",H38/C38-1),"n/a")</f>
        <v>0.201834862385321</v>
      </c>
      <c r="I39" s="5">
        <f>IFERROR(IF(D38&gt;=0,"n/m",I38/D38-1),"n/a")</f>
        <v>0.09322033898305082</v>
      </c>
      <c r="J39" s="31">
        <f>IFERROR(IF(E38&gt;=0,"n/m",J38/E38-1),"n/a")</f>
        <v>0.040000000000000036</v>
      </c>
      <c r="K39" s="2"/>
      <c r="L39" s="2"/>
    </row>
    <row r="40">
      <c r="A40" s="2"/>
      <c r="B40" s="41" t="s">
        <v>96</v>
      </c>
      <c r="C40" s="7" t="s">
        <v>62</v>
      </c>
      <c r="D40" s="7">
        <f>IFERROR(D38-C38,"n/a")</f>
        <v>-0.9000000000000004</v>
      </c>
      <c r="E40" s="7">
        <f>IFERROR(E38-D38,"n/a")</f>
        <v>-0.6999999999999993</v>
      </c>
      <c r="F40" s="7">
        <f>IFERROR(F38-E38,"n/a")</f>
        <v>-0.9000000000000004</v>
      </c>
      <c r="G40" s="7" t="s">
        <v>62</v>
      </c>
      <c r="H40" s="7">
        <f>IFERROR(H38-F38,"n/a")</f>
        <v>0.3000000000000007</v>
      </c>
      <c r="I40" s="7">
        <f>IFERROR(I38-H38,"n/a")</f>
        <v>0.1999999999999993</v>
      </c>
      <c r="J40" s="46">
        <f>IFERROR(J38-I38,"n/a")</f>
        <v>-0.09999999999999964</v>
      </c>
      <c r="K40" s="2"/>
      <c r="L40" s="2"/>
    </row>
    <row r="41">
      <c r="A41" s="2"/>
      <c r="B41" s="2" t="s">
        <v>257</v>
      </c>
      <c r="C41" s="12">
        <v>-4.1</v>
      </c>
      <c r="D41" s="12">
        <v>6.3</v>
      </c>
      <c r="E41" s="12">
        <v>1.3</v>
      </c>
      <c r="F41" s="12">
        <v>1.5</v>
      </c>
      <c r="G41" s="7">
        <f>C41+D41+E41+F41</f>
        <v>5</v>
      </c>
      <c r="H41" s="12">
        <v>42.6</v>
      </c>
      <c r="I41" s="12">
        <v>12.9</v>
      </c>
      <c r="J41" s="49">
        <v>3</v>
      </c>
      <c r="K41" s="4" t="s">
        <v>258</v>
      </c>
      <c r="L41" s="2"/>
    </row>
    <row r="42">
      <c r="A42" s="2"/>
      <c r="B42" s="3" t="s">
        <v>94</v>
      </c>
      <c r="C42" s="5" t="s">
        <v>62</v>
      </c>
      <c r="D42" s="5" t="s">
        <v>62</v>
      </c>
      <c r="E42" s="5" t="s">
        <v>62</v>
      </c>
      <c r="F42" s="5" t="s">
        <v>62</v>
      </c>
      <c r="G42" s="5" t="s">
        <v>62</v>
      </c>
      <c r="H42" s="5" t="str">
        <f>IFERROR(IF(OR(C41&lt;=0,ABS(H41/C41-1)&gt;5),"n/m",H41/C41-1),"n/a")</f>
        <v>n/m</v>
      </c>
      <c r="I42" s="5">
        <f>IFERROR(IF(OR(D41&lt;=0,ABS(I41/D41-1)&gt;5),"n/m",I41/D41-1),"n/a")</f>
        <v>1.047619047619048</v>
      </c>
      <c r="J42" s="31">
        <f>IFERROR(IF(OR(E41&lt;=0,ABS(J41/E41-1)&gt;5),"n/m",J41/E41-1),"n/a")</f>
        <v>1.3076923076923075</v>
      </c>
      <c r="K42" s="2"/>
      <c r="L42" s="2"/>
    </row>
    <row r="43">
      <c r="A43" s="2"/>
      <c r="B43" s="41" t="s">
        <v>96</v>
      </c>
      <c r="C43" s="7" t="s">
        <v>62</v>
      </c>
      <c r="D43" s="7">
        <f>IFERROR(D41-C41,"n/a")</f>
        <v>10.399999999999999</v>
      </c>
      <c r="E43" s="7">
        <f>IFERROR(E41-D41,"n/a")</f>
        <v>-5</v>
      </c>
      <c r="F43" s="7">
        <f>IFERROR(F41-E41,"n/a")</f>
        <v>0.19999999999999996</v>
      </c>
      <c r="G43" s="7" t="s">
        <v>62</v>
      </c>
      <c r="H43" s="7">
        <f>IFERROR(H41-F41,"n/a")</f>
        <v>41.1</v>
      </c>
      <c r="I43" s="7">
        <f>IFERROR(I41-H41,"n/a")</f>
        <v>-29.700000000000003</v>
      </c>
      <c r="J43" s="46">
        <f>IFERROR(J41-I41,"n/a")</f>
        <v>-9.9</v>
      </c>
      <c r="K43" s="2"/>
      <c r="L43" s="2"/>
    </row>
    <row r="44">
      <c r="A44" s="2"/>
      <c r="B44" s="47" t="s">
        <v>259</v>
      </c>
      <c r="C44" s="14">
        <f>C33+C38+C41</f>
        <v>176.59999999999997</v>
      </c>
      <c r="D44" s="14">
        <f>D33+D38+D41</f>
        <v>102.49999999999996</v>
      </c>
      <c r="E44" s="14">
        <f>E33+E38+E41</f>
        <v>156.20000000000013</v>
      </c>
      <c r="F44" s="14">
        <f>F33+F38+F41</f>
        <v>198.70000000000044</v>
      </c>
      <c r="G44" s="14">
        <f>G33+G38+G41</f>
        <v>634.0000000000013</v>
      </c>
      <c r="H44" s="14">
        <f>H33+H38+H41</f>
        <v>228.1999999999999</v>
      </c>
      <c r="I44" s="14">
        <f>I33+I38+I41</f>
        <v>122.20000000000005</v>
      </c>
      <c r="J44" s="36">
        <f>J33+J38+J41</f>
        <v>201.79936339999995</v>
      </c>
      <c r="K44" s="2"/>
      <c r="L44" s="2"/>
    </row>
    <row r="45">
      <c r="A45" s="2"/>
      <c r="B45" s="2" t="s">
        <v>260</v>
      </c>
      <c r="C45" s="12">
        <v>36.4</v>
      </c>
      <c r="D45" s="12">
        <v>22.9</v>
      </c>
      <c r="E45" s="12">
        <v>34.2</v>
      </c>
      <c r="F45" s="12">
        <v>38.5</v>
      </c>
      <c r="G45" s="7">
        <f>C45+D45+E45+F45</f>
        <v>132</v>
      </c>
      <c r="H45" s="12">
        <v>51.1</v>
      </c>
      <c r="I45" s="12">
        <v>27.4</v>
      </c>
      <c r="J45" s="46">
        <f>J44*J46</f>
        <v>46.41385358199999</v>
      </c>
      <c r="K45" s="2"/>
      <c r="L45" s="2"/>
    </row>
    <row r="46">
      <c r="A46" s="2"/>
      <c r="B46" s="21" t="s">
        <v>261</v>
      </c>
      <c r="C46" s="5">
        <f>IFERROR(C45/C44,"n/a")</f>
        <v>0.20611551528878824</v>
      </c>
      <c r="D46" s="5">
        <f>IFERROR(D45/D44,"n/a")</f>
        <v>0.22341463414634155</v>
      </c>
      <c r="E46" s="5">
        <f>IFERROR(E45/E44,"n/a")</f>
        <v>0.2189500640204864</v>
      </c>
      <c r="F46" s="5">
        <f>IFERROR(F45/F44,"n/a")</f>
        <v>0.19375943633618478</v>
      </c>
      <c r="G46" s="5">
        <f>IFERROR(G45/G44,"n/a")</f>
        <v>0.2082018927444791</v>
      </c>
      <c r="H46" s="5">
        <f>IFERROR(H45/H44,"n/a")</f>
        <v>0.22392638036809825</v>
      </c>
      <c r="I46" s="5">
        <f>IFERROR(I45/I44,"n/a")</f>
        <v>0.2242225859247135</v>
      </c>
      <c r="J46" s="44">
        <v>0.23</v>
      </c>
      <c r="K46" s="4" t="s">
        <v>262</v>
      </c>
      <c r="L46" s="2"/>
    </row>
    <row r="47">
      <c r="A47" s="2"/>
      <c r="B47" s="41" t="s">
        <v>153</v>
      </c>
      <c r="C47" s="30" t="s">
        <v>62</v>
      </c>
      <c r="D47" s="30" t="s">
        <v>62</v>
      </c>
      <c r="E47" s="30" t="s">
        <v>62</v>
      </c>
      <c r="F47" s="30" t="s">
        <v>62</v>
      </c>
      <c r="G47" s="30" t="s">
        <v>62</v>
      </c>
      <c r="H47" s="30">
        <f>IFERROR((H46-C46)*10000,"n/a")</f>
        <v>178.1086507931001</v>
      </c>
      <c r="I47" s="30">
        <f>IFERROR((I46-D46)*10000,"n/a")</f>
        <v>8.079517783719513</v>
      </c>
      <c r="J47" s="51">
        <f>IFERROR((J46-E46)*10000,"n/a")</f>
        <v>110.4993597951362</v>
      </c>
      <c r="K47" s="2"/>
      <c r="L47" s="2"/>
    </row>
    <row r="48">
      <c r="A48" s="2"/>
      <c r="B48" s="3" t="s">
        <v>263</v>
      </c>
      <c r="C48" s="5" t="s">
        <v>62</v>
      </c>
      <c r="D48" s="5" t="s">
        <v>62</v>
      </c>
      <c r="E48" s="5" t="s">
        <v>62</v>
      </c>
      <c r="F48" s="5" t="s">
        <v>62</v>
      </c>
      <c r="G48" s="5" t="s">
        <v>62</v>
      </c>
      <c r="H48" s="5">
        <f>IFERROR(IF(OR(C45&lt;=0,ABS(H45/C45-1)&gt;5),"n/m",H45/C45-1),"n/a")</f>
        <v>0.40384615384615397</v>
      </c>
      <c r="I48" s="5">
        <f>IFERROR(IF(OR(D45&lt;=0,ABS(I45/D45-1)&gt;5),"n/m",I45/D45-1),"n/a")</f>
        <v>0.19650655021834051</v>
      </c>
      <c r="J48" s="31">
        <f>IFERROR(IF(OR(E45&lt;=0,ABS(J45/E45-1)&gt;5),"n/m",J45/E45-1),"n/a")</f>
        <v>0.357130221695906</v>
      </c>
      <c r="K48" s="2"/>
      <c r="L48" s="2"/>
    </row>
    <row r="49">
      <c r="A49" s="2"/>
      <c r="B49" s="41" t="s">
        <v>264</v>
      </c>
      <c r="C49" s="7" t="s">
        <v>62</v>
      </c>
      <c r="D49" s="7">
        <f>IFERROR(D45-C45,"n/a")</f>
        <v>-13.5</v>
      </c>
      <c r="E49" s="7">
        <f>IFERROR(E45-D45,"n/a")</f>
        <v>11.300000000000004</v>
      </c>
      <c r="F49" s="7">
        <f>IFERROR(F45-E45,"n/a")</f>
        <v>4.299999999999997</v>
      </c>
      <c r="G49" s="7" t="s">
        <v>62</v>
      </c>
      <c r="H49" s="7">
        <f>IFERROR(H45-F45,"n/a")</f>
        <v>12.600000000000001</v>
      </c>
      <c r="I49" s="7">
        <f>IFERROR(I45-H45,"n/a")</f>
        <v>-23.700000000000003</v>
      </c>
      <c r="J49" s="46">
        <f>IFERROR(J45-I45,"n/a")</f>
        <v>19.01385358199999</v>
      </c>
      <c r="K49" s="2"/>
      <c r="L49" s="2"/>
    </row>
    <row r="50">
      <c r="A50" s="2"/>
      <c r="B50" s="47" t="s">
        <v>265</v>
      </c>
      <c r="C50" s="14">
        <f>C44-C45</f>
        <v>140.19999999999996</v>
      </c>
      <c r="D50" s="14">
        <f>D44-D45</f>
        <v>79.59999999999997</v>
      </c>
      <c r="E50" s="14">
        <f>E44-E45</f>
        <v>122.00000000000013</v>
      </c>
      <c r="F50" s="14">
        <f>F44-F45</f>
        <v>160.20000000000044</v>
      </c>
      <c r="G50" s="14">
        <f>G44-G45</f>
        <v>502.00000000000125</v>
      </c>
      <c r="H50" s="14">
        <f>H44-H45</f>
        <v>177.0999999999999</v>
      </c>
      <c r="I50" s="14">
        <f>I44-I45</f>
        <v>94.80000000000004</v>
      </c>
      <c r="J50" s="36">
        <f>J44-J45</f>
        <v>155.38550981799995</v>
      </c>
      <c r="K50" s="2"/>
      <c r="L50" s="2"/>
    </row>
    <row r="51">
      <c r="A51" s="2"/>
      <c r="B51" s="41" t="s">
        <v>266</v>
      </c>
      <c r="C51" s="12">
        <v>-9.8</v>
      </c>
      <c r="D51" s="12">
        <v>17.2</v>
      </c>
      <c r="E51" s="12">
        <v>22.7</v>
      </c>
      <c r="F51" s="12">
        <v>180.3</v>
      </c>
      <c r="G51" s="12">
        <v>210.4</v>
      </c>
      <c r="H51" s="7">
        <f>C50</f>
        <v>140.19999999999996</v>
      </c>
      <c r="I51" s="7">
        <f>D50</f>
        <v>79.59999999999997</v>
      </c>
      <c r="J51" s="46">
        <f>E50</f>
        <v>122.00000000000013</v>
      </c>
      <c r="K51" s="2"/>
      <c r="L51" s="2"/>
    </row>
    <row r="52">
      <c r="A52" s="2"/>
      <c r="B52" s="3" t="s">
        <v>94</v>
      </c>
      <c r="C52" s="5" t="str">
        <f>IFERROR(IF(OR(C51&lt;=0,ABS(C50/C51-1)&gt;5),"n/m",C50/C51-1),"n/a")</f>
        <v>n/m</v>
      </c>
      <c r="D52" s="5">
        <f>IFERROR(IF(OR(D51&lt;=0,ABS(D50/D51-1)&gt;5),"n/m",D50/D51-1),"n/a")</f>
        <v>3.6279069767441845</v>
      </c>
      <c r="E52" s="5">
        <f>IFERROR(IF(OR(E51&lt;=0,ABS(E50/E51-1)&gt;5),"n/m",E50/E51-1),"n/a")</f>
        <v>4.374449339207055</v>
      </c>
      <c r="F52" s="5">
        <f>IFERROR(IF(OR(F51&lt;=0,ABS(F50/F51-1)&gt;5),"n/m",F50/F51-1),"n/a")</f>
        <v>-0.1114808652246232</v>
      </c>
      <c r="G52" s="5">
        <f>IFERROR(IF(OR(G51&lt;=0,ABS(G50/G51-1)&gt;5),"n/m",G50/G51-1),"n/a")</f>
        <v>1.3859315589353671</v>
      </c>
      <c r="H52" s="5">
        <f>IFERROR(IF(OR(H51&lt;=0,ABS(H50/H51-1)&gt;5),"n/m",H50/H51-1),"n/a")</f>
        <v>0.26319543509272436</v>
      </c>
      <c r="I52" s="5">
        <f>IFERROR(IF(OR(I51&lt;=0,ABS(I50/I51-1)&gt;5),"n/m",I50/I51-1),"n/a")</f>
        <v>0.19095477386934778</v>
      </c>
      <c r="J52" s="31">
        <f>IFERROR(IF(OR(J51&lt;=0,ABS(J50/J51-1)&gt;5),"n/m",J50/J51-1),"n/a")</f>
        <v>0.2736517198196704</v>
      </c>
      <c r="K52" s="2"/>
      <c r="L52" s="2"/>
    </row>
    <row r="53">
      <c r="A53" s="2"/>
      <c r="B53" s="21" t="s">
        <v>267</v>
      </c>
      <c r="C53" s="5">
        <f>IFERROR(C50/C11,"n/a")</f>
        <v>0.09182604139376471</v>
      </c>
      <c r="D53" s="5">
        <f>IFERROR(D50/D11,"n/a")</f>
        <v>0.055048409405255856</v>
      </c>
      <c r="E53" s="5">
        <f>IFERROR(E50/E11,"n/a")</f>
        <v>0.0790462615005832</v>
      </c>
      <c r="F53" s="5">
        <f>IFERROR(F50/F11,"n/a")</f>
        <v>0.09072375127421022</v>
      </c>
      <c r="G53" s="5">
        <f>IFERROR(G50/G11,"n/a")</f>
        <v>0.0799108564151546</v>
      </c>
      <c r="H53" s="5">
        <f>IFERROR(H50/H11,"n/a")</f>
        <v>0.10163558106169292</v>
      </c>
      <c r="I53" s="5">
        <f>IFERROR(I50/I11,"n/a")</f>
        <v>0.060691421254801564</v>
      </c>
      <c r="J53" s="31">
        <f>IFERROR(J50/J11,"n/a")</f>
        <v>0.09507852552276845</v>
      </c>
      <c r="K53" s="2"/>
      <c r="L53" s="2"/>
    </row>
    <row r="54">
      <c r="A54" s="2"/>
      <c r="B54" s="41" t="s">
        <v>153</v>
      </c>
      <c r="C54" s="30" t="s">
        <v>62</v>
      </c>
      <c r="D54" s="30" t="s">
        <v>62</v>
      </c>
      <c r="E54" s="30" t="s">
        <v>62</v>
      </c>
      <c r="F54" s="30" t="s">
        <v>62</v>
      </c>
      <c r="G54" s="30" t="s">
        <v>62</v>
      </c>
      <c r="H54" s="30">
        <f>IFERROR((H53-C53)*10000,"n/a")</f>
        <v>98.09539667928205</v>
      </c>
      <c r="I54" s="30">
        <f>IFERROR((I53-D53)*10000,"n/a")</f>
        <v>56.43011849545708</v>
      </c>
      <c r="J54" s="51">
        <f>IFERROR((J53-E53)*10000,"n/a")</f>
        <v>160.32264022185245</v>
      </c>
      <c r="K54" s="2"/>
      <c r="L54" s="2"/>
    </row>
    <row r="55">
      <c r="A55" s="2"/>
      <c r="B55" s="2" t="s">
        <v>268</v>
      </c>
      <c r="C55" s="12">
        <v>-5.2</v>
      </c>
      <c r="D55" s="12">
        <v>-12.6</v>
      </c>
      <c r="E55" s="12">
        <v>96.1</v>
      </c>
      <c r="F55" s="12">
        <v>-2.2</v>
      </c>
      <c r="G55" s="7">
        <f>C55+D55+E55+F55</f>
        <v>76.1</v>
      </c>
      <c r="H55" s="12">
        <v>-1.3</v>
      </c>
      <c r="I55" s="12">
        <v>-7.5</v>
      </c>
      <c r="J55" s="49">
        <v>-1</v>
      </c>
      <c r="K55" s="4" t="s">
        <v>269</v>
      </c>
      <c r="L55" s="2"/>
    </row>
    <row r="56">
      <c r="A56" s="2"/>
      <c r="B56" s="3" t="s">
        <v>94</v>
      </c>
      <c r="C56" s="5" t="s">
        <v>62</v>
      </c>
      <c r="D56" s="5" t="s">
        <v>62</v>
      </c>
      <c r="E56" s="5" t="s">
        <v>62</v>
      </c>
      <c r="F56" s="5" t="s">
        <v>62</v>
      </c>
      <c r="G56" s="5" t="s">
        <v>62</v>
      </c>
      <c r="H56" s="5" t="str">
        <f>IFERROR(IF(OR(C55&lt;=0,H55&lt;=0,ABS(H55/C55-1)&gt;5),"n/m",H55/C55-1),"n/a")</f>
        <v>n/m</v>
      </c>
      <c r="I56" s="5" t="str">
        <f>IFERROR(IF(OR(D55&lt;=0,I55&lt;=0,ABS(I55/D55-1)&gt;5),"n/m",I55/D55-1),"n/a")</f>
        <v>n/m</v>
      </c>
      <c r="J56" s="31" t="str">
        <f>IFERROR(IF(OR(E55&lt;=0,J55&lt;=0,ABS(J55/E55-1)&gt;5),"n/m",J55/E55-1),"n/a")</f>
        <v>n/m</v>
      </c>
      <c r="K56" s="97" t="s">
        <v>270</v>
      </c>
      <c r="L56" s="2"/>
    </row>
    <row r="57">
      <c r="A57" s="2"/>
      <c r="B57" s="41" t="s">
        <v>96</v>
      </c>
      <c r="C57" s="7" t="s">
        <v>62</v>
      </c>
      <c r="D57" s="7">
        <f>IFERROR(D55-C55,"n/a")</f>
        <v>-7.3999999999999995</v>
      </c>
      <c r="E57" s="7">
        <f>IFERROR(E55-D55,"n/a")</f>
        <v>108.69999999999999</v>
      </c>
      <c r="F57" s="7">
        <f>IFERROR(F55-E55,"n/a")</f>
        <v>-98.3</v>
      </c>
      <c r="G57" s="7" t="s">
        <v>62</v>
      </c>
      <c r="H57" s="7">
        <f>IFERROR(H55-F55,"n/a")</f>
        <v>0.9000000000000001</v>
      </c>
      <c r="I57" s="7">
        <f>IFERROR(I55-H55,"n/a")</f>
        <v>-6.2</v>
      </c>
      <c r="J57" s="46">
        <f>IFERROR(J55-I55,"n/a")</f>
        <v>6.5</v>
      </c>
      <c r="K57" s="2"/>
      <c r="L57" s="2"/>
    </row>
    <row r="58">
      <c r="A58" s="2"/>
      <c r="B58" s="47" t="s">
        <v>271</v>
      </c>
      <c r="C58" s="14">
        <f>C50+C55</f>
        <v>134.99999999999997</v>
      </c>
      <c r="D58" s="14">
        <f>D50+D55</f>
        <v>66.99999999999997</v>
      </c>
      <c r="E58" s="14">
        <f>E50+E55</f>
        <v>218.10000000000014</v>
      </c>
      <c r="F58" s="14">
        <f>F50+F55</f>
        <v>158.00000000000045</v>
      </c>
      <c r="G58" s="14">
        <f>G50+G55</f>
        <v>578.1000000000013</v>
      </c>
      <c r="H58" s="14">
        <f>H50+H55</f>
        <v>175.7999999999999</v>
      </c>
      <c r="I58" s="14">
        <f>I50+I55</f>
        <v>87.30000000000004</v>
      </c>
      <c r="J58" s="36">
        <f>J50+J55</f>
        <v>154.38550981799995</v>
      </c>
      <c r="K58" s="2"/>
      <c r="L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A60" s="2"/>
      <c r="B60" s="43" t="s">
        <v>272</v>
      </c>
      <c r="C60" s="2"/>
      <c r="D60" s="2"/>
      <c r="E60" s="2"/>
      <c r="F60" s="2"/>
      <c r="G60" s="2"/>
      <c r="H60" s="2"/>
      <c r="I60" s="2"/>
      <c r="J60" s="23"/>
      <c r="K60" s="2"/>
      <c r="L60" s="2"/>
    </row>
    <row r="61">
      <c r="A61" s="2"/>
      <c r="B61" s="2" t="s">
        <v>273</v>
      </c>
      <c r="C61" s="16">
        <f>'Share Count'!C19</f>
        <v>396.576662</v>
      </c>
      <c r="D61" s="16">
        <f>'Share Count'!D19</f>
        <v>396.411904</v>
      </c>
      <c r="E61" s="16">
        <f>'Share Count'!E19</f>
        <v>395.65904</v>
      </c>
      <c r="F61" s="16">
        <f>'Share Count'!F19</f>
        <v>392.28358</v>
      </c>
      <c r="G61" s="16">
        <f>'Share Count'!G19</f>
        <v>395.524593</v>
      </c>
      <c r="H61" s="16">
        <f>'Share Count'!H19</f>
        <v>389.90776</v>
      </c>
      <c r="I61" s="16">
        <f>'Share Count'!I19</f>
        <v>385.982038</v>
      </c>
      <c r="J61" s="19">
        <f>'Share Count'!J19</f>
        <v>384.49731095454547</v>
      </c>
      <c r="K61" s="2"/>
      <c r="L61" s="2"/>
    </row>
    <row r="62">
      <c r="A62" s="2"/>
      <c r="B62" s="2" t="s">
        <v>274</v>
      </c>
      <c r="C62" s="16">
        <f>'Share Count'!C25</f>
        <v>400.046382</v>
      </c>
      <c r="D62" s="16">
        <f>'Share Count'!D25</f>
        <v>399.048949</v>
      </c>
      <c r="E62" s="16">
        <f>'Share Count'!E25</f>
        <v>399.529649</v>
      </c>
      <c r="F62" s="16">
        <f>'Share Count'!F25</f>
        <v>397.162529</v>
      </c>
      <c r="G62" s="16">
        <f>'Share Count'!G25</f>
        <v>399.74926</v>
      </c>
      <c r="H62" s="16">
        <f>'Share Count'!H25</f>
        <v>394.196801</v>
      </c>
      <c r="I62" s="16">
        <f>'Share Count'!I25</f>
        <v>389.629216</v>
      </c>
      <c r="J62" s="19">
        <f>'Share Count'!J25</f>
        <v>387.99731095454547</v>
      </c>
      <c r="K62" s="2"/>
      <c r="L62" s="2"/>
    </row>
    <row r="63">
      <c r="A63" s="2"/>
      <c r="B63" s="2" t="s">
        <v>275</v>
      </c>
      <c r="C63" s="18">
        <f>C50/C61</f>
        <v>0.35352559399977995</v>
      </c>
      <c r="D63" s="18">
        <f>D50/D61</f>
        <v>0.20080123527269245</v>
      </c>
      <c r="E63" s="18">
        <f>E50/E61</f>
        <v>0.30834629735744223</v>
      </c>
      <c r="F63" s="18">
        <f>F50/F61</f>
        <v>0.4083780412119224</v>
      </c>
      <c r="G63" s="18">
        <f>G50/G61</f>
        <v>1.2692004716884981</v>
      </c>
      <c r="H63" s="18">
        <f>H50/H61</f>
        <v>0.45420999058854306</v>
      </c>
      <c r="I63" s="18">
        <f>I50/I61</f>
        <v>0.24560728393273068</v>
      </c>
      <c r="J63" s="80">
        <f>J50/J61</f>
        <v>0.40412638890046576</v>
      </c>
      <c r="K63" s="2"/>
      <c r="L63" s="2"/>
    </row>
    <row r="64">
      <c r="A64" s="2"/>
      <c r="B64" s="2" t="s">
        <v>276</v>
      </c>
      <c r="C64" s="18">
        <f>C50/C62</f>
        <v>0.350459362484623</v>
      </c>
      <c r="D64" s="18">
        <f>D50/D62</f>
        <v>0.19947427552302605</v>
      </c>
      <c r="E64" s="18">
        <f>E50/E62</f>
        <v>0.30535906485378295</v>
      </c>
      <c r="F64" s="18">
        <f>F50/F62</f>
        <v>0.40336131508519135</v>
      </c>
      <c r="G64" s="18">
        <f>G50/G62</f>
        <v>1.25578719020018</v>
      </c>
      <c r="H64" s="18">
        <f>H50/H62</f>
        <v>0.44926797871198326</v>
      </c>
      <c r="I64" s="18">
        <f>I50/I62</f>
        <v>0.2433082430861654</v>
      </c>
      <c r="J64" s="80">
        <f>J50/J62</f>
        <v>0.40048089363228506</v>
      </c>
      <c r="K64" s="2"/>
      <c r="L64" s="2"/>
    </row>
    <row r="65">
      <c r="A65" s="2"/>
      <c r="B65" s="34" t="s">
        <v>277</v>
      </c>
      <c r="C65" s="20">
        <v>0.35</v>
      </c>
      <c r="D65" s="20">
        <v>0.2</v>
      </c>
      <c r="E65" s="20">
        <v>0.31</v>
      </c>
      <c r="F65" s="20">
        <v>0.4</v>
      </c>
      <c r="G65" s="20">
        <v>1.26</v>
      </c>
      <c r="H65" s="20">
        <v>0.45</v>
      </c>
      <c r="I65" s="20">
        <v>0.24</v>
      </c>
      <c r="J65" s="80" t="s">
        <v>62</v>
      </c>
      <c r="K65" s="2"/>
      <c r="L65" s="2"/>
    </row>
    <row r="66">
      <c r="A66" s="2"/>
      <c r="B66" s="41" t="s">
        <v>278</v>
      </c>
      <c r="C66" s="20">
        <v>-0.03</v>
      </c>
      <c r="D66" s="20">
        <v>0.04</v>
      </c>
      <c r="E66" s="20">
        <v>0.06</v>
      </c>
      <c r="F66" s="20">
        <v>0.45</v>
      </c>
      <c r="G66" s="20">
        <v>0.52</v>
      </c>
      <c r="H66" s="18">
        <f>C65</f>
        <v>0.35</v>
      </c>
      <c r="I66" s="18">
        <f>D65</f>
        <v>0.2</v>
      </c>
      <c r="J66" s="80">
        <f>E65</f>
        <v>0.31</v>
      </c>
      <c r="K66" s="2"/>
      <c r="L66" s="2"/>
    </row>
    <row r="67">
      <c r="A67" s="2"/>
      <c r="B67" s="3" t="s">
        <v>94</v>
      </c>
      <c r="C67" s="5" t="str">
        <f>IFERROR(IF(OR(C66&lt;=0,ABS(C64/C66-1)&gt;5),"n/m",C64/C66-1),"n/a")</f>
        <v>n/m</v>
      </c>
      <c r="D67" s="5">
        <f>IFERROR(IF(OR(D66&lt;=0,ABS(D64/D66-1)&gt;5),"n/m",D64/D66-1),"n/a")</f>
        <v>3.9868568880756508</v>
      </c>
      <c r="E67" s="5">
        <f>IFERROR(IF(OR(E66&lt;=0,ABS(E64/E66-1)&gt;5),"n/m",E64/E66-1),"n/a")</f>
        <v>4.089317747563049</v>
      </c>
      <c r="F67" s="5">
        <f>IFERROR(IF(OR(F66&lt;=0,ABS(F64/F66-1)&gt;5),"n/m",F64/F66-1),"n/a")</f>
        <v>-0.1036415220329081</v>
      </c>
      <c r="G67" s="5">
        <f>IFERROR(IF(OR(G66&lt;=0,ABS(G64/G66-1)&gt;5),"n/m",G64/G66-1),"n/a")</f>
        <v>1.414975365769577</v>
      </c>
      <c r="H67" s="5">
        <f>IFERROR(IF(OR(H66&lt;=0,ABS(H64/H66-1)&gt;5),"n/m",H64/H66-1),"n/a")</f>
        <v>0.28362279631995224</v>
      </c>
      <c r="I67" s="5">
        <f>IFERROR(IF(OR(I66&lt;=0,ABS(I64/I66-1)&gt;5),"n/m",I64/I66-1),"n/a")</f>
        <v>0.21654121543082683</v>
      </c>
      <c r="J67" s="31">
        <f>IFERROR(IF(OR(J66&lt;=0,ABS(J64/J66-1)&gt;5),"n/m",J64/J66-1),"n/a")</f>
        <v>0.291873850426726</v>
      </c>
      <c r="K67" s="2"/>
      <c r="L67" s="2"/>
    </row>
    <row r="68">
      <c r="A68" s="2"/>
      <c r="B68" s="2" t="s">
        <v>279</v>
      </c>
      <c r="C68" s="18">
        <f>C58/C62</f>
        <v>0.337460869724851</v>
      </c>
      <c r="D68" s="18">
        <f>D58/D62</f>
        <v>0.16789920175933096</v>
      </c>
      <c r="E68" s="18">
        <f>E58/E62</f>
        <v>0.5458919020050003</v>
      </c>
      <c r="F68" s="18">
        <f>F58/F62</f>
        <v>0.3978220211202262</v>
      </c>
      <c r="G68" s="18">
        <f>G58/G62</f>
        <v>1.4461565232165816</v>
      </c>
      <c r="H68" s="18">
        <f>H58/H62</f>
        <v>0.445970133583098</v>
      </c>
      <c r="I68" s="18">
        <f>I58/I62</f>
        <v>0.2240591732217536</v>
      </c>
      <c r="J68" s="80">
        <f>J58/J62</f>
        <v>0.3979035561823429</v>
      </c>
      <c r="K68" s="2"/>
      <c r="L68" s="2"/>
    </row>
    <row r="69">
      <c r="A69" s="2"/>
      <c r="B69" s="34" t="s">
        <v>280</v>
      </c>
      <c r="C69" s="20">
        <v>0.34</v>
      </c>
      <c r="D69" s="20">
        <v>0.17</v>
      </c>
      <c r="E69" s="20">
        <v>0.55</v>
      </c>
      <c r="F69" s="20">
        <v>0.4</v>
      </c>
      <c r="G69" s="20">
        <v>1.45</v>
      </c>
      <c r="H69" s="20">
        <v>0.45</v>
      </c>
      <c r="I69" s="20">
        <v>0.22</v>
      </c>
      <c r="J69" s="80" t="s">
        <v>62</v>
      </c>
      <c r="K69" s="4" t="s">
        <v>281</v>
      </c>
      <c r="L69" s="2"/>
    </row>
    <row r="70">
      <c r="A70" s="2"/>
      <c r="B70" s="34" t="s">
        <v>282</v>
      </c>
      <c r="C70" s="83" t="b">
        <f>ABS(C64-C50/'Share Count'!C25)&lt;0.000001</f>
        <v>1</v>
      </c>
      <c r="D70" s="83" t="b">
        <f>ABS(D64-D50/'Share Count'!D25)&lt;0.000001</f>
        <v>1</v>
      </c>
      <c r="E70" s="83" t="b">
        <f>ABS(E64-E50/'Share Count'!E25)&lt;0.000001</f>
        <v>1</v>
      </c>
      <c r="F70" s="83" t="b">
        <f>ABS(F64-F50/'Share Count'!F25)&lt;0.000001</f>
        <v>1</v>
      </c>
      <c r="G70" s="83" t="b">
        <f>ABS(G64-G50/'Share Count'!G25)&lt;0.000001</f>
        <v>1</v>
      </c>
      <c r="H70" s="83" t="b">
        <f>ABS(H64-H50/'Share Count'!H25)&lt;0.000001</f>
        <v>1</v>
      </c>
      <c r="I70" s="83" t="b">
        <f>ABS(I64-I50/'Share Count'!I25)&lt;0.000001</f>
        <v>1</v>
      </c>
      <c r="J70" s="90" t="b">
        <f>ABS(J64-J50/'Share Count'!J25)&lt;0.000001</f>
        <v>1</v>
      </c>
      <c r="K70" s="2"/>
      <c r="L70" s="2"/>
    </row>
    <row r="71">
      <c r="A71" s="2"/>
      <c r="B71" s="34" t="s">
        <v>283</v>
      </c>
      <c r="C71" s="73" t="b">
        <f>ABS(C64-C65)&lt;=0.0051</f>
        <v>1</v>
      </c>
      <c r="D71" s="73" t="b">
        <f>ABS(D64-D65)&lt;=0.0051</f>
        <v>1</v>
      </c>
      <c r="E71" s="73" t="b">
        <f>ABS(E64-E65)&lt;=0.0051</f>
        <v>1</v>
      </c>
      <c r="F71" s="73" t="b">
        <f>ABS(F64-F65)&lt;=0.0051</f>
        <v>1</v>
      </c>
      <c r="G71" s="73" t="b">
        <f>ABS(G64-G65)&lt;=0.0051</f>
        <v>1</v>
      </c>
      <c r="H71" s="73" t="b">
        <f>ABS(H64-H65)&lt;=0.0051</f>
        <v>1</v>
      </c>
      <c r="I71" s="73" t="b">
        <f>ABS(I64-I65)&lt;=0.0051</f>
        <v>1</v>
      </c>
      <c r="J71" s="86" t="s">
        <v>62</v>
      </c>
      <c r="K71" s="2"/>
      <c r="L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A73" s="2"/>
      <c r="B73" s="43" t="s">
        <v>284</v>
      </c>
      <c r="C73" s="2"/>
      <c r="D73" s="2"/>
      <c r="E73" s="2"/>
      <c r="F73" s="2"/>
      <c r="G73" s="2"/>
      <c r="H73" s="2"/>
      <c r="I73" s="2"/>
      <c r="J73" s="23"/>
      <c r="K73" s="2"/>
      <c r="L73" s="2"/>
    </row>
    <row r="74">
      <c r="A74" s="2"/>
      <c r="B74" s="2" t="s">
        <v>285</v>
      </c>
      <c r="C74" s="7">
        <f>C50</f>
        <v>140.19999999999996</v>
      </c>
      <c r="D74" s="7">
        <f>D50</f>
        <v>79.59999999999997</v>
      </c>
      <c r="E74" s="7">
        <f>E50</f>
        <v>122.00000000000013</v>
      </c>
      <c r="F74" s="7">
        <f>F50</f>
        <v>160.20000000000044</v>
      </c>
      <c r="G74" s="7">
        <f>G50</f>
        <v>502.00000000000125</v>
      </c>
      <c r="H74" s="7">
        <f>H50</f>
        <v>177.0999999999999</v>
      </c>
      <c r="I74" s="7">
        <f>I50</f>
        <v>94.80000000000004</v>
      </c>
      <c r="J74" s="46">
        <f>J50</f>
        <v>155.38550981799995</v>
      </c>
      <c r="K74" s="2"/>
      <c r="L74" s="2"/>
    </row>
    <row r="75">
      <c r="A75" s="2"/>
      <c r="B75" s="34" t="s">
        <v>286</v>
      </c>
      <c r="C75" s="7">
        <f>C32</f>
        <v>2.5</v>
      </c>
      <c r="D75" s="7">
        <f>D32</f>
        <v>0</v>
      </c>
      <c r="E75" s="7">
        <f>E32</f>
        <v>0</v>
      </c>
      <c r="F75" s="7">
        <f>F32</f>
        <v>0</v>
      </c>
      <c r="G75" s="7">
        <f>G32</f>
        <v>2.5</v>
      </c>
      <c r="H75" s="7">
        <f>H32</f>
        <v>0</v>
      </c>
      <c r="I75" s="7">
        <f>I32</f>
        <v>0</v>
      </c>
      <c r="J75" s="46">
        <f>J32</f>
        <v>0</v>
      </c>
      <c r="K75" s="2"/>
      <c r="L75" s="2"/>
    </row>
    <row r="76">
      <c r="A76" s="2"/>
      <c r="B76" s="34" t="s">
        <v>287</v>
      </c>
      <c r="C76" s="7">
        <f>C29</f>
        <v>6.7</v>
      </c>
      <c r="D76" s="7">
        <f>D29</f>
        <v>6.8</v>
      </c>
      <c r="E76" s="7">
        <f>E29</f>
        <v>8.6</v>
      </c>
      <c r="F76" s="7">
        <f>F29</f>
        <v>2.4</v>
      </c>
      <c r="G76" s="7">
        <f>G29</f>
        <v>24.5</v>
      </c>
      <c r="H76" s="7">
        <f>H29</f>
        <v>7.9</v>
      </c>
      <c r="I76" s="7">
        <f>I29</f>
        <v>13.5</v>
      </c>
      <c r="J76" s="46">
        <f>J29</f>
        <v>10</v>
      </c>
      <c r="K76" s="2"/>
      <c r="L76" s="2"/>
    </row>
    <row r="77">
      <c r="A77" s="2"/>
      <c r="B77" s="34" t="s">
        <v>288</v>
      </c>
      <c r="C77" s="12">
        <v>3.2</v>
      </c>
      <c r="D77" s="12">
        <v>4.5</v>
      </c>
      <c r="E77" s="12">
        <v>7.4</v>
      </c>
      <c r="F77" s="12">
        <v>0.6</v>
      </c>
      <c r="G77" s="7">
        <f>N(C77)+N(D77)+N(E77)+N(F77)</f>
        <v>15.700000000000001</v>
      </c>
      <c r="H77" s="12">
        <v>11.4</v>
      </c>
      <c r="I77" s="12">
        <v>5.8</v>
      </c>
      <c r="J77" s="46">
        <f>J107</f>
        <v>6</v>
      </c>
      <c r="K77" s="4" t="s">
        <v>289</v>
      </c>
      <c r="L77" s="2"/>
    </row>
    <row r="78">
      <c r="A78" s="2"/>
      <c r="B78" s="34" t="s">
        <v>290</v>
      </c>
      <c r="C78" s="12">
        <v>0</v>
      </c>
      <c r="D78" s="12">
        <v>0</v>
      </c>
      <c r="E78" s="12">
        <v>1.5</v>
      </c>
      <c r="F78" s="12">
        <v>0</v>
      </c>
      <c r="G78" s="7">
        <f>N(C78)+N(D78)+N(E78)+N(F78)</f>
        <v>1.5</v>
      </c>
      <c r="H78" s="12">
        <v>0</v>
      </c>
      <c r="I78" s="12">
        <v>0</v>
      </c>
      <c r="J78" s="49">
        <v>0</v>
      </c>
      <c r="K78" s="2"/>
      <c r="L78" s="2"/>
    </row>
    <row r="79">
      <c r="A79" s="2"/>
      <c r="B79" s="34" t="s">
        <v>291</v>
      </c>
      <c r="C79" s="12">
        <v>0</v>
      </c>
      <c r="D79" s="12">
        <v>0</v>
      </c>
      <c r="E79" s="12">
        <v>0</v>
      </c>
      <c r="F79" s="12">
        <v>0</v>
      </c>
      <c r="G79" s="7">
        <f>N(C79)+N(D79)+N(E79)+N(F79)</f>
        <v>0</v>
      </c>
      <c r="H79" s="12">
        <v>-33</v>
      </c>
      <c r="I79" s="12">
        <v>0</v>
      </c>
      <c r="J79" s="49">
        <v>0</v>
      </c>
      <c r="K79" s="2"/>
      <c r="L79" s="2"/>
    </row>
    <row r="80">
      <c r="A80" s="2"/>
      <c r="B80" s="34" t="s">
        <v>292</v>
      </c>
      <c r="C80" s="12">
        <v>0</v>
      </c>
      <c r="D80" s="12">
        <v>0</v>
      </c>
      <c r="E80" s="12">
        <v>0</v>
      </c>
      <c r="F80" s="12">
        <v>0</v>
      </c>
      <c r="G80" s="7">
        <f>N(C80)+N(D80)+N(E80)+N(F80)</f>
        <v>0</v>
      </c>
      <c r="H80" s="12">
        <v>0</v>
      </c>
      <c r="I80" s="7" t="s">
        <v>62</v>
      </c>
      <c r="J80" s="46">
        <f>-J117</f>
        <v>-30</v>
      </c>
      <c r="K80" s="4" t="s">
        <v>293</v>
      </c>
      <c r="L80" s="2"/>
    </row>
    <row r="81">
      <c r="A81" s="2"/>
      <c r="B81" s="34" t="s">
        <v>294</v>
      </c>
      <c r="C81" s="12">
        <v>-2.6</v>
      </c>
      <c r="D81" s="12">
        <v>-2.4</v>
      </c>
      <c r="E81" s="12">
        <v>-3.8</v>
      </c>
      <c r="F81" s="12">
        <v>-0.3</v>
      </c>
      <c r="G81" s="7">
        <f>N(C81)+N(D81)+N(E81)+N(F81)</f>
        <v>-9.100000000000001</v>
      </c>
      <c r="H81" s="12">
        <v>3.3</v>
      </c>
      <c r="I81" s="12">
        <v>-4.3</v>
      </c>
      <c r="J81" s="46">
        <f>-(J75+J76+J77+J78+J79+J80)*J135</f>
        <v>3.22</v>
      </c>
      <c r="K81" s="2"/>
      <c r="L81" s="2"/>
    </row>
    <row r="82">
      <c r="A82" s="2"/>
      <c r="B82" s="47" t="s">
        <v>295</v>
      </c>
      <c r="C82" s="14">
        <f>C74+C75+C76+C77+C78+C79+N(C80)+C81</f>
        <v>149.99999999999994</v>
      </c>
      <c r="D82" s="14">
        <f>D74+D75+D76+D77+D78+D79+N(D80)+D81</f>
        <v>88.49999999999996</v>
      </c>
      <c r="E82" s="14">
        <f>E74+E75+E76+E77+E78+E79+N(E80)+E81</f>
        <v>135.70000000000013</v>
      </c>
      <c r="F82" s="14">
        <f>F74+F75+F76+F77+F78+F79+N(F80)+F81</f>
        <v>162.90000000000043</v>
      </c>
      <c r="G82" s="14">
        <f>G74+G75+G76+G77+G78+G79+N(G80)+G81</f>
        <v>537.1000000000013</v>
      </c>
      <c r="H82" s="14">
        <f>H74+H75+H76+H77+H78+H79+N(H80)+H81</f>
        <v>166.69999999999993</v>
      </c>
      <c r="I82" s="14">
        <f>I74+I75+I76+I77+I78+I79+N(I80)+I81</f>
        <v>109.80000000000004</v>
      </c>
      <c r="J82" s="36">
        <f>J74+J75+J76+J77+J78+J79+N(J80)+J81</f>
        <v>144.60550981799994</v>
      </c>
      <c r="K82" s="2"/>
      <c r="L82" s="2"/>
    </row>
    <row r="83">
      <c r="A83" s="2"/>
      <c r="B83" s="34" t="s">
        <v>296</v>
      </c>
      <c r="C83" s="12">
        <v>150</v>
      </c>
      <c r="D83" s="12">
        <v>88.5</v>
      </c>
      <c r="E83" s="12">
        <v>135.7</v>
      </c>
      <c r="F83" s="12">
        <v>162.9</v>
      </c>
      <c r="G83" s="12">
        <v>537.1</v>
      </c>
      <c r="H83" s="12">
        <v>166.7</v>
      </c>
      <c r="I83" s="12">
        <v>109.8</v>
      </c>
      <c r="J83" s="46" t="s">
        <v>62</v>
      </c>
      <c r="K83" s="2"/>
      <c r="L83" s="2"/>
    </row>
    <row r="84">
      <c r="A84" s="2"/>
      <c r="B84" s="41" t="s">
        <v>297</v>
      </c>
      <c r="C84" s="7">
        <f>ROUND(C82-C83,1)</f>
        <v>0</v>
      </c>
      <c r="D84" s="7">
        <f>ROUND(D82-D83,1)</f>
        <v>0</v>
      </c>
      <c r="E84" s="7">
        <f>ROUND(E82-E83,1)</f>
        <v>0</v>
      </c>
      <c r="F84" s="7">
        <f>ROUND(F82-F83,1)</f>
        <v>0</v>
      </c>
      <c r="G84" s="7">
        <f>ROUND(G82-G83,1)</f>
        <v>0</v>
      </c>
      <c r="H84" s="7">
        <f>ROUND(H82-H83,1)</f>
        <v>0</v>
      </c>
      <c r="I84" s="7">
        <f>ROUND(I82-I83,1)</f>
        <v>0</v>
      </c>
      <c r="J84" s="46" t="s">
        <v>62</v>
      </c>
      <c r="K84" s="2"/>
      <c r="L84" s="2"/>
    </row>
    <row r="85">
      <c r="A85" s="2"/>
      <c r="B85" s="41" t="s">
        <v>298</v>
      </c>
      <c r="C85" s="7" t="s">
        <v>62</v>
      </c>
      <c r="D85" s="7" t="s">
        <v>62</v>
      </c>
      <c r="E85" s="12">
        <v>133.9</v>
      </c>
      <c r="F85" s="12">
        <v>199.9</v>
      </c>
      <c r="G85" s="12">
        <v>499.4</v>
      </c>
      <c r="H85" s="7">
        <f>C82</f>
        <v>149.99999999999994</v>
      </c>
      <c r="I85" s="7">
        <f>D82</f>
        <v>88.49999999999996</v>
      </c>
      <c r="J85" s="46">
        <f>E82</f>
        <v>135.70000000000013</v>
      </c>
      <c r="K85" s="4" t="s">
        <v>299</v>
      </c>
      <c r="L85" s="2"/>
    </row>
    <row r="86">
      <c r="A86" s="2"/>
      <c r="B86" s="3" t="s">
        <v>94</v>
      </c>
      <c r="C86" s="5" t="str">
        <f>IFERROR(IF(OR(C85&lt;=0,ABS(C82/C85-1)&gt;5),"n/m",C82/C85-1),"n/a")</f>
        <v>n/a</v>
      </c>
      <c r="D86" s="5" t="str">
        <f>IFERROR(IF(OR(D85&lt;=0,ABS(D82/D85-1)&gt;5),"n/m",D82/D85-1),"n/a")</f>
        <v>n/a</v>
      </c>
      <c r="E86" s="5">
        <f>IFERROR(IF(OR(E85&lt;=0,ABS(E82/E85-1)&gt;5),"n/m",E82/E85-1),"n/a")</f>
        <v>0.013442867811800818</v>
      </c>
      <c r="F86" s="5">
        <f>IFERROR(IF(OR(F85&lt;=0,ABS(F82/F85-1)&gt;5),"n/m",F82/F85-1),"n/a")</f>
        <v>-0.18509254627313443</v>
      </c>
      <c r="G86" s="5">
        <f>IFERROR(IF(OR(G85&lt;=0,ABS(G82/G85-1)&gt;5),"n/m",G82/G85-1),"n/a")</f>
        <v>0.07549058870645031</v>
      </c>
      <c r="H86" s="5">
        <f>IFERROR(IF(OR(H85&lt;=0,ABS(H82/H85-1)&gt;5),"n/m",H82/H85-1),"n/a")</f>
        <v>0.11133333333333328</v>
      </c>
      <c r="I86" s="5">
        <f>IFERROR(IF(OR(I85&lt;=0,ABS(I82/I85-1)&gt;5),"n/m",I82/I85-1),"n/a")</f>
        <v>0.240677966101696</v>
      </c>
      <c r="J86" s="31">
        <f>IFERROR(IF(OR(J85&lt;=0,ABS(J82/J85-1)&gt;5),"n/m",J82/J85-1),"n/a")</f>
        <v>0.06562645407516432</v>
      </c>
      <c r="K86" s="2"/>
      <c r="L86" s="2"/>
    </row>
    <row r="87">
      <c r="A87" s="2"/>
      <c r="B87" s="21" t="s">
        <v>300</v>
      </c>
      <c r="C87" s="5">
        <f>IFERROR(C82/C11,"n/a")</f>
        <v>0.0982446947864815</v>
      </c>
      <c r="D87" s="5">
        <f>IFERROR(D82/D11,"n/a")</f>
        <v>0.06120331950207466</v>
      </c>
      <c r="E87" s="5">
        <f>IFERROR(E82/E11,"n/a")</f>
        <v>0.08792276791499296</v>
      </c>
      <c r="F87" s="5">
        <f>IFERROR(F82/F11,"n/a")</f>
        <v>0.0922528032619778</v>
      </c>
      <c r="G87" s="5">
        <f>IFERROR(G82/G11,"n/a")</f>
        <v>0.08549824896529787</v>
      </c>
      <c r="H87" s="5">
        <f>IFERROR(H82/H11,"n/a")</f>
        <v>0.09566714490674315</v>
      </c>
      <c r="I87" s="5">
        <f>IFERROR(I82/I11,"n/a")</f>
        <v>0.07029449423815623</v>
      </c>
      <c r="J87" s="31">
        <f>IFERROR(J82/J11,"n/a")</f>
        <v>0.08848237311231562</v>
      </c>
      <c r="K87" s="2"/>
      <c r="L87" s="2"/>
    </row>
    <row r="88">
      <c r="A88" s="2"/>
      <c r="B88" s="41" t="s">
        <v>153</v>
      </c>
      <c r="C88" s="30" t="s">
        <v>62</v>
      </c>
      <c r="D88" s="30" t="s">
        <v>62</v>
      </c>
      <c r="E88" s="30" t="s">
        <v>62</v>
      </c>
      <c r="F88" s="30" t="s">
        <v>62</v>
      </c>
      <c r="G88" s="30" t="s">
        <v>62</v>
      </c>
      <c r="H88" s="30">
        <f>IFERROR((H87-C87)*10000,"n/a")</f>
        <v>-25.7754987973835</v>
      </c>
      <c r="I88" s="30">
        <f>IFERROR((I87-D87)*10000,"n/a")</f>
        <v>90.91174736081571</v>
      </c>
      <c r="J88" s="51">
        <f>IFERROR((J87-E87)*10000,"n/a")</f>
        <v>5.596051973226629</v>
      </c>
      <c r="K88" s="2"/>
      <c r="L88" s="2"/>
    </row>
    <row r="89">
      <c r="A89" s="2"/>
      <c r="B89" s="47" t="s">
        <v>58</v>
      </c>
      <c r="C89" s="82">
        <f>C82/C62</f>
        <v>0.37495652191650103</v>
      </c>
      <c r="D89" s="82">
        <f>D82/D62</f>
        <v>0.22177730381642968</v>
      </c>
      <c r="E89" s="82">
        <f>E82/E62</f>
        <v>0.33964938607097</v>
      </c>
      <c r="F89" s="82">
        <f>F82/F62</f>
        <v>0.41015953949673944</v>
      </c>
      <c r="G89" s="82">
        <f>G82/G62</f>
        <v>1.3435922307898738</v>
      </c>
      <c r="H89" s="82">
        <f>H82/H62</f>
        <v>0.4228852176809013</v>
      </c>
      <c r="I89" s="82">
        <f>I82/I62</f>
        <v>0.28180638281498904</v>
      </c>
      <c r="J89" s="87">
        <f>J82/J62</f>
        <v>0.37269719592190864</v>
      </c>
      <c r="K89" s="4" t="s">
        <v>301</v>
      </c>
      <c r="L89" s="2"/>
    </row>
    <row r="90">
      <c r="A90" s="2"/>
      <c r="B90" s="34" t="s">
        <v>302</v>
      </c>
      <c r="C90" s="20">
        <v>0.38</v>
      </c>
      <c r="D90" s="20">
        <v>0.22</v>
      </c>
      <c r="E90" s="20">
        <v>0.34</v>
      </c>
      <c r="F90" s="20">
        <v>0.41</v>
      </c>
      <c r="G90" s="20">
        <v>1.34</v>
      </c>
      <c r="H90" s="20">
        <v>0.42</v>
      </c>
      <c r="I90" s="20">
        <v>0.28</v>
      </c>
      <c r="J90" s="80" t="s">
        <v>62</v>
      </c>
      <c r="K90" s="2"/>
      <c r="L90" s="2"/>
    </row>
    <row r="91">
      <c r="A91" s="2"/>
      <c r="B91" s="41" t="s">
        <v>303</v>
      </c>
      <c r="C91" s="18">
        <f>C89-C90</f>
        <v>-0.005043478083498976</v>
      </c>
      <c r="D91" s="18">
        <f>D89-D90</f>
        <v>0.0017773038164296817</v>
      </c>
      <c r="E91" s="18">
        <f>E89-E90</f>
        <v>-0.0003506139290300192</v>
      </c>
      <c r="F91" s="18">
        <f>F89-F90</f>
        <v>0.0001595394967394692</v>
      </c>
      <c r="G91" s="18">
        <f>G89-G90</f>
        <v>0.003592230789873696</v>
      </c>
      <c r="H91" s="18">
        <f>H89-H90</f>
        <v>0.002885217680901331</v>
      </c>
      <c r="I91" s="18">
        <f>I89-I90</f>
        <v>0.001806382814989016</v>
      </c>
      <c r="J91" s="80" t="s">
        <v>62</v>
      </c>
      <c r="K91" s="4" t="s">
        <v>304</v>
      </c>
      <c r="L91" s="2"/>
    </row>
    <row r="92">
      <c r="A92" s="2"/>
      <c r="B92" s="41" t="s">
        <v>305</v>
      </c>
      <c r="C92" s="20">
        <v>0.25</v>
      </c>
      <c r="D92" s="20">
        <v>0.16</v>
      </c>
      <c r="E92" s="20">
        <v>0.33</v>
      </c>
      <c r="F92" s="20">
        <v>0.49</v>
      </c>
      <c r="G92" s="20">
        <v>1.24</v>
      </c>
      <c r="H92" s="18">
        <f>C90</f>
        <v>0.38</v>
      </c>
      <c r="I92" s="18">
        <f>D90</f>
        <v>0.22</v>
      </c>
      <c r="J92" s="80">
        <f>E90</f>
        <v>0.34</v>
      </c>
      <c r="K92" s="2"/>
      <c r="L92" s="2"/>
    </row>
    <row r="93">
      <c r="A93" s="2"/>
      <c r="B93" s="3" t="s">
        <v>306</v>
      </c>
      <c r="C93" s="5">
        <f>IFERROR(IF(OR(C92&lt;=0,ABS(C89/C92-1)&gt;5),"n/m",C89/C92-1),"n/a")</f>
        <v>0.4998260876660041</v>
      </c>
      <c r="D93" s="5">
        <f>IFERROR(IF(OR(D92&lt;=0,ABS(D89/D92-1)&gt;5),"n/m",D89/D92-1),"n/a")</f>
        <v>0.3861081488526854</v>
      </c>
      <c r="E93" s="5">
        <f>IFERROR(IF(OR(E92&lt;=0,ABS(E89/E92-1)&gt;5),"n/m",E89/E92-1),"n/a")</f>
        <v>0.02924056385142415</v>
      </c>
      <c r="F93" s="5">
        <f>IFERROR(IF(OR(F92&lt;=0,ABS(F89/F92-1)&gt;5),"n/m",F89/F92-1),"n/a")</f>
        <v>-0.16293971531277662</v>
      </c>
      <c r="G93" s="5">
        <f>IFERROR(IF(OR(G92&lt;=0,ABS(G89/G92-1)&gt;5),"n/m",G89/G92-1),"n/a")</f>
        <v>0.08354212160473695</v>
      </c>
      <c r="H93" s="5">
        <f>IFERROR(IF(OR(H92&lt;=0,ABS(H89/H92-1)&gt;5),"n/m",H89/H92-1),"n/a")</f>
        <v>0.11285583600237192</v>
      </c>
      <c r="I93" s="5">
        <f>IFERROR(IF(OR(I92&lt;=0,ABS(I89/I92-1)&gt;5),"n/m",I89/I92-1),"n/a")</f>
        <v>0.28093810370449557</v>
      </c>
      <c r="J93" s="31">
        <f>IFERROR(IF(OR(J92&lt;=0,ABS(J89/J92-1)&gt;5),"n/m",J89/J92-1),"n/a")</f>
        <v>0.09616822329973118</v>
      </c>
      <c r="K93" s="2"/>
      <c r="L93" s="2"/>
    </row>
    <row r="94">
      <c r="A94" s="2"/>
      <c r="B94" s="2" t="s">
        <v>307</v>
      </c>
      <c r="C94" s="85"/>
      <c r="D94" s="85"/>
      <c r="E94" s="85"/>
      <c r="F94" s="85"/>
      <c r="G94" s="85"/>
      <c r="H94" s="85"/>
      <c r="I94" s="85"/>
      <c r="J94" s="79"/>
      <c r="K94" s="2"/>
      <c r="L94" s="2"/>
    </row>
    <row r="95">
      <c r="A95" s="2"/>
      <c r="B95" s="34" t="s">
        <v>308</v>
      </c>
      <c r="C95" s="18">
        <f>C64</f>
        <v>0.350459362484623</v>
      </c>
      <c r="D95" s="18">
        <f>D64</f>
        <v>0.19947427552302605</v>
      </c>
      <c r="E95" s="18">
        <f>E64</f>
        <v>0.30535906485378295</v>
      </c>
      <c r="F95" s="18">
        <f>F64</f>
        <v>0.40336131508519135</v>
      </c>
      <c r="G95" s="18">
        <f>G64</f>
        <v>1.25578719020018</v>
      </c>
      <c r="H95" s="18">
        <f>H64</f>
        <v>0.44926797871198326</v>
      </c>
      <c r="I95" s="18">
        <f>I64</f>
        <v>0.2433082430861654</v>
      </c>
      <c r="J95" s="80">
        <f>J64</f>
        <v>0.40048089363228506</v>
      </c>
      <c r="K95" s="2"/>
      <c r="L95" s="2"/>
    </row>
    <row r="96">
      <c r="A96" s="2"/>
      <c r="B96" s="41" t="s">
        <v>309</v>
      </c>
      <c r="C96" s="18">
        <f>N(C75)/C62</f>
        <v>0.00624927536527502</v>
      </c>
      <c r="D96" s="18">
        <f>N(D75)/D62</f>
        <v>0</v>
      </c>
      <c r="E96" s="18">
        <f>N(E75)/E62</f>
        <v>0</v>
      </c>
      <c r="F96" s="18">
        <f>N(F75)/F62</f>
        <v>0</v>
      </c>
      <c r="G96" s="18">
        <f>N(G75)/G62</f>
        <v>0.0062539202699212005</v>
      </c>
      <c r="H96" s="18">
        <f>N(H75)/H62</f>
        <v>0</v>
      </c>
      <c r="I96" s="18">
        <f>N(I75)/I62</f>
        <v>0</v>
      </c>
      <c r="J96" s="80">
        <f>N(J75)/J62</f>
        <v>0</v>
      </c>
      <c r="K96" s="2"/>
      <c r="L96" s="2"/>
    </row>
    <row r="97">
      <c r="A97" s="2"/>
      <c r="B97" s="41" t="s">
        <v>310</v>
      </c>
      <c r="C97" s="18">
        <f>N(C76)/C62</f>
        <v>0.016748057978937053</v>
      </c>
      <c r="D97" s="18">
        <f>N(D76)/D62</f>
        <v>0.017040515999454494</v>
      </c>
      <c r="E97" s="18">
        <f>N(E76)/E62</f>
        <v>0.021525311129037134</v>
      </c>
      <c r="F97" s="18">
        <f>N(F76)/F62</f>
        <v>0.0060428661435983555</v>
      </c>
      <c r="G97" s="18">
        <f>N(G76)/G62</f>
        <v>0.061288418645227764</v>
      </c>
      <c r="H97" s="18">
        <f>N(H76)/H62</f>
        <v>0.020040751167841164</v>
      </c>
      <c r="I97" s="18">
        <f>N(I76)/I62</f>
        <v>0.03464832575594126</v>
      </c>
      <c r="J97" s="80">
        <f>N(J76)/J62</f>
        <v>0.02577337449942151</v>
      </c>
      <c r="K97" s="2"/>
      <c r="L97" s="2"/>
    </row>
    <row r="98">
      <c r="A98" s="2"/>
      <c r="B98" s="41" t="s">
        <v>311</v>
      </c>
      <c r="C98" s="18">
        <f>N(C77)/C62</f>
        <v>0.007999072467552026</v>
      </c>
      <c r="D98" s="18">
        <f>N(D77)/D62</f>
        <v>0.011276812058462532</v>
      </c>
      <c r="E98" s="18">
        <f>N(E77)/E62</f>
        <v>0.018521779343590093</v>
      </c>
      <c r="F98" s="18">
        <f>N(F77)/F62</f>
        <v>0.0015107165358995889</v>
      </c>
      <c r="G98" s="18">
        <f>N(G77)/G62</f>
        <v>0.03927461929510514</v>
      </c>
      <c r="H98" s="18">
        <f>N(H77)/H62</f>
        <v>0.028919564976378386</v>
      </c>
      <c r="I98" s="18">
        <f>N(I77)/I62</f>
        <v>0.0148859473618118</v>
      </c>
      <c r="J98" s="80">
        <f>N(J77)/J62</f>
        <v>0.015464024699652905</v>
      </c>
      <c r="K98" s="2"/>
      <c r="L98" s="2"/>
    </row>
    <row r="99">
      <c r="A99" s="2"/>
      <c r="B99" s="41" t="s">
        <v>312</v>
      </c>
      <c r="C99" s="18">
        <f>N(C78)/C62</f>
        <v>0</v>
      </c>
      <c r="D99" s="18">
        <f>N(D78)/D62</f>
        <v>0</v>
      </c>
      <c r="E99" s="18">
        <f>N(E78)/E62</f>
        <v>0.0037544147318088025</v>
      </c>
      <c r="F99" s="18">
        <f>N(F78)/F62</f>
        <v>0</v>
      </c>
      <c r="G99" s="18">
        <f>N(G78)/G62</f>
        <v>0.00375235216195272</v>
      </c>
      <c r="H99" s="18">
        <f>N(H78)/H62</f>
        <v>0</v>
      </c>
      <c r="I99" s="18">
        <f>N(I78)/I62</f>
        <v>0</v>
      </c>
      <c r="J99" s="80">
        <f>N(J78)/J62</f>
        <v>0</v>
      </c>
      <c r="K99" s="2"/>
      <c r="L99" s="2"/>
    </row>
    <row r="100">
      <c r="A100" s="2"/>
      <c r="B100" s="41" t="s">
        <v>313</v>
      </c>
      <c r="C100" s="18">
        <f>N(C79)/C62</f>
        <v>0</v>
      </c>
      <c r="D100" s="18">
        <f>N(D79)/D62</f>
        <v>0</v>
      </c>
      <c r="E100" s="18">
        <f>N(E79)/E62</f>
        <v>0</v>
      </c>
      <c r="F100" s="18">
        <f>N(F79)/F62</f>
        <v>0</v>
      </c>
      <c r="G100" s="18">
        <f>N(G79)/G62</f>
        <v>0</v>
      </c>
      <c r="H100" s="18">
        <f>N(H79)/H62</f>
        <v>-0.08371453019477954</v>
      </c>
      <c r="I100" s="18">
        <f>N(I79)/I62</f>
        <v>0</v>
      </c>
      <c r="J100" s="80">
        <f>N(J79)/J62</f>
        <v>0</v>
      </c>
      <c r="K100" s="2"/>
      <c r="L100" s="2"/>
    </row>
    <row r="101">
      <c r="A101" s="2"/>
      <c r="B101" s="41" t="s">
        <v>314</v>
      </c>
      <c r="C101" s="18">
        <f>N(C80)/C62</f>
        <v>0</v>
      </c>
      <c r="D101" s="18">
        <f>N(D80)/D62</f>
        <v>0</v>
      </c>
      <c r="E101" s="18">
        <f>N(E80)/E62</f>
        <v>0</v>
      </c>
      <c r="F101" s="18">
        <f>N(F80)/F62</f>
        <v>0</v>
      </c>
      <c r="G101" s="18">
        <f>N(G80)/G62</f>
        <v>0</v>
      </c>
      <c r="H101" s="18">
        <f>N(H80)/H62</f>
        <v>0</v>
      </c>
      <c r="I101" s="18">
        <f>N(I80)/I62</f>
        <v>0</v>
      </c>
      <c r="J101" s="80">
        <f>N(J80)/J62</f>
        <v>-0.07732012349826453</v>
      </c>
      <c r="K101" s="2"/>
      <c r="L101" s="2"/>
    </row>
    <row r="102">
      <c r="A102" s="2"/>
      <c r="B102" s="41" t="s">
        <v>315</v>
      </c>
      <c r="C102" s="18">
        <f>N(C81)/C62</f>
        <v>-0.00649924637988602</v>
      </c>
      <c r="D102" s="18">
        <f>N(D81)/D62</f>
        <v>-0.00601429976451335</v>
      </c>
      <c r="E102" s="18">
        <f>N(E81)/E62</f>
        <v>-0.009511183987248966</v>
      </c>
      <c r="F102" s="18">
        <f>N(F81)/F62</f>
        <v>-0.0007553582679497944</v>
      </c>
      <c r="G102" s="18">
        <f>N(G81)/G62</f>
        <v>-0.022764269782513172</v>
      </c>
      <c r="H102" s="18">
        <f>N(H81)/H62</f>
        <v>0.008371453019477953</v>
      </c>
      <c r="I102" s="18">
        <f>N(I81)/I62</f>
        <v>-0.011036133388929437</v>
      </c>
      <c r="J102" s="80">
        <f>N(J81)/J62</f>
        <v>0.008299026588813726</v>
      </c>
      <c r="K102" s="2"/>
      <c r="L102" s="2"/>
    </row>
    <row r="103">
      <c r="A103" s="2"/>
      <c r="B103" s="47" t="s">
        <v>316</v>
      </c>
      <c r="C103" s="82">
        <f>C95+C96+C97+C98+C99+C100+C101+C102</f>
        <v>0.37495652191650114</v>
      </c>
      <c r="D103" s="82">
        <f>D95+D96+D97+D98+D99+D100+D101+D102</f>
        <v>0.22177730381642974</v>
      </c>
      <c r="E103" s="82">
        <f>E95+E96+E97+E98+E99+E100+E101+E102</f>
        <v>0.33964938607097</v>
      </c>
      <c r="F103" s="82">
        <f>F95+F96+F97+F98+F99+F100+F101+F102</f>
        <v>0.41015953949673944</v>
      </c>
      <c r="G103" s="82">
        <f>G95+G96+G97+G98+G99+G100+G101+G102</f>
        <v>1.3435922307898738</v>
      </c>
      <c r="H103" s="82">
        <f>H95+H96+H97+H98+H99+H100+H101+H102</f>
        <v>0.4228852176809012</v>
      </c>
      <c r="I103" s="82">
        <f>I95+I96+I97+I98+I99+I100+I101+I102</f>
        <v>0.281806382814989</v>
      </c>
      <c r="J103" s="87">
        <f>J95+J96+J97+J98+J99+J100+J101+J102</f>
        <v>0.3726971959219087</v>
      </c>
      <c r="K103" s="2"/>
      <c r="L103" s="2"/>
    </row>
    <row r="104">
      <c r="A104" s="2"/>
      <c r="B104" s="34" t="s">
        <v>317</v>
      </c>
      <c r="C104" s="73" t="b">
        <f>ABS(C103-C89)&lt;0.000001</f>
        <v>1</v>
      </c>
      <c r="D104" s="73" t="b">
        <f>ABS(D103-D89)&lt;0.000001</f>
        <v>1</v>
      </c>
      <c r="E104" s="73" t="b">
        <f>ABS(E103-E89)&lt;0.000001</f>
        <v>1</v>
      </c>
      <c r="F104" s="73" t="b">
        <f>ABS(F103-F89)&lt;0.000001</f>
        <v>1</v>
      </c>
      <c r="G104" s="73" t="b">
        <f>ABS(G103-G89)&lt;0.000001</f>
        <v>1</v>
      </c>
      <c r="H104" s="73" t="b">
        <f>ABS(H103-H89)&lt;0.000001</f>
        <v>1</v>
      </c>
      <c r="I104" s="73" t="b">
        <f>ABS(I103-I89)&lt;0.000001</f>
        <v>1</v>
      </c>
      <c r="J104" s="86" t="b">
        <f>ABS(J103-J89)&lt;0.000001</f>
        <v>1</v>
      </c>
      <c r="K104" s="2"/>
      <c r="L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A106" s="2"/>
      <c r="B106" s="43" t="s">
        <v>318</v>
      </c>
      <c r="C106" s="2"/>
      <c r="D106" s="2"/>
      <c r="E106" s="2"/>
      <c r="F106" s="2"/>
      <c r="G106" s="2"/>
      <c r="H106" s="2"/>
      <c r="I106" s="2"/>
      <c r="J106" s="23"/>
      <c r="K106" s="2"/>
      <c r="L106" s="2"/>
    </row>
    <row r="107">
      <c r="A107" s="2"/>
      <c r="B107" s="34" t="s">
        <v>319</v>
      </c>
      <c r="C107" s="12">
        <v>3.2</v>
      </c>
      <c r="D107" s="12">
        <v>4.5</v>
      </c>
      <c r="E107" s="12">
        <v>6.3</v>
      </c>
      <c r="F107" s="12">
        <v>0.4</v>
      </c>
      <c r="G107" s="7">
        <f>C107+D107+E107+F107</f>
        <v>14.4</v>
      </c>
      <c r="H107" s="12">
        <v>11.2</v>
      </c>
      <c r="I107" s="12">
        <v>5.5</v>
      </c>
      <c r="J107" s="49">
        <v>6</v>
      </c>
      <c r="K107" s="4" t="s">
        <v>320</v>
      </c>
      <c r="L107" s="2"/>
    </row>
    <row r="108">
      <c r="A108" s="2"/>
      <c r="B108" s="3" t="s">
        <v>94</v>
      </c>
      <c r="C108" s="5" t="s">
        <v>62</v>
      </c>
      <c r="D108" s="5" t="s">
        <v>62</v>
      </c>
      <c r="E108" s="5" t="s">
        <v>62</v>
      </c>
      <c r="F108" s="5" t="s">
        <v>62</v>
      </c>
      <c r="G108" s="5" t="s">
        <v>62</v>
      </c>
      <c r="H108" s="5">
        <f>IFERROR(IF(OR(C107&lt;=0,ABS(H107/C107-1)&gt;5),"n/m",H107/C107-1),"n/a")</f>
        <v>2.4999999999999996</v>
      </c>
      <c r="I108" s="5">
        <f>IFERROR(IF(OR(D107&lt;=0,ABS(I107/D107-1)&gt;5),"n/m",I107/D107-1),"n/a")</f>
        <v>0.22222222222222232</v>
      </c>
      <c r="J108" s="31">
        <f>IFERROR(IF(OR(E107&lt;=0,ABS(J107/E107-1)&gt;5),"n/m",J107/E107-1),"n/a")</f>
        <v>-0.04761904761904756</v>
      </c>
      <c r="K108" s="2"/>
      <c r="L108" s="2"/>
    </row>
    <row r="109">
      <c r="A109" s="2"/>
      <c r="B109" s="41" t="s">
        <v>96</v>
      </c>
      <c r="C109" s="7" t="s">
        <v>62</v>
      </c>
      <c r="D109" s="7">
        <f>IFERROR(D107-C107,"n/a")</f>
        <v>1.2999999999999998</v>
      </c>
      <c r="E109" s="7">
        <f>IFERROR(E107-D107,"n/a")</f>
        <v>1.7999999999999998</v>
      </c>
      <c r="F109" s="7">
        <f>IFERROR(F107-E107,"n/a")</f>
        <v>-5.8999999999999995</v>
      </c>
      <c r="G109" s="7" t="s">
        <v>62</v>
      </c>
      <c r="H109" s="7">
        <f>IFERROR(H107-F107,"n/a")</f>
        <v>10.799999999999999</v>
      </c>
      <c r="I109" s="7">
        <f>IFERROR(I107-H107,"n/a")</f>
        <v>-5.699999999999999</v>
      </c>
      <c r="J109" s="46">
        <f>IFERROR(J107-I107,"n/a")</f>
        <v>0.5</v>
      </c>
      <c r="K109" s="2"/>
      <c r="L109" s="2"/>
    </row>
    <row r="110">
      <c r="A110" s="2"/>
      <c r="B110" s="47" t="s">
        <v>321</v>
      </c>
      <c r="C110" s="14">
        <f>C24-C107</f>
        <v>743.5999999999999</v>
      </c>
      <c r="D110" s="14">
        <f>D24-D107</f>
        <v>786.5</v>
      </c>
      <c r="E110" s="14">
        <f>E24-E107</f>
        <v>769.3000000000001</v>
      </c>
      <c r="F110" s="14">
        <f>F24-F107</f>
        <v>859.4</v>
      </c>
      <c r="G110" s="14">
        <f>G24-G107</f>
        <v>3158.7999999999997</v>
      </c>
      <c r="H110" s="14">
        <f>H24-H107</f>
        <v>860.5</v>
      </c>
      <c r="I110" s="14">
        <f>I24-I107</f>
        <v>837.9</v>
      </c>
      <c r="J110" s="36">
        <f>E110*(1+J112)</f>
        <v>815.4580000000001</v>
      </c>
      <c r="K110" s="2"/>
      <c r="L110" s="2"/>
    </row>
    <row r="111">
      <c r="A111" s="2"/>
      <c r="B111" s="41" t="s">
        <v>322</v>
      </c>
      <c r="C111" s="12">
        <v>731.2</v>
      </c>
      <c r="D111" s="12">
        <v>746.4</v>
      </c>
      <c r="E111" s="12">
        <v>696.1</v>
      </c>
      <c r="F111" s="12">
        <v>837.9</v>
      </c>
      <c r="G111" s="12">
        <v>3011.7</v>
      </c>
      <c r="H111" s="7">
        <f>C110</f>
        <v>743.5999999999999</v>
      </c>
      <c r="I111" s="7">
        <f>D110</f>
        <v>786.5</v>
      </c>
      <c r="J111" s="46">
        <f>E110</f>
        <v>769.3000000000001</v>
      </c>
      <c r="K111" s="97" t="s">
        <v>323</v>
      </c>
      <c r="L111" s="2"/>
    </row>
    <row r="112">
      <c r="A112" s="2"/>
      <c r="B112" s="3" t="s">
        <v>324</v>
      </c>
      <c r="C112" s="5">
        <f>IFERROR(IF(OR(C111&lt;=0,ABS(C110/C111-1)&gt;5),"n/m",C110/C111-1),"n/a")</f>
        <v>0.016958424507658387</v>
      </c>
      <c r="D112" s="5">
        <f>IFERROR(IF(OR(D111&lt;=0,ABS(D110/D111-1)&gt;5),"n/m",D110/D111-1),"n/a")</f>
        <v>0.0537245444801715</v>
      </c>
      <c r="E112" s="5">
        <f>IFERROR(IF(OR(E111&lt;=0,ABS(E110/E111-1)&gt;5),"n/m",E110/E111-1),"n/a")</f>
        <v>0.10515730498491593</v>
      </c>
      <c r="F112" s="5">
        <f>IFERROR(IF(OR(F111&lt;=0,ABS(F110/F111-1)&gt;5),"n/m",F110/F111-1),"n/a")</f>
        <v>0.025659386561642128</v>
      </c>
      <c r="G112" s="5">
        <f>IFERROR(IF(OR(G111&lt;=0,ABS(G110/G111-1)&gt;5),"n/m",G110/G111-1),"n/a")</f>
        <v>0.048842846233024595</v>
      </c>
      <c r="H112" s="5">
        <f>IFERROR(IF(OR(H111&lt;=0,ABS(H110/H111-1)&gt;5),"n/m",H110/H111-1),"n/a")</f>
        <v>0.1572081764389459</v>
      </c>
      <c r="I112" s="5">
        <f>IFERROR(IF(OR(I111&lt;=0,ABS(I110/I111-1)&gt;5),"n/m",I110/I111-1),"n/a")</f>
        <v>0.0653528289891927</v>
      </c>
      <c r="J112" s="44">
        <v>0.06</v>
      </c>
      <c r="K112" s="4" t="s">
        <v>325</v>
      </c>
      <c r="L112" s="2"/>
    </row>
    <row r="113">
      <c r="A113" s="2"/>
      <c r="B113" s="41" t="s">
        <v>326</v>
      </c>
      <c r="C113" s="30" t="s">
        <v>62</v>
      </c>
      <c r="D113" s="30" t="s">
        <v>62</v>
      </c>
      <c r="E113" s="30" t="s">
        <v>62</v>
      </c>
      <c r="F113" s="30" t="s">
        <v>62</v>
      </c>
      <c r="G113" s="30" t="s">
        <v>62</v>
      </c>
      <c r="H113" s="30">
        <f>IFERROR((H112-C112)*10000,"n/a")</f>
        <v>1402.4975193128753</v>
      </c>
      <c r="I113" s="30">
        <f>IFERROR((I112-D112)*10000,"n/a")</f>
        <v>116.28284509021202</v>
      </c>
      <c r="J113" s="51">
        <f>IFERROR((J112-E112)*10000,"n/a")</f>
        <v>-451.57304984915936</v>
      </c>
      <c r="K113" s="2"/>
      <c r="L113" s="2"/>
    </row>
    <row r="114">
      <c r="A114" s="2"/>
      <c r="B114" s="41" t="s">
        <v>96</v>
      </c>
      <c r="C114" s="7" t="s">
        <v>62</v>
      </c>
      <c r="D114" s="7">
        <f>IFERROR(D110-C110,"n/a")</f>
        <v>42.90000000000009</v>
      </c>
      <c r="E114" s="7">
        <f>IFERROR(E110-D110,"n/a")</f>
        <v>-17.199999999999932</v>
      </c>
      <c r="F114" s="7">
        <f>IFERROR(F110-E110,"n/a")</f>
        <v>90.09999999999991</v>
      </c>
      <c r="G114" s="7" t="s">
        <v>62</v>
      </c>
      <c r="H114" s="7">
        <f>IFERROR(H110-F110,"n/a")</f>
        <v>1.1000000000000227</v>
      </c>
      <c r="I114" s="7">
        <f>IFERROR(I110-H110,"n/a")</f>
        <v>-22.600000000000023</v>
      </c>
      <c r="J114" s="46">
        <f>IFERROR(J110-I110,"n/a")</f>
        <v>-22.441999999999894</v>
      </c>
      <c r="K114" s="2"/>
      <c r="L114" s="2"/>
    </row>
    <row r="115">
      <c r="A115" s="2"/>
      <c r="B115" s="21" t="s">
        <v>327</v>
      </c>
      <c r="C115" s="5">
        <f>IFERROR(C110/C11,"n/a")</f>
        <v>0.4870317002881844</v>
      </c>
      <c r="D115" s="5">
        <f>IFERROR(D110/D11,"n/a")</f>
        <v>0.5439142461964038</v>
      </c>
      <c r="E115" s="5">
        <f>IFERROR(E110/E11,"n/a")</f>
        <v>0.4984449915770377</v>
      </c>
      <c r="F115" s="5">
        <f>IFERROR(F110/F11,"n/a")</f>
        <v>0.48669158455091166</v>
      </c>
      <c r="G115" s="5">
        <f>IFERROR(G110/G11,"n/a")</f>
        <v>0.5028334925183061</v>
      </c>
      <c r="H115" s="5">
        <f>IFERROR(H110/H11,"n/a")</f>
        <v>0.4938307030129125</v>
      </c>
      <c r="I115" s="5">
        <f>IFERROR(I110/I11,"n/a")</f>
        <v>0.536427656850192</v>
      </c>
      <c r="J115" s="31">
        <f>IFERROR(J110/J11,"n/a")</f>
        <v>0.4989689473398009</v>
      </c>
      <c r="K115" s="2"/>
      <c r="L115" s="2"/>
    </row>
    <row r="116">
      <c r="A116" s="2"/>
      <c r="B116" s="41" t="s">
        <v>153</v>
      </c>
      <c r="C116" s="30" t="s">
        <v>62</v>
      </c>
      <c r="D116" s="30" t="s">
        <v>62</v>
      </c>
      <c r="E116" s="30" t="s">
        <v>62</v>
      </c>
      <c r="F116" s="30" t="s">
        <v>62</v>
      </c>
      <c r="G116" s="30" t="s">
        <v>62</v>
      </c>
      <c r="H116" s="30">
        <f>IFERROR((H115-C115)*10000,"n/a")</f>
        <v>67.99002724728109</v>
      </c>
      <c r="I116" s="30">
        <f>IFERROR((I115-D115)*10000,"n/a")</f>
        <v>-74.86589346211825</v>
      </c>
      <c r="J116" s="51">
        <f>IFERROR((J115-E115)*10000,"n/a")</f>
        <v>5.239557627632063</v>
      </c>
      <c r="K116" s="2"/>
      <c r="L116" s="2"/>
    </row>
    <row r="117">
      <c r="A117" s="2"/>
      <c r="B117" s="34" t="s">
        <v>328</v>
      </c>
      <c r="C117" s="12">
        <v>0</v>
      </c>
      <c r="D117" s="12">
        <v>0</v>
      </c>
      <c r="E117" s="12">
        <v>0</v>
      </c>
      <c r="F117" s="12">
        <v>0</v>
      </c>
      <c r="G117" s="7">
        <f>N(C117)+N(D117)+N(E117)+N(F117)</f>
        <v>0</v>
      </c>
      <c r="H117" s="12">
        <v>0</v>
      </c>
      <c r="I117" s="7" t="s">
        <v>62</v>
      </c>
      <c r="J117" s="49">
        <v>30</v>
      </c>
      <c r="K117" s="4" t="s">
        <v>329</v>
      </c>
      <c r="L117" s="2"/>
    </row>
    <row r="118">
      <c r="A118" s="2"/>
      <c r="B118" s="41" t="s">
        <v>96</v>
      </c>
      <c r="C118" s="7" t="s">
        <v>62</v>
      </c>
      <c r="D118" s="7">
        <f>IFERROR(D117-C117,"n/a")</f>
        <v>0</v>
      </c>
      <c r="E118" s="7">
        <f>IFERROR(E117-D117,"n/a")</f>
        <v>0</v>
      </c>
      <c r="F118" s="7">
        <f>IFERROR(F117-E117,"n/a")</f>
        <v>0</v>
      </c>
      <c r="G118" s="7" t="s">
        <v>62</v>
      </c>
      <c r="H118" s="7">
        <f>IFERROR(H117-F117,"n/a")</f>
        <v>0</v>
      </c>
      <c r="I118" s="7" t="str">
        <f>IFERROR(I117-H117,"n/a")</f>
        <v>n/a</v>
      </c>
      <c r="J118" s="46" t="str">
        <f>IFERROR(J117-I117,"n/a")</f>
        <v>n/a</v>
      </c>
      <c r="K118" s="4" t="s">
        <v>330</v>
      </c>
      <c r="L118" s="2"/>
    </row>
    <row r="119">
      <c r="A119" s="2"/>
      <c r="B119" s="21" t="s">
        <v>331</v>
      </c>
      <c r="C119" s="5">
        <f>IFERROR((C18-C117)/C11,"n/a")</f>
        <v>0.6206444851977992</v>
      </c>
      <c r="D119" s="5">
        <f>IFERROR((D18-D117)/D11,"n/a")</f>
        <v>0.626417704011065</v>
      </c>
      <c r="E119" s="5">
        <f>IFERROR((E18-E117)/E11,"n/a")</f>
        <v>0.6165608397045484</v>
      </c>
      <c r="F119" s="5">
        <f>IFERROR((F18-F117)/F11,"n/a")</f>
        <v>0.6075433231396535</v>
      </c>
      <c r="G119" s="5">
        <f>IFERROR((G18-G117)/G11,"n/a")</f>
        <v>0.6172874880611271</v>
      </c>
      <c r="H119" s="5">
        <f>IFERROR((H18-H117)/H11,"n/a")</f>
        <v>0.6188235294117647</v>
      </c>
      <c r="I119" s="5" t="str">
        <f>IFERROR((I18-I117)/I11,"n/a")</f>
        <v>n/a</v>
      </c>
      <c r="J119" s="44">
        <v>0.62</v>
      </c>
      <c r="K119" s="4" t="s">
        <v>332</v>
      </c>
      <c r="L119" s="2"/>
    </row>
    <row r="120">
      <c r="A120" s="2"/>
      <c r="B120" s="41" t="s">
        <v>153</v>
      </c>
      <c r="C120" s="30" t="s">
        <v>62</v>
      </c>
      <c r="D120" s="30" t="s">
        <v>62</v>
      </c>
      <c r="E120" s="30" t="s">
        <v>62</v>
      </c>
      <c r="F120" s="30" t="s">
        <v>62</v>
      </c>
      <c r="G120" s="30" t="s">
        <v>62</v>
      </c>
      <c r="H120" s="30">
        <f>IFERROR((H119-C119)*10000,"n/a")</f>
        <v>-18.20955786034584</v>
      </c>
      <c r="I120" s="30" t="str">
        <f>IFERROR((I119-D119)*10000,"n/a")</f>
        <v>n/a</v>
      </c>
      <c r="J120" s="51">
        <f>IFERROR((J119-E119)*10000,"n/a")</f>
        <v>34.39160295451549</v>
      </c>
      <c r="K120" s="2"/>
      <c r="L120" s="2"/>
    </row>
    <row r="121">
      <c r="A121" s="2"/>
      <c r="B121" s="47" t="s">
        <v>333</v>
      </c>
      <c r="C121" s="14">
        <f>C33+C32+C29+C107-N(C117)</f>
        <v>203.99999999999994</v>
      </c>
      <c r="D121" s="14">
        <f>D33+D32+D29+D107-N(D117)</f>
        <v>119.29999999999995</v>
      </c>
      <c r="E121" s="14">
        <f>E33+E32+E29+E107-N(E117)</f>
        <v>182.30000000000013</v>
      </c>
      <c r="F121" s="14">
        <f>F33+F32+F29+F107-N(F117)</f>
        <v>213.40000000000046</v>
      </c>
      <c r="G121" s="14">
        <f>G33+G32+G29+G107-N(G117)</f>
        <v>719.0000000000013</v>
      </c>
      <c r="H121" s="14">
        <f>H33+H32+H29+H107-N(H117)</f>
        <v>217.7999999999999</v>
      </c>
      <c r="I121" s="14">
        <f>I33+I32+I29+I107-N(I117)</f>
        <v>141.20000000000005</v>
      </c>
      <c r="J121" s="36">
        <f>J33+J32+J29+J107-N(J117)</f>
        <v>197.79936339999995</v>
      </c>
      <c r="K121" s="2"/>
      <c r="L121" s="2"/>
    </row>
    <row r="122">
      <c r="A122" s="2"/>
      <c r="B122" s="34" t="s">
        <v>334</v>
      </c>
      <c r="C122" s="12">
        <v>204</v>
      </c>
      <c r="D122" s="12">
        <v>119.3</v>
      </c>
      <c r="E122" s="12">
        <v>182.3</v>
      </c>
      <c r="F122" s="12">
        <v>213.4</v>
      </c>
      <c r="G122" s="12">
        <v>719</v>
      </c>
      <c r="H122" s="12">
        <v>217.8</v>
      </c>
      <c r="I122" s="12">
        <v>141.2</v>
      </c>
      <c r="J122" s="46" t="s">
        <v>62</v>
      </c>
      <c r="K122" s="2"/>
      <c r="L122" s="2"/>
    </row>
    <row r="123">
      <c r="A123" s="2"/>
      <c r="B123" s="41" t="s">
        <v>335</v>
      </c>
      <c r="C123" s="7">
        <f>ROUND(C121-C122,1)</f>
        <v>0</v>
      </c>
      <c r="D123" s="7">
        <f>ROUND(D121-D122,1)</f>
        <v>0</v>
      </c>
      <c r="E123" s="7">
        <f>ROUND(E121-E122,1)</f>
        <v>0</v>
      </c>
      <c r="F123" s="7">
        <f>ROUND(F121-F122,1)</f>
        <v>0</v>
      </c>
      <c r="G123" s="7">
        <f>ROUND(G121-G122,1)</f>
        <v>0</v>
      </c>
      <c r="H123" s="7">
        <f>ROUND(H121-H122,1)</f>
        <v>0</v>
      </c>
      <c r="I123" s="7">
        <f>ROUND(I121-I122,1)</f>
        <v>0</v>
      </c>
      <c r="J123" s="46" t="s">
        <v>62</v>
      </c>
      <c r="K123" s="2"/>
      <c r="L123" s="2"/>
    </row>
    <row r="124">
      <c r="A124" s="2"/>
      <c r="B124" s="41" t="s">
        <v>336</v>
      </c>
      <c r="C124" s="12">
        <v>138.5</v>
      </c>
      <c r="D124" s="12">
        <v>86</v>
      </c>
      <c r="E124" s="12">
        <v>177.8</v>
      </c>
      <c r="F124" s="12">
        <v>243.1</v>
      </c>
      <c r="G124" s="12">
        <v>645.4</v>
      </c>
      <c r="H124" s="7">
        <f>C121</f>
        <v>203.99999999999994</v>
      </c>
      <c r="I124" s="7">
        <f>D121</f>
        <v>119.29999999999995</v>
      </c>
      <c r="J124" s="46">
        <f>E121</f>
        <v>182.30000000000013</v>
      </c>
      <c r="K124" s="4" t="s">
        <v>337</v>
      </c>
      <c r="L124" s="2"/>
    </row>
    <row r="125">
      <c r="A125" s="2"/>
      <c r="B125" s="3" t="s">
        <v>94</v>
      </c>
      <c r="C125" s="5">
        <f>IFERROR(IF(OR(C124&lt;=0,ABS(C121/C124-1)&gt;5),"n/m",C121/C124-1),"n/a")</f>
        <v>0.4729241877256314</v>
      </c>
      <c r="D125" s="5">
        <f>IFERROR(IF(OR(D124&lt;=0,ABS(D121/D124-1)&gt;5),"n/m",D121/D124-1),"n/a")</f>
        <v>0.38720930232558093</v>
      </c>
      <c r="E125" s="5">
        <f>IFERROR(IF(OR(E124&lt;=0,ABS(E121/E124-1)&gt;5),"n/m",E121/E124-1),"n/a")</f>
        <v>0.025309336332959065</v>
      </c>
      <c r="F125" s="5">
        <f>IFERROR(IF(OR(F124&lt;=0,ABS(F121/F124-1)&gt;5),"n/m",F121/F124-1),"n/a")</f>
        <v>-0.12217194570135559</v>
      </c>
      <c r="G125" s="5">
        <f>IFERROR(IF(OR(G124&lt;=0,ABS(G121/G124-1)&gt;5),"n/m",G121/G124-1),"n/a")</f>
        <v>0.11403780601177771</v>
      </c>
      <c r="H125" s="5">
        <f>IFERROR(IF(OR(H124&lt;=0,ABS(H121/H124-1)&gt;5),"n/m",H121/H124-1),"n/a")</f>
        <v>0.06764705882352917</v>
      </c>
      <c r="I125" s="5">
        <f>IFERROR(IF(OR(I124&lt;=0,ABS(I121/I124-1)&gt;5),"n/m",I121/I124-1),"n/a")</f>
        <v>0.18357082984073836</v>
      </c>
      <c r="J125" s="31">
        <f>IFERROR(IF(OR(J124&lt;=0,ABS(J121/J124-1)&gt;5),"n/m",J121/J124-1),"n/a")</f>
        <v>0.08502119253976859</v>
      </c>
      <c r="K125" s="2"/>
      <c r="L125" s="2"/>
    </row>
    <row r="126">
      <c r="A126" s="2"/>
      <c r="B126" s="41" t="s">
        <v>96</v>
      </c>
      <c r="C126" s="7" t="s">
        <v>62</v>
      </c>
      <c r="D126" s="7">
        <f>IFERROR(D121-C121,"n/a")</f>
        <v>-84.69999999999999</v>
      </c>
      <c r="E126" s="7">
        <f>IFERROR(E121-D121,"n/a")</f>
        <v>63.00000000000017</v>
      </c>
      <c r="F126" s="7">
        <f>IFERROR(F121-E121,"n/a")</f>
        <v>31.100000000000335</v>
      </c>
      <c r="G126" s="7" t="s">
        <v>62</v>
      </c>
      <c r="H126" s="7">
        <f>IFERROR(H121-F121,"n/a")</f>
        <v>4.399999999999437</v>
      </c>
      <c r="I126" s="7">
        <f>IFERROR(I121-H121,"n/a")</f>
        <v>-76.59999999999985</v>
      </c>
      <c r="J126" s="46">
        <f>IFERROR(J121-I121,"n/a")</f>
        <v>56.5993633999999</v>
      </c>
      <c r="K126" s="2"/>
      <c r="L126" s="2"/>
    </row>
    <row r="127">
      <c r="A127" s="2"/>
      <c r="B127" s="21" t="s">
        <v>338</v>
      </c>
      <c r="C127" s="5">
        <f>IFERROR(C121/C11,"n/a")</f>
        <v>0.13361278490961484</v>
      </c>
      <c r="D127" s="5">
        <f>IFERROR(D121/D11,"n/a")</f>
        <v>0.0825034578146611</v>
      </c>
      <c r="E127" s="5">
        <f>IFERROR(E121/E11,"n/a")</f>
        <v>0.11811584812751076</v>
      </c>
      <c r="F127" s="5">
        <f>IFERROR(F121/F11,"n/a")</f>
        <v>0.12085173858874187</v>
      </c>
      <c r="G127" s="5">
        <f>IFERROR(G121/G11,"n/a")</f>
        <v>0.11445399554282094</v>
      </c>
      <c r="H127" s="5">
        <f>IFERROR(H121/H11,"n/a")</f>
        <v>0.12499282639885216</v>
      </c>
      <c r="I127" s="5">
        <f>IFERROR(I121/I11,"n/a")</f>
        <v>0.09039692701664535</v>
      </c>
      <c r="J127" s="31">
        <f>IFERROR(J121/J11,"n/a")</f>
        <v>0.12103105266019917</v>
      </c>
      <c r="K127" s="4" t="s">
        <v>339</v>
      </c>
      <c r="L127" s="2"/>
    </row>
    <row r="128">
      <c r="A128" s="2"/>
      <c r="B128" s="3" t="s">
        <v>340</v>
      </c>
      <c r="C128" s="5">
        <f>IFERROR(C124/C12,"n/a")</f>
        <v>0.09356843669774356</v>
      </c>
      <c r="D128" s="5">
        <f>IFERROR(D124/D12,"n/a")</f>
        <v>0.06329113924050632</v>
      </c>
      <c r="E128" s="5">
        <f>IFERROR(E124/E12,"n/a")</f>
        <v>0.12320698496292702</v>
      </c>
      <c r="F128" s="5">
        <f>IFERROR(F124/F12,"n/a")</f>
        <v>0.13892222412709296</v>
      </c>
      <c r="G128" s="5">
        <f>IFERROR(G124/G12,"n/a")</f>
        <v>0.10699602122015915</v>
      </c>
      <c r="H128" s="5">
        <f>IFERROR(H124/H12,"n/a")</f>
        <v>0.13361278490961484</v>
      </c>
      <c r="I128" s="5">
        <f>IFERROR(I124/I12,"n/a")</f>
        <v>0.0825034578146611</v>
      </c>
      <c r="J128" s="31">
        <f>IFERROR(J124/J12,"n/a")</f>
        <v>0.11811584812751076</v>
      </c>
      <c r="K128" s="2"/>
      <c r="L128" s="2"/>
    </row>
    <row r="129">
      <c r="A129" s="2"/>
      <c r="B129" s="41" t="s">
        <v>153</v>
      </c>
      <c r="C129" s="30">
        <f>IFERROR((C127-C128)*10000,"n/a")</f>
        <v>400.4434821187128</v>
      </c>
      <c r="D129" s="30">
        <f>IFERROR((D127-D128)*10000,"n/a")</f>
        <v>192.12318574154784</v>
      </c>
      <c r="E129" s="30">
        <f>IFERROR((E127-E128)*10000,"n/a")</f>
        <v>-50.9113683541626</v>
      </c>
      <c r="F129" s="30">
        <f>IFERROR((F127-F128)*10000,"n/a")</f>
        <v>-180.70485538351082</v>
      </c>
      <c r="G129" s="30">
        <f>IFERROR((G127-G128)*10000,"n/a")</f>
        <v>74.57974322661792</v>
      </c>
      <c r="H129" s="30">
        <f>IFERROR((H127-H128)*10000,"n/a")</f>
        <v>-86.19958510762679</v>
      </c>
      <c r="I129" s="30">
        <f>IFERROR((I127-I128)*10000,"n/a")</f>
        <v>78.93469201984249</v>
      </c>
      <c r="J129" s="51">
        <f>IFERROR((J127-J128)*10000,"n/a")</f>
        <v>29.152045326884117</v>
      </c>
      <c r="K129" s="2"/>
      <c r="L129" s="2"/>
    </row>
    <row r="130">
      <c r="A130" s="2"/>
      <c r="B130" s="34" t="s">
        <v>341</v>
      </c>
      <c r="C130" s="12">
        <v>49.1</v>
      </c>
      <c r="D130" s="12">
        <v>50.3</v>
      </c>
      <c r="E130" s="12">
        <v>51.7</v>
      </c>
      <c r="F130" s="12">
        <v>54.8</v>
      </c>
      <c r="G130" s="7">
        <f>C130+D130+E130+F130</f>
        <v>205.90000000000003</v>
      </c>
      <c r="H130" s="12">
        <v>55.3</v>
      </c>
      <c r="I130" s="12">
        <v>57.1</v>
      </c>
      <c r="J130" s="49">
        <v>57.5</v>
      </c>
      <c r="K130" s="4" t="s">
        <v>342</v>
      </c>
      <c r="L130" s="2"/>
    </row>
    <row r="131">
      <c r="A131" s="2"/>
      <c r="B131" s="3" t="s">
        <v>94</v>
      </c>
      <c r="C131" s="5" t="s">
        <v>62</v>
      </c>
      <c r="D131" s="5" t="s">
        <v>62</v>
      </c>
      <c r="E131" s="5" t="s">
        <v>62</v>
      </c>
      <c r="F131" s="5" t="s">
        <v>62</v>
      </c>
      <c r="G131" s="5" t="s">
        <v>62</v>
      </c>
      <c r="H131" s="5">
        <f>IFERROR(IF(OR(C130&lt;=0,ABS(H130/C130-1)&gt;5),"n/m",H130/C130-1),"n/a")</f>
        <v>0.12627291242362526</v>
      </c>
      <c r="I131" s="5">
        <f>IFERROR(IF(OR(D130&lt;=0,ABS(I130/D130-1)&gt;5),"n/m",I130/D130-1),"n/a")</f>
        <v>0.13518886679920494</v>
      </c>
      <c r="J131" s="31">
        <f>IFERROR(IF(OR(E130&lt;=0,ABS(J130/E130-1)&gt;5),"n/m",J130/E130-1),"n/a")</f>
        <v>0.1121856866537716</v>
      </c>
      <c r="K131" s="2"/>
      <c r="L131" s="2"/>
    </row>
    <row r="132">
      <c r="A132" s="2"/>
      <c r="B132" s="41" t="s">
        <v>96</v>
      </c>
      <c r="C132" s="7" t="s">
        <v>62</v>
      </c>
      <c r="D132" s="7">
        <f>IFERROR(D130-C130,"n/a")</f>
        <v>1.1999999999999957</v>
      </c>
      <c r="E132" s="7">
        <f>IFERROR(E130-D130,"n/a")</f>
        <v>1.4000000000000057</v>
      </c>
      <c r="F132" s="7">
        <f>IFERROR(F130-E130,"n/a")</f>
        <v>3.0999999999999943</v>
      </c>
      <c r="G132" s="7" t="s">
        <v>62</v>
      </c>
      <c r="H132" s="7">
        <f>IFERROR(H130-F130,"n/a")</f>
        <v>0.5</v>
      </c>
      <c r="I132" s="7">
        <f>IFERROR(I130-H130,"n/a")</f>
        <v>1.8000000000000043</v>
      </c>
      <c r="J132" s="46">
        <f>IFERROR(J130-I130,"n/a")</f>
        <v>0.3999999999999986</v>
      </c>
      <c r="K132" s="2"/>
      <c r="L132" s="2"/>
    </row>
    <row r="133">
      <c r="A133" s="2"/>
      <c r="B133" s="47" t="s">
        <v>343</v>
      </c>
      <c r="C133" s="14">
        <f>C121+C130</f>
        <v>253.09999999999994</v>
      </c>
      <c r="D133" s="14">
        <f>D121+D130</f>
        <v>169.59999999999997</v>
      </c>
      <c r="E133" s="14">
        <f>E121+E130</f>
        <v>234.0000000000001</v>
      </c>
      <c r="F133" s="14">
        <f>F121+F130</f>
        <v>268.20000000000044</v>
      </c>
      <c r="G133" s="14">
        <f>G121+G130</f>
        <v>924.9000000000012</v>
      </c>
      <c r="H133" s="14">
        <f>H121+H130</f>
        <v>273.0999999999999</v>
      </c>
      <c r="I133" s="14">
        <f>I121+I130</f>
        <v>198.30000000000004</v>
      </c>
      <c r="J133" s="36">
        <f>J121+J130</f>
        <v>255.29936339999995</v>
      </c>
      <c r="K133" s="2"/>
      <c r="L133" s="2"/>
    </row>
    <row r="134">
      <c r="A134" s="2"/>
      <c r="B134" s="21" t="s">
        <v>344</v>
      </c>
      <c r="C134" s="5">
        <f>IFERROR(C133/C11,"n/a")</f>
        <v>0.1657715483363898</v>
      </c>
      <c r="D134" s="5">
        <f>IFERROR(D133/D11,"n/a")</f>
        <v>0.11728907330567079</v>
      </c>
      <c r="E134" s="5">
        <f>IFERROR(E133/E11,"n/a")</f>
        <v>0.15161332123882343</v>
      </c>
      <c r="F134" s="5">
        <f>IFERROR(F133/F11,"n/a")</f>
        <v>0.15188583078491358</v>
      </c>
      <c r="G134" s="5">
        <f>IFERROR(G133/G11,"n/a")</f>
        <v>0.14723018147086933</v>
      </c>
      <c r="H134" s="5">
        <f>IFERROR(H133/H11,"n/a")</f>
        <v>0.156728837876614</v>
      </c>
      <c r="I134" s="5">
        <f>IFERROR(I133/I11,"n/a")</f>
        <v>0.12695262483994882</v>
      </c>
      <c r="J134" s="31">
        <f>IFERROR(J133/J11,"n/a")</f>
        <v>0.1562146114358057</v>
      </c>
      <c r="K134" s="2"/>
      <c r="L134" s="2"/>
    </row>
    <row r="135">
      <c r="A135" s="2"/>
      <c r="B135" s="21" t="s">
        <v>345</v>
      </c>
      <c r="C135" s="5" t="s">
        <v>62</v>
      </c>
      <c r="D135" s="5" t="s">
        <v>62</v>
      </c>
      <c r="E135" s="5" t="s">
        <v>62</v>
      </c>
      <c r="F135" s="5" t="s">
        <v>62</v>
      </c>
      <c r="G135" s="5" t="s">
        <v>62</v>
      </c>
      <c r="H135" s="5" t="s">
        <v>62</v>
      </c>
      <c r="I135" s="5" t="s">
        <v>62</v>
      </c>
      <c r="J135" s="31">
        <f>J46</f>
        <v>0.23</v>
      </c>
      <c r="K135" s="4" t="s">
        <v>346</v>
      </c>
      <c r="L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A137" s="2"/>
      <c r="B137" s="43" t="s">
        <v>347</v>
      </c>
      <c r="C137" s="2"/>
      <c r="D137" s="2"/>
      <c r="E137" s="2"/>
      <c r="F137" s="2"/>
      <c r="G137" s="2"/>
      <c r="H137" s="2"/>
      <c r="I137" s="2"/>
      <c r="J137" s="23"/>
      <c r="K137" s="2"/>
      <c r="L137" s="2"/>
    </row>
    <row r="138">
      <c r="A138" s="2"/>
      <c r="B138" s="34" t="s">
        <v>348</v>
      </c>
      <c r="C138" s="16">
        <f>'Segment - Americas'!C64</f>
        <v>169.7</v>
      </c>
      <c r="D138" s="16">
        <f>'Segment - Americas'!D64</f>
        <v>153.3</v>
      </c>
      <c r="E138" s="16">
        <f>'Segment - Americas'!E64</f>
        <v>189.3</v>
      </c>
      <c r="F138" s="16">
        <f>'Segment - Americas'!F64</f>
        <v>210.60000000000002</v>
      </c>
      <c r="G138" s="16">
        <f>'Segment - Americas'!G64</f>
        <v>722.9</v>
      </c>
      <c r="H138" s="16">
        <f>'Segment - Americas'!H64</f>
        <v>163.2</v>
      </c>
      <c r="I138" s="16">
        <f>'Segment - Americas'!I64</f>
        <v>164.1</v>
      </c>
      <c r="J138" s="19">
        <f>'Segment - Americas'!J64</f>
        <v>199.04464749999997</v>
      </c>
      <c r="K138" s="2"/>
      <c r="L138" s="2"/>
    </row>
    <row r="139">
      <c r="A139" s="2"/>
      <c r="B139" s="34" t="s">
        <v>349</v>
      </c>
      <c r="C139" s="16">
        <f>'Segment - Europe'!C64</f>
        <v>102.4</v>
      </c>
      <c r="D139" s="16">
        <f>'Segment - Europe'!D64</f>
        <v>69.4</v>
      </c>
      <c r="E139" s="16">
        <f>'Segment - Europe'!E64</f>
        <v>91</v>
      </c>
      <c r="F139" s="16">
        <f>'Segment - Europe'!F64</f>
        <v>103.89999999999995</v>
      </c>
      <c r="G139" s="16">
        <f>'Segment - Europe'!G64</f>
        <v>366.7</v>
      </c>
      <c r="H139" s="16">
        <f>'Segment - Europe'!H64</f>
        <v>129.2</v>
      </c>
      <c r="I139" s="16">
        <f>'Segment - Europe'!I64</f>
        <v>88.8</v>
      </c>
      <c r="J139" s="19">
        <f>'Segment - Europe'!J64</f>
        <v>103.13512110000002</v>
      </c>
      <c r="K139" s="2"/>
      <c r="L139" s="2"/>
    </row>
    <row r="140">
      <c r="A140" s="2"/>
      <c r="B140" s="34" t="s">
        <v>350</v>
      </c>
      <c r="C140" s="16">
        <f>'Segment - Asia'!C64</f>
        <v>57.9</v>
      </c>
      <c r="D140" s="16">
        <f>'Segment - Asia'!D64</f>
        <v>29.6</v>
      </c>
      <c r="E140" s="16">
        <f>'Segment - Asia'!E64</f>
        <v>33.4</v>
      </c>
      <c r="F140" s="16">
        <f>'Segment - Asia'!F64</f>
        <v>27.69999999999999</v>
      </c>
      <c r="G140" s="16">
        <f>'Segment - Asia'!G64</f>
        <v>148.6</v>
      </c>
      <c r="H140" s="16">
        <f>'Segment - Asia'!H64</f>
        <v>70.4</v>
      </c>
      <c r="I140" s="16">
        <f>'Segment - Asia'!I64</f>
        <v>42.5</v>
      </c>
      <c r="J140" s="19">
        <f>'Segment - Asia'!J64</f>
        <v>42.20006</v>
      </c>
      <c r="K140" s="2"/>
      <c r="L140" s="2"/>
    </row>
    <row r="141">
      <c r="A141" s="2"/>
      <c r="B141" s="47" t="s">
        <v>351</v>
      </c>
      <c r="C141" s="14">
        <f>C138+C139+C140</f>
        <v>330</v>
      </c>
      <c r="D141" s="14">
        <f>D138+D139+D140</f>
        <v>252.3</v>
      </c>
      <c r="E141" s="14">
        <f>E138+E139+E140</f>
        <v>313.7</v>
      </c>
      <c r="F141" s="14">
        <f>F138+F139+F140</f>
        <v>342.2</v>
      </c>
      <c r="G141" s="14">
        <f>G138+G139+G140</f>
        <v>1238.1999999999998</v>
      </c>
      <c r="H141" s="14">
        <f>H138+H139+H140</f>
        <v>362.79999999999995</v>
      </c>
      <c r="I141" s="14">
        <f>I138+I139+I140</f>
        <v>295.4</v>
      </c>
      <c r="J141" s="36">
        <f>J138+J139+J140</f>
        <v>344.3798286</v>
      </c>
      <c r="K141" s="2"/>
      <c r="L141" s="2"/>
    </row>
    <row r="142">
      <c r="A142" s="2"/>
      <c r="B142" s="34" t="s">
        <v>352</v>
      </c>
      <c r="C142" s="16">
        <f>'Segment - Beyond Yoga'!C52</f>
        <v>-3.1</v>
      </c>
      <c r="D142" s="16">
        <f>'Segment - Beyond Yoga'!D52</f>
        <v>-4.4</v>
      </c>
      <c r="E142" s="16">
        <f>'Segment - Beyond Yoga'!E52</f>
        <v>-4.8</v>
      </c>
      <c r="F142" s="16">
        <f>'Segment - Beyond Yoga'!F52</f>
        <v>-1.2999999999999998</v>
      </c>
      <c r="G142" s="16">
        <f>'Segment - Beyond Yoga'!G52</f>
        <v>-13.6</v>
      </c>
      <c r="H142" s="16">
        <f>'Segment - Beyond Yoga'!H52</f>
        <v>-0.8</v>
      </c>
      <c r="I142" s="16">
        <f>'Segment - Beyond Yoga'!I52</f>
        <v>-2.4</v>
      </c>
      <c r="J142" s="19">
        <f>'Segment - Beyond Yoga'!J52</f>
        <v>-2.9956</v>
      </c>
      <c r="K142" s="2"/>
      <c r="L142" s="2"/>
    </row>
    <row r="143">
      <c r="A143" s="2"/>
      <c r="B143" s="34" t="s">
        <v>353</v>
      </c>
      <c r="C143" s="7">
        <f>C117</f>
        <v>0</v>
      </c>
      <c r="D143" s="7">
        <f>D117</f>
        <v>0</v>
      </c>
      <c r="E143" s="7">
        <f>E117</f>
        <v>0</v>
      </c>
      <c r="F143" s="7">
        <f>F117</f>
        <v>0</v>
      </c>
      <c r="G143" s="7">
        <f>G117</f>
        <v>0</v>
      </c>
      <c r="H143" s="7">
        <f>H117</f>
        <v>0</v>
      </c>
      <c r="I143" s="7" t="str">
        <f>I117</f>
        <v>n/a</v>
      </c>
      <c r="J143" s="46">
        <f>J117</f>
        <v>30</v>
      </c>
      <c r="K143" s="97" t="s">
        <v>354</v>
      </c>
      <c r="L143" s="2"/>
    </row>
    <row r="144">
      <c r="A144" s="2"/>
      <c r="B144" s="34" t="s">
        <v>355</v>
      </c>
      <c r="C144" s="7">
        <f>-C29</f>
        <v>-6.7</v>
      </c>
      <c r="D144" s="7">
        <f>-D29</f>
        <v>-6.8</v>
      </c>
      <c r="E144" s="7">
        <f>-E29</f>
        <v>-8.6</v>
      </c>
      <c r="F144" s="7">
        <f>-F29</f>
        <v>-2.4</v>
      </c>
      <c r="G144" s="7">
        <f>-G29</f>
        <v>-24.5</v>
      </c>
      <c r="H144" s="7">
        <f>-H29</f>
        <v>-7.9</v>
      </c>
      <c r="I144" s="7">
        <f>-I29</f>
        <v>-13.5</v>
      </c>
      <c r="J144" s="46">
        <f>-J29</f>
        <v>-10</v>
      </c>
      <c r="K144" s="2"/>
      <c r="L144" s="2"/>
    </row>
    <row r="145">
      <c r="A145" s="2"/>
      <c r="B145" s="34" t="s">
        <v>356</v>
      </c>
      <c r="C145" s="7">
        <f>-C32</f>
        <v>-2.5</v>
      </c>
      <c r="D145" s="7">
        <f>-D32</f>
        <v>0</v>
      </c>
      <c r="E145" s="7">
        <f>-E32</f>
        <v>0</v>
      </c>
      <c r="F145" s="7">
        <f>-F32</f>
        <v>0</v>
      </c>
      <c r="G145" s="7">
        <f>-G32</f>
        <v>-2.5</v>
      </c>
      <c r="H145" s="7">
        <f>-H32</f>
        <v>0</v>
      </c>
      <c r="I145" s="7">
        <f>-I32</f>
        <v>0</v>
      </c>
      <c r="J145" s="46">
        <f>-J32</f>
        <v>0</v>
      </c>
      <c r="K145" s="2"/>
      <c r="L145" s="2"/>
    </row>
    <row r="146">
      <c r="A146" s="2"/>
      <c r="B146" s="34" t="s">
        <v>357</v>
      </c>
      <c r="C146" s="12">
        <v>-126.1</v>
      </c>
      <c r="D146" s="12">
        <v>-133.1</v>
      </c>
      <c r="E146" s="12">
        <v>-132.9</v>
      </c>
      <c r="F146" s="7">
        <f>G146-C146-D146-E146</f>
        <v>-127.89999999999995</v>
      </c>
      <c r="G146" s="12">
        <v>-520</v>
      </c>
      <c r="H146" s="12">
        <v>-155.4</v>
      </c>
      <c r="I146" s="12">
        <v>-157.3</v>
      </c>
      <c r="J146" s="46">
        <f>J33-J141-J142-J143-J144-J145</f>
        <v>-149.58486520000005</v>
      </c>
      <c r="K146" s="4" t="s">
        <v>358</v>
      </c>
      <c r="L146" s="2"/>
    </row>
    <row r="147">
      <c r="A147" s="2"/>
      <c r="B147" s="47" t="s">
        <v>359</v>
      </c>
      <c r="C147" s="14">
        <f>C141+C142+N(C143)+C144+C145+C146</f>
        <v>191.6</v>
      </c>
      <c r="D147" s="14">
        <f>D141+D142+N(D143)+D144+D145+D146</f>
        <v>108</v>
      </c>
      <c r="E147" s="14">
        <f>E141+E142+N(E143)+E144+E145+E146</f>
        <v>167.39999999999995</v>
      </c>
      <c r="F147" s="14">
        <f>F141+F142+N(F143)+F144+F145+F146</f>
        <v>210.60000000000005</v>
      </c>
      <c r="G147" s="14">
        <f>G141+G142+N(G143)+G144+G145+G146</f>
        <v>677.5999999999999</v>
      </c>
      <c r="H147" s="14">
        <f>H141+H142+N(H143)+H144+H145+H146</f>
        <v>198.69999999999996</v>
      </c>
      <c r="I147" s="14">
        <f>I141+I142+N(I143)+I144+I145+I146</f>
        <v>122.19999999999999</v>
      </c>
      <c r="J147" s="36">
        <f>J141+J142+N(J143)+J144+J145+J146</f>
        <v>211.79936339999992</v>
      </c>
      <c r="K147" s="2"/>
      <c r="L147" s="2"/>
    </row>
    <row r="148">
      <c r="A148" s="2"/>
      <c r="B148" s="34" t="s">
        <v>360</v>
      </c>
      <c r="C148" s="7">
        <f>ROUND(C147-C33,1)</f>
        <v>0</v>
      </c>
      <c r="D148" s="7">
        <f>ROUND(D147-D33,1)</f>
        <v>0</v>
      </c>
      <c r="E148" s="7">
        <f>ROUND(E147-E33,1)</f>
        <v>0</v>
      </c>
      <c r="F148" s="7">
        <f>ROUND(F147-F33,1)</f>
        <v>0</v>
      </c>
      <c r="G148" s="7">
        <f>ROUND(G147-G33,1)</f>
        <v>0</v>
      </c>
      <c r="H148" s="7">
        <f>ROUND(H147-H33,1)</f>
        <v>0</v>
      </c>
      <c r="I148" s="7">
        <f>ROUND(I147-I33,1)</f>
        <v>0</v>
      </c>
      <c r="J148" s="46">
        <f>ROUND(J147-J33,1)</f>
        <v>0</v>
      </c>
      <c r="K148" s="97" t="s">
        <v>361</v>
      </c>
      <c r="L148" s="2"/>
    </row>
    <row r="149">
      <c r="A149" s="2"/>
      <c r="B149" s="34" t="s">
        <v>362</v>
      </c>
      <c r="C149" s="16">
        <f>'Segment - Americas'!C55+'Segment - Europe'!C55+'Segment - Asia'!C55</f>
        <v>919.4000000000001</v>
      </c>
      <c r="D149" s="16">
        <f>'Segment - Americas'!D55+'Segment - Europe'!D55+'Segment - Asia'!D55</f>
        <v>881.9</v>
      </c>
      <c r="E149" s="7" t="s">
        <v>62</v>
      </c>
      <c r="F149" s="7" t="s">
        <v>62</v>
      </c>
      <c r="G149" s="16">
        <f>'Segment - Americas'!G55+'Segment - Europe'!G55+'Segment - Asia'!G55</f>
        <v>3773.1000000000004</v>
      </c>
      <c r="H149" s="16">
        <f>'Segment - Americas'!H55+'Segment - Europe'!H55+'Segment - Asia'!H55</f>
        <v>1061.8000000000002</v>
      </c>
      <c r="I149" s="16">
        <f>'Segment - Americas'!I55+'Segment - Europe'!I55+'Segment - Asia'!I55</f>
        <v>961.4000000000001</v>
      </c>
      <c r="J149" s="19">
        <f>'Segment - Americas'!J55+'Segment - Europe'!J55+'Segment - Asia'!J55</f>
        <v>996.56855075</v>
      </c>
      <c r="K149" s="4" t="s">
        <v>363</v>
      </c>
      <c r="L149" s="2"/>
    </row>
    <row r="150">
      <c r="A150" s="2"/>
      <c r="B150" s="34" t="s">
        <v>364</v>
      </c>
      <c r="C150" s="7">
        <f>IFERROR(C18-C117-C149,"n/a")</f>
        <v>28.199999999999818</v>
      </c>
      <c r="D150" s="7">
        <f>IFERROR(D18-D117-D149,"n/a")</f>
        <v>23.899999999999977</v>
      </c>
      <c r="E150" s="7" t="s">
        <v>62</v>
      </c>
      <c r="F150" s="7" t="s">
        <v>62</v>
      </c>
      <c r="G150" s="7">
        <f>IFERROR(G18-G117-G149,"n/a")</f>
        <v>104.70000000000073</v>
      </c>
      <c r="H150" s="7">
        <f>IFERROR(H18-H117-H149,"n/a")</f>
        <v>16.499999999999773</v>
      </c>
      <c r="I150" s="7" t="str">
        <f>IFERROR(I18-I117-I149,"n/a")</f>
        <v>n/a</v>
      </c>
      <c r="J150" s="46">
        <f>IFERROR(J18-J117-J149,"n/a")</f>
        <v>16.688812650000045</v>
      </c>
      <c r="K150" s="4" t="s">
        <v>365</v>
      </c>
      <c r="L150" s="2"/>
    </row>
    <row r="151">
      <c r="A151" s="2"/>
      <c r="B151" s="21" t="s">
        <v>366</v>
      </c>
      <c r="C151" s="5">
        <f>IFERROR(-C146/C11,"n/a")</f>
        <v>0.08259104008383547</v>
      </c>
      <c r="D151" s="5">
        <f>IFERROR(-D146/D11,"n/a")</f>
        <v>0.09204702627939142</v>
      </c>
      <c r="E151" s="5">
        <f>IFERROR(-E146/E11,"n/a")</f>
        <v>0.08610859142153686</v>
      </c>
      <c r="F151" s="5">
        <f>IFERROR(-F146/F11,"n/a")</f>
        <v>0.07243175897610143</v>
      </c>
      <c r="G151" s="5">
        <f>IFERROR(-G146/G11,"n/a")</f>
        <v>0.08277618592804838</v>
      </c>
      <c r="H151" s="5">
        <f>IFERROR(-H146/H11,"n/a")</f>
        <v>0.08918220946915352</v>
      </c>
      <c r="I151" s="5">
        <f>IFERROR(-I146/I11,"n/a")</f>
        <v>0.10070422535211268</v>
      </c>
      <c r="J151" s="31">
        <f>IFERROR(-J146/J11,"n/a")</f>
        <v>0.0915291808122675</v>
      </c>
      <c r="K151" s="2"/>
      <c r="L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A153" s="2"/>
      <c r="B153" s="43" t="s">
        <v>367</v>
      </c>
      <c r="C153" s="2"/>
      <c r="D153" s="2"/>
      <c r="E153" s="2"/>
      <c r="F153" s="2"/>
      <c r="G153" s="2"/>
      <c r="H153" s="2"/>
      <c r="I153" s="2"/>
      <c r="J153" s="23"/>
      <c r="K153" s="2"/>
      <c r="L153" s="2"/>
    </row>
    <row r="154">
      <c r="A154" s="2"/>
      <c r="B154" s="2" t="s">
        <v>368</v>
      </c>
      <c r="C154" s="8">
        <f>Inputs!D101</f>
        <v>0.28</v>
      </c>
      <c r="D154" s="8">
        <f>Inputs!D102</f>
        <v>0.13</v>
      </c>
      <c r="E154" s="8">
        <f>Inputs!D103</f>
        <v>0.31</v>
      </c>
      <c r="F154" s="8">
        <f>Inputs!D104</f>
        <v>0.39</v>
      </c>
      <c r="G154" s="18" t="s">
        <v>62</v>
      </c>
      <c r="H154" s="8">
        <f>Inputs!D105</f>
        <v>0.37</v>
      </c>
      <c r="I154" s="8">
        <f>Inputs!D106</f>
        <v>0.24</v>
      </c>
      <c r="J154" s="76">
        <f>Inputs!C38</f>
        <v>0.36</v>
      </c>
      <c r="K154" s="2"/>
      <c r="L154" s="2"/>
    </row>
    <row r="155">
      <c r="A155" s="2"/>
      <c r="B155" s="2" t="s">
        <v>369</v>
      </c>
      <c r="C155" s="8">
        <f>Inputs!E101</f>
        <v>0.38</v>
      </c>
      <c r="D155" s="8">
        <f>Inputs!E102</f>
        <v>0.22</v>
      </c>
      <c r="E155" s="8">
        <f>Inputs!E103</f>
        <v>0.34</v>
      </c>
      <c r="F155" s="8">
        <f>Inputs!E104</f>
        <v>0.41</v>
      </c>
      <c r="G155" s="18" t="s">
        <v>62</v>
      </c>
      <c r="H155" s="8">
        <f>Inputs!E105</f>
        <v>0.42</v>
      </c>
      <c r="I155" s="8">
        <f>Inputs!E106</f>
        <v>0.28</v>
      </c>
      <c r="J155" s="80" t="s">
        <v>62</v>
      </c>
      <c r="K155" s="2"/>
      <c r="L155" s="2"/>
    </row>
    <row r="156">
      <c r="A156" s="2"/>
      <c r="B156" s="34" t="s">
        <v>370</v>
      </c>
      <c r="C156" s="18">
        <f>C155-C154</f>
        <v>0.09999999999999998</v>
      </c>
      <c r="D156" s="18">
        <f>D155-D154</f>
        <v>0.09</v>
      </c>
      <c r="E156" s="18">
        <f>E155-E154</f>
        <v>0.030000000000000027</v>
      </c>
      <c r="F156" s="18">
        <f>F155-F154</f>
        <v>0.019999999999999962</v>
      </c>
      <c r="G156" s="18" t="s">
        <v>62</v>
      </c>
      <c r="H156" s="18">
        <f>H155-H154</f>
        <v>0.04999999999999999</v>
      </c>
      <c r="I156" s="18">
        <f>I155-I154</f>
        <v>0.040000000000000036</v>
      </c>
      <c r="J156" s="80">
        <f>J89-J154</f>
        <v>0.012697195921908655</v>
      </c>
      <c r="K156" s="2"/>
      <c r="L156" s="2"/>
    </row>
    <row r="157">
      <c r="A157" s="2"/>
      <c r="B157" s="34" t="s">
        <v>371</v>
      </c>
      <c r="C157" s="30">
        <f>IF(C155&gt;C154,1,0)</f>
        <v>1</v>
      </c>
      <c r="D157" s="30">
        <f>IF(D155&gt;D154,1,0)</f>
        <v>1</v>
      </c>
      <c r="E157" s="30">
        <f>IF(E155&gt;E154,1,0)</f>
        <v>1</v>
      </c>
      <c r="F157" s="30">
        <f>IF(F155&gt;F154,1,0)</f>
        <v>1</v>
      </c>
      <c r="G157" s="30" t="s">
        <v>62</v>
      </c>
      <c r="H157" s="30">
        <f>IF(H155&gt;H154,1,0)</f>
        <v>1</v>
      </c>
      <c r="I157" s="30">
        <f>IF(I155&gt;I154,1,0)</f>
        <v>1</v>
      </c>
      <c r="J157" s="51" t="s">
        <v>62</v>
      </c>
      <c r="K157" s="2"/>
      <c r="L157" s="2"/>
    </row>
    <row r="158">
      <c r="A158" s="2"/>
      <c r="B158" s="34" t="s">
        <v>372</v>
      </c>
      <c r="C158" s="18">
        <f>ROUND(C155-C90,2)</f>
        <v>0</v>
      </c>
      <c r="D158" s="18">
        <f>ROUND(D155-D90,2)</f>
        <v>0</v>
      </c>
      <c r="E158" s="18">
        <f>ROUND(E155-E90,2)</f>
        <v>0</v>
      </c>
      <c r="F158" s="18">
        <f>ROUND(F155-F90,2)</f>
        <v>0</v>
      </c>
      <c r="G158" s="18" t="s">
        <v>62</v>
      </c>
      <c r="H158" s="18">
        <f>ROUND(H155-H90,2)</f>
        <v>0</v>
      </c>
      <c r="I158" s="18">
        <f>ROUND(I155-I90,2)</f>
        <v>0</v>
      </c>
      <c r="J158" s="80" t="s">
        <v>62</v>
      </c>
      <c r="K158" s="2"/>
      <c r="L158" s="2"/>
    </row>
    <row r="159">
      <c r="A159" s="2"/>
      <c r="B159" s="2" t="s">
        <v>373</v>
      </c>
      <c r="C159" s="16">
        <f>Inputs!I101</f>
        <v>1526.8</v>
      </c>
      <c r="D159" s="16">
        <f>Inputs!I102</f>
        <v>1446</v>
      </c>
      <c r="E159" s="16">
        <f>Inputs!I103</f>
        <v>1543.4</v>
      </c>
      <c r="F159" s="16">
        <f>Inputs!I104</f>
        <v>1765.8</v>
      </c>
      <c r="G159" s="7" t="s">
        <v>62</v>
      </c>
      <c r="H159" s="16">
        <f>Inputs!I105</f>
        <v>1742.5</v>
      </c>
      <c r="I159" s="16">
        <f>Inputs!I106</f>
        <v>1562</v>
      </c>
      <c r="J159" s="46" t="s">
        <v>62</v>
      </c>
      <c r="K159" s="2"/>
      <c r="L159" s="2"/>
    </row>
    <row r="160">
      <c r="A160" s="2"/>
      <c r="B160" s="2" t="s">
        <v>374</v>
      </c>
      <c r="C160" s="16">
        <f>Inputs!H101</f>
        <v>1539.09</v>
      </c>
      <c r="D160" s="16">
        <f>Inputs!H102</f>
        <v>1369.7</v>
      </c>
      <c r="E160" s="16">
        <f>Inputs!H103</f>
        <v>1498.66</v>
      </c>
      <c r="F160" s="16">
        <f>Inputs!H104</f>
        <v>1711.94</v>
      </c>
      <c r="G160" s="7" t="s">
        <v>62</v>
      </c>
      <c r="H160" s="16">
        <f>Inputs!H105</f>
        <v>1650.6</v>
      </c>
      <c r="I160" s="16">
        <f>Inputs!H106</f>
        <v>1519.46</v>
      </c>
      <c r="J160" s="19">
        <f>Inputs!C54</f>
        <v>1616.65</v>
      </c>
      <c r="K160" s="2"/>
      <c r="L160" s="2"/>
    </row>
    <row r="161">
      <c r="A161" s="2"/>
      <c r="B161" s="21" t="s">
        <v>375</v>
      </c>
      <c r="C161" s="5">
        <f>IFERROR(C159/C160-1,"n/a")</f>
        <v>-0.00798523803026463</v>
      </c>
      <c r="D161" s="5">
        <f>IFERROR(D159/D160-1,"n/a")</f>
        <v>0.05570562896984743</v>
      </c>
      <c r="E161" s="5">
        <f>IFERROR(E159/E160-1,"n/a")</f>
        <v>0.029853335646510937</v>
      </c>
      <c r="F161" s="5">
        <f>IFERROR(F159/F160-1,"n/a")</f>
        <v>0.03146138299239443</v>
      </c>
      <c r="G161" s="5" t="s">
        <v>62</v>
      </c>
      <c r="H161" s="5">
        <f>IFERROR(H159/H160-1,"n/a")</f>
        <v>0.05567672361565501</v>
      </c>
      <c r="I161" s="5">
        <f>IFERROR(I159/I160-1,"n/a")</f>
        <v>0.02799678833269703</v>
      </c>
      <c r="J161" s="31">
        <f>J11/J160-1</f>
        <v>0.010909021742492087</v>
      </c>
      <c r="K161" s="2"/>
      <c r="L161" s="2"/>
    </row>
    <row r="162">
      <c r="A162" s="2"/>
      <c r="B162" s="34" t="s">
        <v>376</v>
      </c>
      <c r="C162" s="7">
        <f>ROUND(C159-C11,1)</f>
        <v>0</v>
      </c>
      <c r="D162" s="7">
        <f>ROUND(D159-D11,1)</f>
        <v>0</v>
      </c>
      <c r="E162" s="7">
        <f>ROUND(E159-E11,1)</f>
        <v>0</v>
      </c>
      <c r="F162" s="7">
        <f>ROUND(F159-F11,1)</f>
        <v>0</v>
      </c>
      <c r="G162" s="7" t="s">
        <v>62</v>
      </c>
      <c r="H162" s="7">
        <f>ROUND(H159-H11,1)</f>
        <v>0</v>
      </c>
      <c r="I162" s="7">
        <f>ROUND(I159-I11,1)</f>
        <v>0</v>
      </c>
      <c r="J162" s="46" t="s">
        <v>62</v>
      </c>
      <c r="K162" s="2"/>
      <c r="L162" s="2"/>
    </row>
    <row r="163">
      <c r="A163" s="2"/>
      <c r="B163" s="34" t="s">
        <v>377</v>
      </c>
      <c r="C163" s="7" t="s">
        <v>62</v>
      </c>
      <c r="D163" s="7" t="s">
        <v>62</v>
      </c>
      <c r="E163" s="7" t="s">
        <v>62</v>
      </c>
      <c r="F163" s="7" t="s">
        <v>62</v>
      </c>
      <c r="G163" s="16">
        <f>'Revenue summary'!G46</f>
        <v>6282</v>
      </c>
      <c r="H163" s="7" t="s">
        <v>62</v>
      </c>
      <c r="I163" s="7" t="s">
        <v>62</v>
      </c>
      <c r="J163" s="46" t="s">
        <v>62</v>
      </c>
      <c r="K163" s="2"/>
      <c r="L163" s="2"/>
    </row>
    <row r="164">
      <c r="A164" s="2"/>
      <c r="B164" s="41" t="s">
        <v>378</v>
      </c>
      <c r="C164" s="7" t="s">
        <v>62</v>
      </c>
      <c r="D164" s="7" t="s">
        <v>62</v>
      </c>
      <c r="E164" s="7" t="s">
        <v>62</v>
      </c>
      <c r="F164" s="7" t="s">
        <v>62</v>
      </c>
      <c r="G164" s="7">
        <f>ROUND(G163-(C11+D11+E11+F11),1)</f>
        <v>0</v>
      </c>
      <c r="H164" s="7" t="s">
        <v>62</v>
      </c>
      <c r="I164" s="7" t="s">
        <v>62</v>
      </c>
      <c r="J164" s="46" t="s">
        <v>62</v>
      </c>
      <c r="K164" s="2"/>
      <c r="L164" s="2"/>
    </row>
    <row r="165">
      <c r="A165" s="2"/>
      <c r="B165" s="34" t="s">
        <v>379</v>
      </c>
      <c r="C165" s="7" t="s">
        <v>62</v>
      </c>
      <c r="D165" s="7" t="s">
        <v>62</v>
      </c>
      <c r="E165" s="7" t="s">
        <v>62</v>
      </c>
      <c r="F165" s="7" t="s">
        <v>62</v>
      </c>
      <c r="G165" s="12">
        <v>502</v>
      </c>
      <c r="H165" s="7" t="s">
        <v>62</v>
      </c>
      <c r="I165" s="7" t="s">
        <v>62</v>
      </c>
      <c r="J165" s="46" t="s">
        <v>62</v>
      </c>
      <c r="K165" s="2"/>
      <c r="L165" s="2"/>
    </row>
    <row r="166">
      <c r="A166" s="2"/>
      <c r="B166" s="41" t="s">
        <v>380</v>
      </c>
      <c r="C166" s="7" t="s">
        <v>62</v>
      </c>
      <c r="D166" s="7" t="s">
        <v>62</v>
      </c>
      <c r="E166" s="7" t="s">
        <v>62</v>
      </c>
      <c r="F166" s="7" t="s">
        <v>62</v>
      </c>
      <c r="G166" s="7">
        <f>ROUND(G165-(C50+D50+E50+F50),1)</f>
        <v>0</v>
      </c>
      <c r="H166" s="7" t="s">
        <v>62</v>
      </c>
      <c r="I166" s="7" t="s">
        <v>62</v>
      </c>
      <c r="J166" s="46" t="s">
        <v>62</v>
      </c>
      <c r="K166" s="2"/>
      <c r="L166" s="2"/>
    </row>
    <row r="167">
      <c r="A167" s="2"/>
      <c r="B167" s="34" t="s">
        <v>381</v>
      </c>
      <c r="C167" s="7" t="s">
        <v>62</v>
      </c>
      <c r="D167" s="7" t="s">
        <v>62</v>
      </c>
      <c r="E167" s="7" t="s">
        <v>62</v>
      </c>
      <c r="F167" s="7" t="s">
        <v>62</v>
      </c>
      <c r="G167" s="12">
        <v>2404.2</v>
      </c>
      <c r="H167" s="7" t="s">
        <v>62</v>
      </c>
      <c r="I167" s="7" t="s">
        <v>62</v>
      </c>
      <c r="J167" s="46" t="s">
        <v>62</v>
      </c>
      <c r="K167" s="2"/>
      <c r="L167" s="2"/>
    </row>
    <row r="168">
      <c r="A168" s="2"/>
      <c r="B168" s="41" t="s">
        <v>382</v>
      </c>
      <c r="C168" s="7" t="s">
        <v>62</v>
      </c>
      <c r="D168" s="7" t="s">
        <v>62</v>
      </c>
      <c r="E168" s="7" t="s">
        <v>62</v>
      </c>
      <c r="F168" s="7" t="s">
        <v>62</v>
      </c>
      <c r="G168" s="7">
        <f>ROUND(G167-G15,1)</f>
        <v>0</v>
      </c>
      <c r="H168" s="7" t="s">
        <v>62</v>
      </c>
      <c r="I168" s="7" t="s">
        <v>62</v>
      </c>
      <c r="J168" s="46" t="s">
        <v>62</v>
      </c>
      <c r="K168" s="2"/>
      <c r="L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A170" s="2"/>
      <c r="B170" s="108" t="s">
        <v>383</v>
      </c>
      <c r="C170" s="101"/>
      <c r="D170" s="101"/>
      <c r="E170" s="101"/>
      <c r="F170" s="101"/>
      <c r="G170" s="101"/>
      <c r="H170" s="101"/>
      <c r="I170" s="101"/>
      <c r="J170" s="101"/>
      <c r="K170" s="109" t="s">
        <v>384</v>
      </c>
      <c r="L170" s="2"/>
    </row>
    <row r="171">
      <c r="B171" s="105" t="s">
        <v>385</v>
      </c>
      <c r="C171" s="100" t="s">
        <v>62</v>
      </c>
      <c r="D171" s="100" t="s">
        <v>62</v>
      </c>
      <c r="E171" s="100" t="s">
        <v>62</v>
      </c>
      <c r="F171" s="100" t="s">
        <v>62</v>
      </c>
      <c r="G171" s="100" t="s">
        <v>62</v>
      </c>
      <c r="H171" s="100" t="s">
        <v>62</v>
      </c>
      <c r="I171" s="100" t="s">
        <v>62</v>
      </c>
      <c r="J171" s="106">
        <f>J82+J117*(1-J135)</f>
        <v>167.70550981799994</v>
      </c>
      <c r="K171" s="109" t="s">
        <v>386</v>
      </c>
    </row>
    <row r="172">
      <c r="B172" s="105" t="s">
        <v>387</v>
      </c>
      <c r="C172" s="102" t="s">
        <v>62</v>
      </c>
      <c r="D172" s="102" t="s">
        <v>62</v>
      </c>
      <c r="E172" s="102" t="s">
        <v>62</v>
      </c>
      <c r="F172" s="102" t="s">
        <v>62</v>
      </c>
      <c r="G172" s="102" t="s">
        <v>62</v>
      </c>
      <c r="H172" s="102" t="s">
        <v>62</v>
      </c>
      <c r="I172" s="102" t="s">
        <v>62</v>
      </c>
      <c r="J172" s="104">
        <f>J171/J62</f>
        <v>0.4322336910155723</v>
      </c>
      <c r="K172" s="109" t="s">
        <v>388</v>
      </c>
    </row>
    <row r="173">
      <c r="B173" s="105" t="s">
        <v>389</v>
      </c>
      <c r="C173" s="102" t="s">
        <v>62</v>
      </c>
      <c r="D173" s="102" t="s">
        <v>62</v>
      </c>
      <c r="E173" s="102" t="s">
        <v>62</v>
      </c>
      <c r="F173" s="102" t="s">
        <v>62</v>
      </c>
      <c r="G173" s="102" t="s">
        <v>62</v>
      </c>
      <c r="H173" s="102" t="s">
        <v>62</v>
      </c>
      <c r="I173" s="102" t="s">
        <v>62</v>
      </c>
      <c r="J173" s="104">
        <f>J172-J89</f>
        <v>0.059536495093663655</v>
      </c>
      <c r="K173" s="109" t="s">
        <v>390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L69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391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392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393</v>
      </c>
      <c r="C11" s="12">
        <v>574.4</v>
      </c>
      <c r="D11" s="12">
        <v>653.6</v>
      </c>
      <c r="E11" s="12">
        <v>612.8</v>
      </c>
      <c r="F11" s="12">
        <v>757.9</v>
      </c>
      <c r="G11" s="7">
        <f>F11</f>
        <v>757.9</v>
      </c>
      <c r="H11" s="12">
        <v>716.6</v>
      </c>
      <c r="I11" s="12">
        <v>849.3</v>
      </c>
      <c r="J11" s="19">
        <f>'Cash Flow Statement'!J39</f>
        <v>697.0701028280002</v>
      </c>
      <c r="K11" s="4" t="s">
        <v>394</v>
      </c>
      <c r="L11" s="2"/>
    </row>
    <row r="12">
      <c r="A12" s="2"/>
      <c r="B12" s="41" t="s">
        <v>96</v>
      </c>
      <c r="C12" s="7" t="s">
        <v>62</v>
      </c>
      <c r="D12" s="7">
        <f>IFERROR(D11-C11,"n/a")</f>
        <v>79.20000000000005</v>
      </c>
      <c r="E12" s="7">
        <f>IFERROR(E11-D11,"n/a")</f>
        <v>-40.80000000000007</v>
      </c>
      <c r="F12" s="7">
        <f>IFERROR(F11-E11,"n/a")</f>
        <v>145.10000000000002</v>
      </c>
      <c r="G12" s="7" t="s">
        <v>62</v>
      </c>
      <c r="H12" s="7">
        <f>IFERROR(H11-F11,"n/a")</f>
        <v>-41.299999999999955</v>
      </c>
      <c r="I12" s="7">
        <f>IFERROR(I11-H11,"n/a")</f>
        <v>132.69999999999993</v>
      </c>
      <c r="J12" s="46">
        <f>IFERROR(J11-I11,"n/a")</f>
        <v>-152.2298971719997</v>
      </c>
      <c r="K12" s="2"/>
      <c r="L12" s="2"/>
    </row>
    <row r="13">
      <c r="A13" s="2"/>
      <c r="B13" s="2" t="s">
        <v>395</v>
      </c>
      <c r="C13" s="12">
        <v>0</v>
      </c>
      <c r="D13" s="12">
        <v>83.1</v>
      </c>
      <c r="E13" s="12">
        <v>94.7</v>
      </c>
      <c r="F13" s="12">
        <v>90.9</v>
      </c>
      <c r="G13" s="7">
        <f>F13</f>
        <v>90.9</v>
      </c>
      <c r="H13" s="12">
        <v>95.4</v>
      </c>
      <c r="I13" s="12">
        <v>128.5</v>
      </c>
      <c r="J13" s="46">
        <f>I13</f>
        <v>128.5</v>
      </c>
      <c r="K13" s="4" t="s">
        <v>396</v>
      </c>
      <c r="L13" s="2"/>
    </row>
    <row r="14">
      <c r="A14" s="2"/>
      <c r="B14" s="2" t="s">
        <v>397</v>
      </c>
      <c r="C14" s="12">
        <v>654.9</v>
      </c>
      <c r="D14" s="12">
        <v>617.5</v>
      </c>
      <c r="E14" s="12">
        <v>722.9</v>
      </c>
      <c r="F14" s="12">
        <v>774.7</v>
      </c>
      <c r="G14" s="7">
        <f>F14</f>
        <v>774.7</v>
      </c>
      <c r="H14" s="12">
        <v>728.9</v>
      </c>
      <c r="I14" s="12">
        <v>586.2</v>
      </c>
      <c r="J14" s="19">
        <f>'Income Statement'!J11*J15</f>
        <v>764.84588076</v>
      </c>
      <c r="K14" s="2"/>
      <c r="L14" s="2"/>
    </row>
    <row r="15">
      <c r="A15" s="2"/>
      <c r="B15" s="3" t="s">
        <v>398</v>
      </c>
      <c r="C15" s="10">
        <f>IFERROR(C14/'Income Statement'!C11,"n/a")</f>
        <v>0.42893633743777837</v>
      </c>
      <c r="D15" s="10">
        <f>IFERROR(D14/'Income Statement'!D11,"n/a")</f>
        <v>0.42704011065006914</v>
      </c>
      <c r="E15" s="10">
        <f>IFERROR(E14/'Income Statement'!E11,"n/a")</f>
        <v>0.4683814953997667</v>
      </c>
      <c r="F15" s="10">
        <f>IFERROR(F14/'Income Statement'!F11,"n/a")</f>
        <v>0.43872465737909155</v>
      </c>
      <c r="G15" s="5" t="s">
        <v>62</v>
      </c>
      <c r="H15" s="10">
        <f>IFERROR(H14/'Income Statement'!H11,"n/a")</f>
        <v>0.4183070301291248</v>
      </c>
      <c r="I15" s="10">
        <f>IFERROR(I14/'Income Statement'!I11,"n/a")</f>
        <v>0.37528809218950065</v>
      </c>
      <c r="J15" s="44">
        <v>0.468</v>
      </c>
      <c r="K15" s="4" t="s">
        <v>399</v>
      </c>
      <c r="L15" s="2"/>
    </row>
    <row r="16">
      <c r="A16" s="2"/>
      <c r="B16" s="41" t="s">
        <v>153</v>
      </c>
      <c r="C16" s="30" t="s">
        <v>62</v>
      </c>
      <c r="D16" s="30" t="s">
        <v>62</v>
      </c>
      <c r="E16" s="30" t="s">
        <v>62</v>
      </c>
      <c r="F16" s="30" t="s">
        <v>62</v>
      </c>
      <c r="G16" s="30" t="s">
        <v>62</v>
      </c>
      <c r="H16" s="30">
        <f>IFERROR((H15-C15)*10000,"n/a")</f>
        <v>-106.2930730865358</v>
      </c>
      <c r="I16" s="30">
        <f>IFERROR((I15-D15)*10000,"n/a")</f>
        <v>-517.5201846056848</v>
      </c>
      <c r="J16" s="51">
        <f>IFERROR((J15-E15)*10000,"n/a")</f>
        <v>-3.814953997666737</v>
      </c>
      <c r="K16" s="2"/>
      <c r="L16" s="2"/>
    </row>
    <row r="17">
      <c r="A17" s="2"/>
      <c r="B17" s="3" t="s">
        <v>400</v>
      </c>
      <c r="C17" s="5" t="s">
        <v>62</v>
      </c>
      <c r="D17" s="5" t="s">
        <v>62</v>
      </c>
      <c r="E17" s="5" t="s">
        <v>62</v>
      </c>
      <c r="F17" s="5" t="s">
        <v>62</v>
      </c>
      <c r="G17" s="5" t="s">
        <v>62</v>
      </c>
      <c r="H17" s="5">
        <f>IFERROR(IF(OR(C14&lt;=0,ABS(H14/C14-1)&gt;5),"n/m",H14/C14-1),"n/a")</f>
        <v>0.11299435028248594</v>
      </c>
      <c r="I17" s="5">
        <f>IFERROR(IF(OR(D14&lt;=0,ABS(I14/D14-1)&gt;5),"n/m",I14/D14-1),"n/a")</f>
        <v>-0.05068825910931163</v>
      </c>
      <c r="J17" s="31">
        <f>IFERROR(IF(OR(E14&lt;=0,ABS(J14/E14-1)&gt;5),"n/m",J14/E14-1),"n/a")</f>
        <v>0.05802445809932211</v>
      </c>
      <c r="K17" s="2"/>
      <c r="L17" s="2"/>
    </row>
    <row r="18">
      <c r="A18" s="2"/>
      <c r="B18" s="41" t="s">
        <v>401</v>
      </c>
      <c r="C18" s="7" t="s">
        <v>62</v>
      </c>
      <c r="D18" s="7">
        <f>IFERROR(D14-C14,"n/a")</f>
        <v>-37.39999999999998</v>
      </c>
      <c r="E18" s="7">
        <f>IFERROR(E14-D14,"n/a")</f>
        <v>105.39999999999998</v>
      </c>
      <c r="F18" s="7">
        <f>IFERROR(F14-E14,"n/a")</f>
        <v>51.80000000000007</v>
      </c>
      <c r="G18" s="7" t="s">
        <v>62</v>
      </c>
      <c r="H18" s="7">
        <f>IFERROR(H14-F14,"n/a")</f>
        <v>-45.80000000000007</v>
      </c>
      <c r="I18" s="7">
        <f>IFERROR(I14-H14,"n/a")</f>
        <v>-142.69999999999993</v>
      </c>
      <c r="J18" s="46">
        <f>IFERROR(J14-I14,"n/a")</f>
        <v>178.64588075999995</v>
      </c>
      <c r="K18" s="2"/>
      <c r="L18" s="2"/>
    </row>
    <row r="19">
      <c r="A19" s="2"/>
      <c r="B19" s="2" t="s">
        <v>402</v>
      </c>
      <c r="C19" s="12">
        <v>1073.2</v>
      </c>
      <c r="D19" s="12">
        <v>1248.9</v>
      </c>
      <c r="E19" s="12">
        <v>1286.3</v>
      </c>
      <c r="F19" s="12">
        <v>1237.7</v>
      </c>
      <c r="G19" s="7">
        <f>F19</f>
        <v>1237.7</v>
      </c>
      <c r="H19" s="12">
        <v>1120.6</v>
      </c>
      <c r="I19" s="12">
        <v>1157.6</v>
      </c>
      <c r="J19" s="46">
        <f>E19*(1+J20)</f>
        <v>1260.5739999999998</v>
      </c>
      <c r="K19" s="2"/>
      <c r="L19" s="2"/>
    </row>
    <row r="20">
      <c r="A20" s="2"/>
      <c r="B20" s="3" t="s">
        <v>403</v>
      </c>
      <c r="C20" s="26">
        <v>0.07</v>
      </c>
      <c r="D20" s="5" t="s">
        <v>62</v>
      </c>
      <c r="E20" s="26">
        <v>0.12</v>
      </c>
      <c r="F20" s="26">
        <v>0.09</v>
      </c>
      <c r="G20" s="5" t="s">
        <v>62</v>
      </c>
      <c r="H20" s="5">
        <f>IFERROR(H19/C19-1,"n/a")</f>
        <v>0.044166977264256335</v>
      </c>
      <c r="I20" s="5">
        <f>IFERROR(I19/D19-1,"n/a")</f>
        <v>-0.07310433181199472</v>
      </c>
      <c r="J20" s="44">
        <v>-0.02</v>
      </c>
      <c r="K20" s="4" t="s">
        <v>404</v>
      </c>
      <c r="L20" s="2"/>
    </row>
    <row r="21">
      <c r="A21" s="2"/>
      <c r="B21" s="41" t="s">
        <v>153</v>
      </c>
      <c r="C21" s="30" t="s">
        <v>62</v>
      </c>
      <c r="D21" s="30" t="s">
        <v>62</v>
      </c>
      <c r="E21" s="30" t="s">
        <v>62</v>
      </c>
      <c r="F21" s="30" t="s">
        <v>62</v>
      </c>
      <c r="G21" s="30" t="s">
        <v>62</v>
      </c>
      <c r="H21" s="30">
        <f>IFERROR((H20-C20)*10000,"n/a")</f>
        <v>-258.33022735743674</v>
      </c>
      <c r="I21" s="30" t="str">
        <f>IFERROR((I20-D20)*10000,"n/a")</f>
        <v>n/a</v>
      </c>
      <c r="J21" s="51">
        <f>IFERROR((J20-E20)*10000,"n/a")</f>
        <v>-1399.9999999999998</v>
      </c>
      <c r="K21" s="2"/>
      <c r="L21" s="2"/>
    </row>
    <row r="22">
      <c r="A22" s="2"/>
      <c r="B22" s="41" t="s">
        <v>405</v>
      </c>
      <c r="C22" s="7" t="s">
        <v>62</v>
      </c>
      <c r="D22" s="7">
        <f>IFERROR(D19-C19,"n/a")</f>
        <v>175.70000000000005</v>
      </c>
      <c r="E22" s="7">
        <f>IFERROR(E19-D19,"n/a")</f>
        <v>37.399999999999864</v>
      </c>
      <c r="F22" s="7">
        <f>IFERROR(F19-E19,"n/a")</f>
        <v>-48.59999999999991</v>
      </c>
      <c r="G22" s="7" t="s">
        <v>62</v>
      </c>
      <c r="H22" s="7">
        <f>IFERROR(H19-F19,"n/a")</f>
        <v>-117.10000000000014</v>
      </c>
      <c r="I22" s="7">
        <f>IFERROR(I19-H19,"n/a")</f>
        <v>37</v>
      </c>
      <c r="J22" s="46">
        <f>IFERROR(J19-I19,"n/a")</f>
        <v>102.97399999999993</v>
      </c>
      <c r="K22" s="2"/>
      <c r="L22" s="2"/>
    </row>
    <row r="23">
      <c r="A23" s="2"/>
      <c r="B23" s="2" t="s">
        <v>406</v>
      </c>
      <c r="C23" s="12">
        <v>241.3</v>
      </c>
      <c r="D23" s="12">
        <v>220.7</v>
      </c>
      <c r="E23" s="12">
        <v>232.4</v>
      </c>
      <c r="F23" s="12">
        <v>238.5</v>
      </c>
      <c r="G23" s="7">
        <f>F23</f>
        <v>238.5</v>
      </c>
      <c r="H23" s="12">
        <v>248</v>
      </c>
      <c r="I23" s="12">
        <v>245.3</v>
      </c>
      <c r="J23" s="19">
        <f>I23+'Income Statement'!J117</f>
        <v>275.3</v>
      </c>
      <c r="K23" s="4" t="s">
        <v>407</v>
      </c>
      <c r="L23" s="2"/>
    </row>
    <row r="24">
      <c r="A24" s="2"/>
      <c r="B24" s="2" t="s">
        <v>408</v>
      </c>
      <c r="C24" s="12">
        <v>107.7</v>
      </c>
      <c r="D24" s="12">
        <v>105.3</v>
      </c>
      <c r="E24" s="12">
        <v>57.7</v>
      </c>
      <c r="F24" s="12">
        <v>54</v>
      </c>
      <c r="G24" s="7">
        <f>F24</f>
        <v>54</v>
      </c>
      <c r="H24" s="12">
        <v>0</v>
      </c>
      <c r="I24" s="12">
        <v>0</v>
      </c>
      <c r="J24" s="46">
        <f>I24</f>
        <v>0</v>
      </c>
      <c r="K24" s="2"/>
      <c r="L24" s="2"/>
    </row>
    <row r="25">
      <c r="A25" s="2"/>
      <c r="B25" s="47" t="s">
        <v>409</v>
      </c>
      <c r="C25" s="14">
        <f>C11+C13+C14+C19+C23+C24</f>
        <v>2651.5</v>
      </c>
      <c r="D25" s="14">
        <f>D11+D13+D14+D19+D23+D24</f>
        <v>2929.1000000000004</v>
      </c>
      <c r="E25" s="14">
        <f>E11+E13+E14+E19+E23+E24</f>
        <v>3006.7999999999997</v>
      </c>
      <c r="F25" s="14">
        <f>F11+F13+F14+F19+F23+F24</f>
        <v>3153.7</v>
      </c>
      <c r="G25" s="14">
        <f>G11+G13+G14+G19+G23+G24</f>
        <v>3153.7</v>
      </c>
      <c r="H25" s="14">
        <f>H11+H13+H14+H19+H23+H24</f>
        <v>2909.5</v>
      </c>
      <c r="I25" s="14">
        <f>I11+I13+I14+I19+I23+I24</f>
        <v>2966.9</v>
      </c>
      <c r="J25" s="36">
        <f>J11+J13+J14+J19+J23+J24</f>
        <v>3126.2899835880003</v>
      </c>
      <c r="K25" s="2"/>
      <c r="L25" s="2"/>
    </row>
    <row r="26">
      <c r="A26" s="2"/>
      <c r="B26" s="2" t="s">
        <v>410</v>
      </c>
      <c r="C26" s="12">
        <v>673.2</v>
      </c>
      <c r="D26" s="12">
        <v>673.1</v>
      </c>
      <c r="E26" s="12">
        <v>677.4</v>
      </c>
      <c r="F26" s="12">
        <v>681.8</v>
      </c>
      <c r="G26" s="7">
        <f>F26</f>
        <v>681.8</v>
      </c>
      <c r="H26" s="12">
        <v>669.1</v>
      </c>
      <c r="I26" s="12">
        <v>659.8</v>
      </c>
      <c r="J26" s="19">
        <f>I26-'Cash Flow Statement'!J23-'Cash Flow Statement'!J12</f>
        <v>664.3</v>
      </c>
      <c r="K26" s="4" t="s">
        <v>411</v>
      </c>
      <c r="L26" s="2"/>
    </row>
    <row r="27">
      <c r="A27" s="2"/>
      <c r="B27" s="2" t="s">
        <v>412</v>
      </c>
      <c r="C27" s="12">
        <v>276.2</v>
      </c>
      <c r="D27" s="12">
        <v>278.4</v>
      </c>
      <c r="E27" s="12">
        <v>278.8</v>
      </c>
      <c r="F27" s="12">
        <v>280.6</v>
      </c>
      <c r="G27" s="7">
        <f>F27</f>
        <v>280.6</v>
      </c>
      <c r="H27" s="12">
        <v>282.4</v>
      </c>
      <c r="I27" s="12">
        <v>282</v>
      </c>
      <c r="J27" s="46">
        <f>I27</f>
        <v>282</v>
      </c>
      <c r="K27" s="2"/>
      <c r="L27" s="2"/>
    </row>
    <row r="28">
      <c r="A28" s="2"/>
      <c r="B28" s="2" t="s">
        <v>413</v>
      </c>
      <c r="C28" s="12">
        <v>196.3</v>
      </c>
      <c r="D28" s="12">
        <v>195.5</v>
      </c>
      <c r="E28" s="12">
        <v>194.7</v>
      </c>
      <c r="F28" s="12">
        <v>194.4</v>
      </c>
      <c r="G28" s="7">
        <f>F28</f>
        <v>194.4</v>
      </c>
      <c r="H28" s="12">
        <v>193.6</v>
      </c>
      <c r="I28" s="12">
        <v>192.8</v>
      </c>
      <c r="J28" s="46">
        <f>I28</f>
        <v>192.8</v>
      </c>
      <c r="K28" s="109" t="s">
        <v>414</v>
      </c>
      <c r="L28" s="2"/>
    </row>
    <row r="29">
      <c r="A29" s="2"/>
      <c r="B29" s="2" t="s">
        <v>415</v>
      </c>
      <c r="C29" s="12">
        <v>800.5</v>
      </c>
      <c r="D29" s="12">
        <v>824.3</v>
      </c>
      <c r="E29" s="12">
        <v>808.1</v>
      </c>
      <c r="F29" s="12">
        <v>830.1</v>
      </c>
      <c r="G29" s="7">
        <f>F29</f>
        <v>830.1</v>
      </c>
      <c r="H29" s="12">
        <v>826.6</v>
      </c>
      <c r="I29" s="12">
        <v>839.9</v>
      </c>
      <c r="J29" s="46">
        <f>I29</f>
        <v>839.9</v>
      </c>
      <c r="K29" s="2"/>
      <c r="L29" s="2"/>
    </row>
    <row r="30">
      <c r="A30" s="2"/>
      <c r="B30" s="2" t="s">
        <v>416</v>
      </c>
      <c r="C30" s="12">
        <v>1042.3</v>
      </c>
      <c r="D30" s="12">
        <v>1080.9</v>
      </c>
      <c r="E30" s="12">
        <v>1129.7</v>
      </c>
      <c r="F30" s="12">
        <v>1148.2</v>
      </c>
      <c r="G30" s="7">
        <f>F30</f>
        <v>1148.2</v>
      </c>
      <c r="H30" s="12">
        <v>1154.4</v>
      </c>
      <c r="I30" s="12">
        <v>1141.3</v>
      </c>
      <c r="J30" s="46">
        <f>I30</f>
        <v>1141.3</v>
      </c>
      <c r="K30" s="2"/>
      <c r="L30" s="2"/>
    </row>
    <row r="31">
      <c r="A31" s="2"/>
      <c r="B31" s="2" t="s">
        <v>417</v>
      </c>
      <c r="C31" s="12">
        <v>522.3</v>
      </c>
      <c r="D31" s="12">
        <v>530.2</v>
      </c>
      <c r="E31" s="12">
        <v>541.8</v>
      </c>
      <c r="F31" s="12">
        <v>538.7</v>
      </c>
      <c r="G31" s="7">
        <f>F31</f>
        <v>538.7</v>
      </c>
      <c r="H31" s="12">
        <v>539.2</v>
      </c>
      <c r="I31" s="12">
        <v>544.8</v>
      </c>
      <c r="J31" s="46">
        <f>I31</f>
        <v>544.8</v>
      </c>
      <c r="K31" s="2"/>
      <c r="L31" s="2"/>
    </row>
    <row r="32">
      <c r="A32" s="2"/>
      <c r="B32" s="2" t="s">
        <v>418</v>
      </c>
      <c r="C32" s="12">
        <v>35.9</v>
      </c>
      <c r="D32" s="12">
        <v>21.7</v>
      </c>
      <c r="E32" s="12">
        <v>19.1</v>
      </c>
      <c r="F32" s="12">
        <v>21.3</v>
      </c>
      <c r="G32" s="7">
        <f>F32</f>
        <v>21.3</v>
      </c>
      <c r="H32" s="12">
        <v>0</v>
      </c>
      <c r="I32" s="12">
        <v>0</v>
      </c>
      <c r="J32" s="46">
        <f>I32</f>
        <v>0</v>
      </c>
      <c r="K32" s="2"/>
      <c r="L32" s="2"/>
    </row>
    <row r="33">
      <c r="A33" s="2"/>
      <c r="B33" s="47" t="s">
        <v>419</v>
      </c>
      <c r="C33" s="14">
        <f>C25+C26+C27+C28+C29+C30+C31+C32</f>
        <v>6198.2</v>
      </c>
      <c r="D33" s="14">
        <f>D25+D26+D27+D28+D29+D30+D31+D32</f>
        <v>6533.200000000001</v>
      </c>
      <c r="E33" s="14">
        <f>E25+E26+E27+E28+E29+E30+E31+E32</f>
        <v>6656.400000000001</v>
      </c>
      <c r="F33" s="14">
        <f>F25+F26+F27+F28+F29+F30+F31+F32</f>
        <v>6848.8</v>
      </c>
      <c r="G33" s="14">
        <f>G25+G26+G27+G28+G29+G30+G31+G32</f>
        <v>6848.8</v>
      </c>
      <c r="H33" s="14">
        <f>H25+H26+H27+H28+H29+H30+H31+H32</f>
        <v>6574.8</v>
      </c>
      <c r="I33" s="14">
        <f>I25+I26+I27+I28+I29+I30+I31+I32</f>
        <v>6627.5</v>
      </c>
      <c r="J33" s="36">
        <f>J25+J26+J27+J28+J29+J30+J31+J32</f>
        <v>6791.389983588</v>
      </c>
      <c r="K33" s="2"/>
      <c r="L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A35" s="2"/>
      <c r="B35" s="43" t="s">
        <v>420</v>
      </c>
      <c r="C35" s="2"/>
      <c r="D35" s="2"/>
      <c r="E35" s="2"/>
      <c r="F35" s="2"/>
      <c r="G35" s="2"/>
      <c r="H35" s="2"/>
      <c r="I35" s="2"/>
      <c r="J35" s="23"/>
      <c r="K35" s="2"/>
      <c r="L35" s="2"/>
    </row>
    <row r="36">
      <c r="A36" s="2"/>
      <c r="B36" s="2" t="s">
        <v>421</v>
      </c>
      <c r="C36" s="12">
        <v>556.9</v>
      </c>
      <c r="D36" s="12">
        <v>683.5</v>
      </c>
      <c r="E36" s="12">
        <v>621.4</v>
      </c>
      <c r="F36" s="12">
        <v>597.6</v>
      </c>
      <c r="G36" s="7">
        <f>F36</f>
        <v>597.6</v>
      </c>
      <c r="H36" s="12">
        <v>487.6</v>
      </c>
      <c r="I36" s="12">
        <v>598.5</v>
      </c>
      <c r="J36" s="19">
        <f>('Income Statement'!J15+'Income Statement'!J117)*J37</f>
        <v>652.08014193</v>
      </c>
      <c r="K36" s="2"/>
      <c r="L36" s="2"/>
    </row>
    <row r="37">
      <c r="A37" s="2"/>
      <c r="B37" s="3" t="s">
        <v>422</v>
      </c>
      <c r="C37" s="10">
        <f>IFERROR(C36/'Income Statement'!C15,"n/a")</f>
        <v>0.9614986187845302</v>
      </c>
      <c r="D37" s="10">
        <f>IFERROR(D36/'Income Statement'!D15,"n/a")</f>
        <v>1.2652721214365048</v>
      </c>
      <c r="E37" s="10">
        <f>IFERROR(E36/'Income Statement'!E15,"n/a")</f>
        <v>1.0500168976005408</v>
      </c>
      <c r="F37" s="10">
        <f>IFERROR(F36/'Income Statement'!F15,"n/a")</f>
        <v>0.8623376623376624</v>
      </c>
      <c r="G37" s="5" t="s">
        <v>62</v>
      </c>
      <c r="H37" s="10">
        <f>IFERROR(H36/'Income Statement'!H15,"n/a")</f>
        <v>0.7341162300511894</v>
      </c>
      <c r="I37" s="10">
        <f>IFERROR(I36/'Income Statement'!I15,"n/a")</f>
        <v>1.0267627380339681</v>
      </c>
      <c r="J37" s="44">
        <v>1.05</v>
      </c>
      <c r="K37" s="4" t="s">
        <v>423</v>
      </c>
      <c r="L37" s="2"/>
    </row>
    <row r="38">
      <c r="A38" s="2"/>
      <c r="B38" s="41" t="s">
        <v>153</v>
      </c>
      <c r="C38" s="30" t="s">
        <v>62</v>
      </c>
      <c r="D38" s="30" t="s">
        <v>62</v>
      </c>
      <c r="E38" s="30" t="s">
        <v>62</v>
      </c>
      <c r="F38" s="30" t="s">
        <v>62</v>
      </c>
      <c r="G38" s="30" t="s">
        <v>62</v>
      </c>
      <c r="H38" s="30">
        <f>IFERROR((H37-C37)*10000,"n/a")</f>
        <v>-2273.823887333408</v>
      </c>
      <c r="I38" s="30">
        <f>IFERROR((I37-D37)*10000,"n/a")</f>
        <v>-2385.093834025367</v>
      </c>
      <c r="J38" s="51">
        <f>IFERROR((J37-E37)*10000,"n/a")</f>
        <v>-0.16897600540799473</v>
      </c>
      <c r="K38" s="2"/>
      <c r="L38" s="2"/>
    </row>
    <row r="39">
      <c r="A39" s="2"/>
      <c r="B39" s="3" t="s">
        <v>424</v>
      </c>
      <c r="C39" s="5" t="s">
        <v>62</v>
      </c>
      <c r="D39" s="5" t="s">
        <v>62</v>
      </c>
      <c r="E39" s="5" t="s">
        <v>62</v>
      </c>
      <c r="F39" s="5" t="s">
        <v>62</v>
      </c>
      <c r="G39" s="5" t="s">
        <v>62</v>
      </c>
      <c r="H39" s="5">
        <f>IFERROR(IF(OR(C36&lt;=0,ABS(H36/C36-1)&gt;5),"n/m",H36/C36-1),"n/a")</f>
        <v>-0.12443885796372767</v>
      </c>
      <c r="I39" s="5">
        <f>IFERROR(IF(OR(D36&lt;=0,ABS(I36/D36-1)&gt;5),"n/m",I36/D36-1),"n/a")</f>
        <v>-0.12435991221653253</v>
      </c>
      <c r="J39" s="31">
        <f>IFERROR(IF(OR(E36&lt;=0,ABS(J36/E36-1)&gt;5),"n/m",J36/E36-1),"n/a")</f>
        <v>0.0493726133408432</v>
      </c>
      <c r="K39" s="2"/>
      <c r="L39" s="2"/>
    </row>
    <row r="40">
      <c r="A40" s="2"/>
      <c r="B40" s="41" t="s">
        <v>425</v>
      </c>
      <c r="C40" s="7" t="s">
        <v>62</v>
      </c>
      <c r="D40" s="7">
        <f>IFERROR(D36-C36,"n/a")</f>
        <v>126.60000000000002</v>
      </c>
      <c r="E40" s="7">
        <f>IFERROR(E36-D36,"n/a")</f>
        <v>-62.10000000000002</v>
      </c>
      <c r="F40" s="7">
        <f>IFERROR(F36-E36,"n/a")</f>
        <v>-23.799999999999955</v>
      </c>
      <c r="G40" s="7" t="s">
        <v>62</v>
      </c>
      <c r="H40" s="7">
        <f>IFERROR(H36-F36,"n/a")</f>
        <v>-110</v>
      </c>
      <c r="I40" s="7">
        <f>IFERROR(I36-H36,"n/a")</f>
        <v>110.89999999999998</v>
      </c>
      <c r="J40" s="46">
        <f>IFERROR(J36-I36,"n/a")</f>
        <v>53.58014192999997</v>
      </c>
      <c r="K40" s="2"/>
      <c r="L40" s="2"/>
    </row>
    <row r="41">
      <c r="A41" s="2"/>
      <c r="B41" s="2" t="s">
        <v>426</v>
      </c>
      <c r="C41" s="12">
        <v>179.1</v>
      </c>
      <c r="D41" s="12">
        <v>192.8</v>
      </c>
      <c r="E41" s="12">
        <v>224.5</v>
      </c>
      <c r="F41" s="12">
        <v>244.7</v>
      </c>
      <c r="G41" s="7">
        <f>F41</f>
        <v>244.7</v>
      </c>
      <c r="H41" s="12">
        <v>201.5</v>
      </c>
      <c r="I41" s="12">
        <v>192.9</v>
      </c>
      <c r="J41" s="46">
        <f>I41</f>
        <v>192.9</v>
      </c>
      <c r="K41" s="2"/>
      <c r="L41" s="2"/>
    </row>
    <row r="42">
      <c r="A42" s="2"/>
      <c r="B42" s="2" t="s">
        <v>427</v>
      </c>
      <c r="C42" s="12">
        <v>184</v>
      </c>
      <c r="D42" s="12">
        <v>194.6</v>
      </c>
      <c r="E42" s="12">
        <v>212.5</v>
      </c>
      <c r="F42" s="12">
        <v>226.1</v>
      </c>
      <c r="G42" s="7">
        <f>F42</f>
        <v>226.1</v>
      </c>
      <c r="H42" s="12">
        <v>202.8</v>
      </c>
      <c r="I42" s="12">
        <v>190.8</v>
      </c>
      <c r="J42" s="46">
        <f>I42</f>
        <v>190.8</v>
      </c>
      <c r="K42" s="2"/>
      <c r="L42" s="2"/>
    </row>
    <row r="43">
      <c r="A43" s="2"/>
      <c r="B43" s="2" t="s">
        <v>428</v>
      </c>
      <c r="C43" s="12">
        <v>247.9</v>
      </c>
      <c r="D43" s="12">
        <v>254.9</v>
      </c>
      <c r="E43" s="12">
        <v>261.1</v>
      </c>
      <c r="F43" s="12">
        <v>260.7</v>
      </c>
      <c r="G43" s="7">
        <f>F43</f>
        <v>260.7</v>
      </c>
      <c r="H43" s="12">
        <v>266.7</v>
      </c>
      <c r="I43" s="12">
        <v>268.3</v>
      </c>
      <c r="J43" s="46">
        <f>I43</f>
        <v>268.3</v>
      </c>
      <c r="K43" s="2"/>
      <c r="L43" s="2"/>
    </row>
    <row r="44">
      <c r="A44" s="2"/>
      <c r="B44" s="2" t="s">
        <v>429</v>
      </c>
      <c r="C44" s="12">
        <v>594.7</v>
      </c>
      <c r="D44" s="12">
        <v>654</v>
      </c>
      <c r="E44" s="12">
        <v>659.5</v>
      </c>
      <c r="F44" s="12">
        <v>703.4</v>
      </c>
      <c r="G44" s="7">
        <f>F44</f>
        <v>703.4</v>
      </c>
      <c r="H44" s="12">
        <v>686.7</v>
      </c>
      <c r="I44" s="12">
        <v>602.7</v>
      </c>
      <c r="J44" s="46">
        <f>I44</f>
        <v>602.7</v>
      </c>
      <c r="K44" s="2"/>
      <c r="L44" s="2"/>
    </row>
    <row r="45">
      <c r="A45" s="2"/>
      <c r="B45" s="2" t="s">
        <v>430</v>
      </c>
      <c r="C45" s="12">
        <v>6</v>
      </c>
      <c r="D45" s="12">
        <v>0</v>
      </c>
      <c r="E45" s="12">
        <v>0</v>
      </c>
      <c r="F45" s="12">
        <v>0</v>
      </c>
      <c r="G45" s="7">
        <f>F45</f>
        <v>0</v>
      </c>
      <c r="H45" s="12">
        <v>0</v>
      </c>
      <c r="I45" s="12">
        <v>0</v>
      </c>
      <c r="J45" s="46">
        <f>I45</f>
        <v>0</v>
      </c>
      <c r="K45" s="2"/>
      <c r="L45" s="2"/>
    </row>
    <row r="46">
      <c r="A46" s="2"/>
      <c r="B46" s="47" t="s">
        <v>431</v>
      </c>
      <c r="C46" s="14">
        <f>C36+C41+C42+C43+C44+C45</f>
        <v>1768.6000000000001</v>
      </c>
      <c r="D46" s="14">
        <f>D36+D41+D42+D43+D44+D45</f>
        <v>1979.8</v>
      </c>
      <c r="E46" s="14">
        <f>E36+E41+E42+E43+E44+E45</f>
        <v>1979</v>
      </c>
      <c r="F46" s="14">
        <f>F36+F41+F42+F43+F44+F45</f>
        <v>2032.5</v>
      </c>
      <c r="G46" s="14">
        <f>G36+G41+G42+G43+G44+G45</f>
        <v>2032.5</v>
      </c>
      <c r="H46" s="14">
        <f>H36+H41+H42+H43+H44+H45</f>
        <v>1845.3000000000002</v>
      </c>
      <c r="I46" s="14">
        <f>I36+I41+I42+I43+I44+I45</f>
        <v>1853.2</v>
      </c>
      <c r="J46" s="36">
        <f>J36+J41+J42+J43+J44+J45</f>
        <v>1906.78014193</v>
      </c>
      <c r="K46" s="2"/>
      <c r="L46" s="2"/>
    </row>
    <row r="47">
      <c r="A47" s="2"/>
      <c r="B47" s="2" t="s">
        <v>432</v>
      </c>
      <c r="C47" s="12">
        <v>987.4</v>
      </c>
      <c r="D47" s="12">
        <v>1033.7</v>
      </c>
      <c r="E47" s="12">
        <v>1042.8</v>
      </c>
      <c r="F47" s="12">
        <v>1039.2</v>
      </c>
      <c r="G47" s="7">
        <f>F47</f>
        <v>1039.2</v>
      </c>
      <c r="H47" s="12">
        <v>1049.4</v>
      </c>
      <c r="I47" s="12">
        <v>1043</v>
      </c>
      <c r="J47" s="46">
        <f>I47</f>
        <v>1043</v>
      </c>
      <c r="K47" s="2"/>
      <c r="L47" s="2"/>
    </row>
    <row r="48">
      <c r="A48" s="2"/>
      <c r="B48" s="2" t="s">
        <v>433</v>
      </c>
      <c r="C48" s="12">
        <v>916.4</v>
      </c>
      <c r="D48" s="12">
        <v>950.6</v>
      </c>
      <c r="E48" s="12">
        <v>987.1</v>
      </c>
      <c r="F48" s="12">
        <v>1005.6</v>
      </c>
      <c r="G48" s="7">
        <f>F48</f>
        <v>1005.6</v>
      </c>
      <c r="H48" s="12">
        <v>1000.5</v>
      </c>
      <c r="I48" s="12">
        <v>984.3</v>
      </c>
      <c r="J48" s="46">
        <f>I48</f>
        <v>984.3</v>
      </c>
      <c r="K48" s="2"/>
      <c r="L48" s="2"/>
    </row>
    <row r="49">
      <c r="A49" s="2"/>
      <c r="B49" s="34" t="s">
        <v>434</v>
      </c>
      <c r="C49" s="7" t="s">
        <v>62</v>
      </c>
      <c r="D49" s="7" t="s">
        <v>62</v>
      </c>
      <c r="E49" s="7" t="s">
        <v>62</v>
      </c>
      <c r="F49" s="12">
        <v>252.7</v>
      </c>
      <c r="G49" s="7">
        <f>F49</f>
        <v>252.7</v>
      </c>
      <c r="H49" s="12">
        <v>241.2</v>
      </c>
      <c r="I49" s="12">
        <v>244.3</v>
      </c>
      <c r="J49" s="46">
        <f>I49</f>
        <v>244.3</v>
      </c>
      <c r="K49" s="4" t="s">
        <v>435</v>
      </c>
      <c r="L49" s="2"/>
    </row>
    <row r="50">
      <c r="A50" s="2"/>
      <c r="B50" s="34" t="s">
        <v>436</v>
      </c>
      <c r="C50" s="7" t="s">
        <v>62</v>
      </c>
      <c r="D50" s="7" t="s">
        <v>62</v>
      </c>
      <c r="E50" s="7" t="s">
        <v>62</v>
      </c>
      <c r="F50" s="12">
        <v>240.2</v>
      </c>
      <c r="G50" s="7">
        <f>F50</f>
        <v>240.2</v>
      </c>
      <c r="H50" s="12">
        <v>231.8</v>
      </c>
      <c r="I50" s="12">
        <v>230.3</v>
      </c>
      <c r="J50" s="46">
        <f>I50</f>
        <v>230.3</v>
      </c>
      <c r="K50" s="2"/>
      <c r="L50" s="2"/>
    </row>
    <row r="51">
      <c r="A51" s="2"/>
      <c r="B51" s="2" t="s">
        <v>437</v>
      </c>
      <c r="C51" s="12">
        <v>473.1</v>
      </c>
      <c r="D51" s="12">
        <v>479.1</v>
      </c>
      <c r="E51" s="12">
        <v>484.8</v>
      </c>
      <c r="F51" s="7">
        <f>F49+F50</f>
        <v>492.9</v>
      </c>
      <c r="G51" s="7">
        <f>F51</f>
        <v>492.9</v>
      </c>
      <c r="H51" s="7">
        <f>H49+H50</f>
        <v>473</v>
      </c>
      <c r="I51" s="7">
        <f>I49+I50</f>
        <v>474.6</v>
      </c>
      <c r="J51" s="46">
        <f>J49+J50</f>
        <v>474.6</v>
      </c>
      <c r="K51" s="4" t="s">
        <v>438</v>
      </c>
      <c r="L51" s="2"/>
    </row>
    <row r="52">
      <c r="A52" s="2"/>
      <c r="B52" s="2" t="s">
        <v>439</v>
      </c>
      <c r="C52" s="12">
        <v>18.2</v>
      </c>
      <c r="D52" s="12">
        <v>0</v>
      </c>
      <c r="E52" s="12">
        <v>0</v>
      </c>
      <c r="F52" s="12">
        <v>0</v>
      </c>
      <c r="G52" s="7">
        <f>F52</f>
        <v>0</v>
      </c>
      <c r="H52" s="12">
        <v>0</v>
      </c>
      <c r="I52" s="12">
        <v>0</v>
      </c>
      <c r="J52" s="46">
        <f>I52</f>
        <v>0</v>
      </c>
      <c r="K52" s="2"/>
      <c r="L52" s="2"/>
    </row>
    <row r="53">
      <c r="A53" s="2"/>
      <c r="B53" s="47" t="s">
        <v>440</v>
      </c>
      <c r="C53" s="14">
        <f>C46+C47+C48+C51+C52</f>
        <v>4163.7</v>
      </c>
      <c r="D53" s="14">
        <f>D46+D47+D48+D51+D52</f>
        <v>4443.2</v>
      </c>
      <c r="E53" s="14">
        <f>E46+E47+E48+E51+E52</f>
        <v>4493.7</v>
      </c>
      <c r="F53" s="14">
        <f>F46+F47+F48+F51+F52</f>
        <v>4570.2</v>
      </c>
      <c r="G53" s="14">
        <f>G46+G47+G48+G51+G52</f>
        <v>4570.2</v>
      </c>
      <c r="H53" s="14">
        <f>H46+H47+H48+H51+H52</f>
        <v>4368.200000000001</v>
      </c>
      <c r="I53" s="14">
        <f>I46+I47+I48+I51+I52</f>
        <v>4355.1</v>
      </c>
      <c r="J53" s="36">
        <f>J46+J47+J48+J51+J52</f>
        <v>4408.68014193</v>
      </c>
      <c r="K53" s="2"/>
      <c r="L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A55" s="2"/>
      <c r="B55" s="43" t="s">
        <v>441</v>
      </c>
      <c r="C55" s="2"/>
      <c r="D55" s="2"/>
      <c r="E55" s="2"/>
      <c r="F55" s="2"/>
      <c r="G55" s="2"/>
      <c r="H55" s="2"/>
      <c r="I55" s="2"/>
      <c r="J55" s="23"/>
      <c r="K55" s="2"/>
      <c r="L55" s="2"/>
    </row>
    <row r="56">
      <c r="A56" s="2"/>
      <c r="B56" s="2" t="s">
        <v>442</v>
      </c>
      <c r="C56" s="12">
        <v>0.4</v>
      </c>
      <c r="D56" s="12">
        <v>0.4</v>
      </c>
      <c r="E56" s="12">
        <v>0.4</v>
      </c>
      <c r="F56" s="12">
        <v>0.4</v>
      </c>
      <c r="G56" s="7">
        <f>F56</f>
        <v>0.4</v>
      </c>
      <c r="H56" s="12">
        <v>0.4</v>
      </c>
      <c r="I56" s="12">
        <v>0.4</v>
      </c>
      <c r="J56" s="46">
        <f>I56</f>
        <v>0.4</v>
      </c>
      <c r="K56" s="2"/>
      <c r="L56" s="2"/>
    </row>
    <row r="57">
      <c r="A57" s="2"/>
      <c r="B57" s="2" t="s">
        <v>443</v>
      </c>
      <c r="C57" s="12">
        <v>735.7</v>
      </c>
      <c r="D57" s="12">
        <v>762</v>
      </c>
      <c r="E57" s="12">
        <v>761.2</v>
      </c>
      <c r="F57" s="12">
        <v>788.1</v>
      </c>
      <c r="G57" s="7">
        <f>F57</f>
        <v>788.1</v>
      </c>
      <c r="H57" s="12">
        <v>729.5</v>
      </c>
      <c r="I57" s="12">
        <v>754.9</v>
      </c>
      <c r="J57" s="19">
        <f>I57+'Cash Flow Statement'!J13+'Cash Flow Statement'!J33</f>
        <v>772.4</v>
      </c>
      <c r="K57" s="4" t="s">
        <v>444</v>
      </c>
      <c r="L57" s="2"/>
    </row>
    <row r="58">
      <c r="A58" s="2"/>
      <c r="B58" s="2" t="s">
        <v>445</v>
      </c>
      <c r="C58" s="12">
        <v>1725.6</v>
      </c>
      <c r="D58" s="12">
        <v>1740.7</v>
      </c>
      <c r="E58" s="12">
        <v>1806.4</v>
      </c>
      <c r="F58" s="12">
        <v>1897.3</v>
      </c>
      <c r="G58" s="7">
        <f>F58</f>
        <v>1897.3</v>
      </c>
      <c r="H58" s="12">
        <v>1863.4</v>
      </c>
      <c r="I58" s="12">
        <v>1896.8</v>
      </c>
      <c r="J58" s="19">
        <f>I58+'Cash Flow Statement'!J11+'Cash Flow Statement'!J31</f>
        <v>1989.6098416579998</v>
      </c>
      <c r="K58" s="4" t="s">
        <v>446</v>
      </c>
      <c r="L58" s="2"/>
    </row>
    <row r="59">
      <c r="A59" s="2"/>
      <c r="B59" s="2" t="s">
        <v>447</v>
      </c>
      <c r="C59" s="12">
        <v>-427.2</v>
      </c>
      <c r="D59" s="12">
        <v>-413.1</v>
      </c>
      <c r="E59" s="12">
        <v>-405.3</v>
      </c>
      <c r="F59" s="12">
        <v>-407.2</v>
      </c>
      <c r="G59" s="7">
        <f>F59</f>
        <v>-407.2</v>
      </c>
      <c r="H59" s="12">
        <v>-386.7</v>
      </c>
      <c r="I59" s="12">
        <v>-379.7</v>
      </c>
      <c r="J59" s="46">
        <f>I59</f>
        <v>-379.7</v>
      </c>
      <c r="K59" s="2"/>
      <c r="L59" s="2"/>
    </row>
    <row r="60">
      <c r="A60" s="2"/>
      <c r="B60" s="47" t="s">
        <v>448</v>
      </c>
      <c r="C60" s="14">
        <f>C56+C57+C58+C59</f>
        <v>2034.4999999999998</v>
      </c>
      <c r="D60" s="14">
        <f>D56+D57+D58+D59</f>
        <v>2090</v>
      </c>
      <c r="E60" s="14">
        <f>E56+E57+E58+E59</f>
        <v>2162.7</v>
      </c>
      <c r="F60" s="14">
        <f>F56+F57+F58+F59</f>
        <v>2278.6000000000004</v>
      </c>
      <c r="G60" s="14">
        <f>G56+G57+G58+G59</f>
        <v>2278.6000000000004</v>
      </c>
      <c r="H60" s="14">
        <f>H56+H57+H58+H59</f>
        <v>2206.6000000000004</v>
      </c>
      <c r="I60" s="14">
        <f>I56+I57+I58+I59</f>
        <v>2272.4</v>
      </c>
      <c r="J60" s="36">
        <f>J56+J57+J58+J59</f>
        <v>2382.709841658</v>
      </c>
      <c r="K60" s="2"/>
      <c r="L60" s="2"/>
    </row>
    <row r="61">
      <c r="A61" s="2"/>
      <c r="B61" s="47" t="s">
        <v>449</v>
      </c>
      <c r="C61" s="14">
        <f>C53+C60</f>
        <v>6198.2</v>
      </c>
      <c r="D61" s="14">
        <f>D53+D60</f>
        <v>6533.2</v>
      </c>
      <c r="E61" s="14">
        <f>E53+E60</f>
        <v>6656.4</v>
      </c>
      <c r="F61" s="14">
        <f>F53+F60</f>
        <v>6848.8</v>
      </c>
      <c r="G61" s="14">
        <f>G53+G60</f>
        <v>6848.8</v>
      </c>
      <c r="H61" s="14">
        <f>H53+H60</f>
        <v>6574.800000000001</v>
      </c>
      <c r="I61" s="14">
        <f>I53+I60</f>
        <v>6627.5</v>
      </c>
      <c r="J61" s="36">
        <f>J53+J60</f>
        <v>6791.389983588</v>
      </c>
      <c r="K61" s="2"/>
      <c r="L61" s="2"/>
    </row>
    <row r="62">
      <c r="A62" s="2"/>
      <c r="B62" s="34" t="s">
        <v>450</v>
      </c>
      <c r="C62" s="7">
        <f>ROUND(C33-C53-C60,1)</f>
        <v>0</v>
      </c>
      <c r="D62" s="7">
        <f>ROUND(D33-D53-D60,1)</f>
        <v>0</v>
      </c>
      <c r="E62" s="7">
        <f>ROUND(E33-E53-E60,1)</f>
        <v>0</v>
      </c>
      <c r="F62" s="7">
        <f>ROUND(F33-F53-F60,1)</f>
        <v>0</v>
      </c>
      <c r="G62" s="7">
        <f>ROUND(G33-G53-G60,1)</f>
        <v>0</v>
      </c>
      <c r="H62" s="7">
        <f>ROUND(H33-H53-H60,1)</f>
        <v>0</v>
      </c>
      <c r="I62" s="7">
        <f>ROUND(I33-I53-I60,1)</f>
        <v>0</v>
      </c>
      <c r="J62" s="46">
        <f>ROUND(J33-J53-J60,1)</f>
        <v>0</v>
      </c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A64" s="2"/>
      <c r="B64" s="43" t="s">
        <v>451</v>
      </c>
      <c r="C64" s="2"/>
      <c r="D64" s="2"/>
      <c r="E64" s="2"/>
      <c r="F64" s="2"/>
      <c r="G64" s="2"/>
      <c r="H64" s="2"/>
      <c r="I64" s="2"/>
      <c r="J64" s="23"/>
      <c r="K64" s="2"/>
      <c r="L64" s="2"/>
    </row>
    <row r="65">
      <c r="A65" s="2"/>
      <c r="B65" s="2" t="s">
        <v>452</v>
      </c>
      <c r="C65" s="7">
        <f>C47-C11-C13</f>
        <v>413</v>
      </c>
      <c r="D65" s="7">
        <f>D47-D11-D13</f>
        <v>297</v>
      </c>
      <c r="E65" s="7">
        <f>E47-E11-E13</f>
        <v>335.3</v>
      </c>
      <c r="F65" s="7">
        <f>F47-F11-F13</f>
        <v>190.40000000000006</v>
      </c>
      <c r="G65" s="7">
        <f>G47-G11-G13</f>
        <v>190.40000000000006</v>
      </c>
      <c r="H65" s="7">
        <f>H47-H11-H13</f>
        <v>237.40000000000006</v>
      </c>
      <c r="I65" s="7">
        <f>I47-I11-I13</f>
        <v>65.20000000000005</v>
      </c>
      <c r="J65" s="46">
        <f>J47-J11-J13</f>
        <v>217.42989717199976</v>
      </c>
      <c r="K65" s="2"/>
      <c r="L65" s="2"/>
    </row>
    <row r="66">
      <c r="A66" s="2"/>
      <c r="B66" s="34" t="s">
        <v>453</v>
      </c>
      <c r="C66" s="56" t="s">
        <v>62</v>
      </c>
      <c r="D66" s="56" t="s">
        <v>62</v>
      </c>
      <c r="E66" s="56" t="s">
        <v>62</v>
      </c>
      <c r="F66" s="56" t="s">
        <v>62</v>
      </c>
      <c r="G66" s="67">
        <f>G65/'Income Statement'!G133</f>
        <v>0.205860092983025</v>
      </c>
      <c r="H66" s="56" t="s">
        <v>62</v>
      </c>
      <c r="I66" s="56" t="s">
        <v>62</v>
      </c>
      <c r="J66" s="74" t="s">
        <v>62</v>
      </c>
      <c r="K66" s="2"/>
      <c r="L66" s="2"/>
    </row>
    <row r="67">
      <c r="A67" s="2"/>
      <c r="B67" s="34" t="s">
        <v>454</v>
      </c>
      <c r="C67" s="16">
        <f>IFERROR(C19/'Income Statement'!C15*C8,"n/a")</f>
        <v>168.6139502762431</v>
      </c>
      <c r="D67" s="16">
        <f>IFERROR(D19/'Income Statement'!D15*D8,"n/a")</f>
        <v>210.38485746019992</v>
      </c>
      <c r="E67" s="16">
        <f>IFERROR(E19/'Income Statement'!E15*E8,"n/a")</f>
        <v>197.7919905373437</v>
      </c>
      <c r="F67" s="16">
        <f>IFERROR(F19/'Income Statement'!F15*F8,"n/a")</f>
        <v>162.52626262626262</v>
      </c>
      <c r="G67" s="7" t="s">
        <v>62</v>
      </c>
      <c r="H67" s="16">
        <f>IFERROR(H19/'Income Statement'!H15*H8,"n/a")</f>
        <v>153.5299608551641</v>
      </c>
      <c r="I67" s="16">
        <f>IFERROR(I19/'Income Statement'!I15*I8,"n/a")</f>
        <v>180.7198490307085</v>
      </c>
      <c r="J67" s="19">
        <f>IFERROR(J19/('Income Statement'!J15+'Income Statement'!J117)*J8,"n/a")</f>
        <v>184.71325525034914</v>
      </c>
      <c r="K67" s="97" t="s">
        <v>455</v>
      </c>
      <c r="L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63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456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457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458</v>
      </c>
      <c r="C11" s="7">
        <f>C46</f>
        <v>135</v>
      </c>
      <c r="D11" s="7">
        <f>D46-C46</f>
        <v>67</v>
      </c>
      <c r="E11" s="7">
        <f>E46-D46</f>
        <v>218.10000000000002</v>
      </c>
      <c r="F11" s="7">
        <f>F46-E46</f>
        <v>158</v>
      </c>
      <c r="G11" s="7">
        <f>G46</f>
        <v>578.1</v>
      </c>
      <c r="H11" s="7">
        <f>H46</f>
        <v>175.8</v>
      </c>
      <c r="I11" s="7">
        <f>I46-H46</f>
        <v>87.30000000000001</v>
      </c>
      <c r="J11" s="19">
        <f>'Income Statement'!J58</f>
        <v>154.38550981799995</v>
      </c>
      <c r="K11" s="4" t="s">
        <v>459</v>
      </c>
      <c r="L11" s="2"/>
    </row>
    <row r="12">
      <c r="A12" s="2"/>
      <c r="B12" s="2" t="s">
        <v>341</v>
      </c>
      <c r="C12" s="7">
        <f>C47</f>
        <v>49.2</v>
      </c>
      <c r="D12" s="7">
        <f>D47-C47</f>
        <v>50.39999999999999</v>
      </c>
      <c r="E12" s="7">
        <f>E47-D47</f>
        <v>51.80000000000001</v>
      </c>
      <c r="F12" s="7">
        <f>F47-E47</f>
        <v>54.900000000000006</v>
      </c>
      <c r="G12" s="7">
        <f>G47</f>
        <v>206.3</v>
      </c>
      <c r="H12" s="7">
        <f>H47</f>
        <v>55.6</v>
      </c>
      <c r="I12" s="7">
        <f>I47-H47</f>
        <v>57.199999999999996</v>
      </c>
      <c r="J12" s="19">
        <f>'Income Statement'!J130</f>
        <v>57.5</v>
      </c>
      <c r="K12" s="2"/>
      <c r="L12" s="2"/>
    </row>
    <row r="13">
      <c r="A13" s="2"/>
      <c r="B13" s="2" t="s">
        <v>460</v>
      </c>
      <c r="C13" s="7">
        <f>C48</f>
        <v>19.3</v>
      </c>
      <c r="D13" s="7">
        <f>D48-C48</f>
        <v>24.900000000000002</v>
      </c>
      <c r="E13" s="7">
        <f>E48-D48</f>
        <v>23.599999999999994</v>
      </c>
      <c r="F13" s="7">
        <f>F48-E48</f>
        <v>13.799999999999997</v>
      </c>
      <c r="G13" s="7">
        <f>G48</f>
        <v>81.6</v>
      </c>
      <c r="H13" s="7">
        <f>H48</f>
        <v>15.8</v>
      </c>
      <c r="I13" s="7">
        <f>I48-H48</f>
        <v>24.3</v>
      </c>
      <c r="J13" s="49">
        <v>20</v>
      </c>
      <c r="K13" s="4" t="s">
        <v>461</v>
      </c>
      <c r="L13" s="2"/>
    </row>
    <row r="14">
      <c r="A14" s="2"/>
      <c r="B14" s="3" t="s">
        <v>94</v>
      </c>
      <c r="C14" s="5" t="s">
        <v>62</v>
      </c>
      <c r="D14" s="5" t="s">
        <v>62</v>
      </c>
      <c r="E14" s="5" t="s">
        <v>62</v>
      </c>
      <c r="F14" s="5" t="s">
        <v>62</v>
      </c>
      <c r="G14" s="5" t="s">
        <v>62</v>
      </c>
      <c r="H14" s="5">
        <f>IFERROR(H13/C13-1,"n/a")</f>
        <v>-0.18134715025906734</v>
      </c>
      <c r="I14" s="5">
        <f>IFERROR(I13/D13-1,"n/a")</f>
        <v>-0.024096385542168752</v>
      </c>
      <c r="J14" s="31">
        <f>IFERROR(J13/E13-1,"n/a")</f>
        <v>-0.15254237288135575</v>
      </c>
      <c r="K14" s="2"/>
      <c r="L14" s="2"/>
    </row>
    <row r="15">
      <c r="A15" s="2"/>
      <c r="B15" s="41" t="s">
        <v>96</v>
      </c>
      <c r="C15" s="7" t="s">
        <v>62</v>
      </c>
      <c r="D15" s="7">
        <f>D13-C13</f>
        <v>5.600000000000001</v>
      </c>
      <c r="E15" s="7">
        <f>E13-D13</f>
        <v>-1.3000000000000078</v>
      </c>
      <c r="F15" s="7">
        <f>F13-E13</f>
        <v>-9.799999999999997</v>
      </c>
      <c r="G15" s="7" t="s">
        <v>62</v>
      </c>
      <c r="H15" s="7">
        <f>H13-F13</f>
        <v>2.0000000000000036</v>
      </c>
      <c r="I15" s="7">
        <f>I13-H13</f>
        <v>8.5</v>
      </c>
      <c r="J15" s="46">
        <f>J13-I13</f>
        <v>-4.300000000000001</v>
      </c>
      <c r="K15" s="2"/>
      <c r="L15" s="2"/>
    </row>
    <row r="16">
      <c r="A16" s="2"/>
      <c r="B16" s="34" t="s">
        <v>462</v>
      </c>
      <c r="C16" s="7">
        <f>C21-C11-C12-C13-C20</f>
        <v>13.800000000000011</v>
      </c>
      <c r="D16" s="7">
        <f>D21-D11-D12-D13-D20</f>
        <v>-17.10000000000001</v>
      </c>
      <c r="E16" s="7">
        <f>E21-E11-E12-E13-E20</f>
        <v>-148.10000000000005</v>
      </c>
      <c r="F16" s="7">
        <f>F21-F11-F12-F13-F20</f>
        <v>-27.299999999999997</v>
      </c>
      <c r="G16" s="7">
        <f>G21-G11-G12-G13-G20</f>
        <v>-178.7</v>
      </c>
      <c r="H16" s="7">
        <f>H21-H11-H12-H13-H20</f>
        <v>-32.20000000000002</v>
      </c>
      <c r="I16" s="7">
        <f>I21-I11-I12-I13-I20</f>
        <v>-9.799999999999983</v>
      </c>
      <c r="J16" s="19">
        <f>-'Income Statement'!J117</f>
        <v>-30</v>
      </c>
      <c r="K16" s="4" t="s">
        <v>463</v>
      </c>
      <c r="L16" s="2"/>
    </row>
    <row r="17">
      <c r="A17" s="2"/>
      <c r="B17" s="34" t="s">
        <v>464</v>
      </c>
      <c r="C17" s="7" t="s">
        <v>62</v>
      </c>
      <c r="D17" s="7" t="s">
        <v>62</v>
      </c>
      <c r="E17" s="7" t="s">
        <v>62</v>
      </c>
      <c r="F17" s="7" t="s">
        <v>62</v>
      </c>
      <c r="G17" s="7" t="s">
        <v>62</v>
      </c>
      <c r="H17" s="7" t="s">
        <v>62</v>
      </c>
      <c r="I17" s="7" t="s">
        <v>62</v>
      </c>
      <c r="J17" s="19">
        <f>-('Balance Sheet'!J14-'Balance Sheet'!I14)</f>
        <v>-178.64588075999995</v>
      </c>
      <c r="K17" s="4" t="s">
        <v>465</v>
      </c>
      <c r="L17" s="2"/>
    </row>
    <row r="18">
      <c r="A18" s="2"/>
      <c r="B18" s="34" t="s">
        <v>466</v>
      </c>
      <c r="C18" s="7" t="s">
        <v>62</v>
      </c>
      <c r="D18" s="7" t="s">
        <v>62</v>
      </c>
      <c r="E18" s="7" t="s">
        <v>62</v>
      </c>
      <c r="F18" s="7" t="s">
        <v>62</v>
      </c>
      <c r="G18" s="7" t="s">
        <v>62</v>
      </c>
      <c r="H18" s="7" t="s">
        <v>62</v>
      </c>
      <c r="I18" s="7" t="s">
        <v>62</v>
      </c>
      <c r="J18" s="19">
        <f>-('Balance Sheet'!J19-'Balance Sheet'!I19)</f>
        <v>-102.97399999999993</v>
      </c>
      <c r="K18" s="2"/>
      <c r="L18" s="2"/>
    </row>
    <row r="19">
      <c r="A19" s="2"/>
      <c r="B19" s="34" t="s">
        <v>467</v>
      </c>
      <c r="C19" s="7" t="s">
        <v>62</v>
      </c>
      <c r="D19" s="7" t="s">
        <v>62</v>
      </c>
      <c r="E19" s="7" t="s">
        <v>62</v>
      </c>
      <c r="F19" s="7" t="s">
        <v>62</v>
      </c>
      <c r="G19" s="7" t="s">
        <v>62</v>
      </c>
      <c r="H19" s="7" t="s">
        <v>62</v>
      </c>
      <c r="I19" s="7" t="s">
        <v>62</v>
      </c>
      <c r="J19" s="19">
        <f>'Balance Sheet'!J36-'Balance Sheet'!I36</f>
        <v>53.58014192999997</v>
      </c>
      <c r="K19" s="2"/>
      <c r="L19" s="2"/>
    </row>
    <row r="20">
      <c r="A20" s="2"/>
      <c r="B20" s="2" t="s">
        <v>468</v>
      </c>
      <c r="C20" s="7">
        <f>C49</f>
        <v>-164.8</v>
      </c>
      <c r="D20" s="7">
        <f>D49-C49</f>
        <v>60.30000000000001</v>
      </c>
      <c r="E20" s="7">
        <f>E49-D49</f>
        <v>-120.6</v>
      </c>
      <c r="F20" s="7">
        <f>F49-E49</f>
        <v>67.4</v>
      </c>
      <c r="G20" s="7">
        <f>G49</f>
        <v>-157.7</v>
      </c>
      <c r="H20" s="7">
        <f>H49</f>
        <v>-3.5</v>
      </c>
      <c r="I20" s="7">
        <f>I49-H49</f>
        <v>111.8</v>
      </c>
      <c r="J20" s="46">
        <f>J17+J18+J19</f>
        <v>-228.03973882999992</v>
      </c>
      <c r="K20" s="2"/>
      <c r="L20" s="2"/>
    </row>
    <row r="21">
      <c r="A21" s="2"/>
      <c r="B21" s="47" t="s">
        <v>469</v>
      </c>
      <c r="C21" s="14">
        <f>C50</f>
        <v>52.5</v>
      </c>
      <c r="D21" s="14">
        <f>D50-C50</f>
        <v>185.5</v>
      </c>
      <c r="E21" s="14">
        <f>E50-D50</f>
        <v>24.80000000000001</v>
      </c>
      <c r="F21" s="14">
        <f>F50-E50</f>
        <v>266.8</v>
      </c>
      <c r="G21" s="14">
        <f>G50</f>
        <v>529.6</v>
      </c>
      <c r="H21" s="14">
        <f>H50</f>
        <v>211.5</v>
      </c>
      <c r="I21" s="14">
        <f>I50-H50</f>
        <v>270.8</v>
      </c>
      <c r="J21" s="36">
        <f>J11+J12+J13+J16+J20</f>
        <v>-26.154229011999973</v>
      </c>
      <c r="K21" s="2"/>
      <c r="L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A23" s="2"/>
      <c r="B23" s="2" t="s">
        <v>470</v>
      </c>
      <c r="C23" s="7">
        <f>C51</f>
        <v>-66.6</v>
      </c>
      <c r="D23" s="7">
        <f>D51-C51</f>
        <v>-39.5</v>
      </c>
      <c r="E23" s="7">
        <f>E51-D51</f>
        <v>-64.20000000000002</v>
      </c>
      <c r="F23" s="7">
        <f>F51-E51</f>
        <v>-51.099999999999994</v>
      </c>
      <c r="G23" s="7">
        <f>G51</f>
        <v>-221.4</v>
      </c>
      <c r="H23" s="7">
        <f>H51</f>
        <v>-59.4</v>
      </c>
      <c r="I23" s="7">
        <f>I51-H51</f>
        <v>-39.9</v>
      </c>
      <c r="J23" s="49">
        <v>-62</v>
      </c>
      <c r="K23" s="4" t="s">
        <v>471</v>
      </c>
      <c r="L23" s="2"/>
    </row>
    <row r="24">
      <c r="A24" s="2"/>
      <c r="B24" s="3" t="s">
        <v>94</v>
      </c>
      <c r="C24" s="5" t="s">
        <v>62</v>
      </c>
      <c r="D24" s="5" t="s">
        <v>62</v>
      </c>
      <c r="E24" s="5" t="s">
        <v>62</v>
      </c>
      <c r="F24" s="5" t="s">
        <v>62</v>
      </c>
      <c r="G24" s="5" t="s">
        <v>62</v>
      </c>
      <c r="H24" s="5">
        <f>IFERROR(H23/C23-1,"n/a")</f>
        <v>-0.108108108108108</v>
      </c>
      <c r="I24" s="5">
        <f>IFERROR(I23/D23-1,"n/a")</f>
        <v>0.010126582278481067</v>
      </c>
      <c r="J24" s="31">
        <f>IFERROR(J23/E23-1,"n/a")</f>
        <v>-0.034267912772585896</v>
      </c>
      <c r="K24" s="2"/>
      <c r="L24" s="2"/>
    </row>
    <row r="25">
      <c r="A25" s="2"/>
      <c r="B25" s="41" t="s">
        <v>96</v>
      </c>
      <c r="C25" s="7" t="s">
        <v>62</v>
      </c>
      <c r="D25" s="7">
        <f>D23-C23</f>
        <v>27.099999999999994</v>
      </c>
      <c r="E25" s="7">
        <f>E23-D23</f>
        <v>-24.700000000000017</v>
      </c>
      <c r="F25" s="7">
        <f>F23-E23</f>
        <v>13.100000000000023</v>
      </c>
      <c r="G25" s="7" t="s">
        <v>62</v>
      </c>
      <c r="H25" s="7">
        <f>H23-F23</f>
        <v>-8.300000000000004</v>
      </c>
      <c r="I25" s="7">
        <f>I23-H23</f>
        <v>19.5</v>
      </c>
      <c r="J25" s="46">
        <f>J23-I23</f>
        <v>-22.1</v>
      </c>
      <c r="K25" s="2"/>
      <c r="L25" s="2"/>
    </row>
    <row r="26">
      <c r="A26" s="2"/>
      <c r="B26" s="2" t="s">
        <v>472</v>
      </c>
      <c r="C26" s="7">
        <f>C52</f>
        <v>0</v>
      </c>
      <c r="D26" s="7">
        <f>D52-C52</f>
        <v>0</v>
      </c>
      <c r="E26" s="7">
        <f>E52-D52</f>
        <v>194.7</v>
      </c>
      <c r="F26" s="7">
        <f>F52-E52</f>
        <v>0</v>
      </c>
      <c r="G26" s="7">
        <f>G52</f>
        <v>194.7</v>
      </c>
      <c r="H26" s="7">
        <f>H52</f>
        <v>96.3</v>
      </c>
      <c r="I26" s="7">
        <f>I52-H52</f>
        <v>0</v>
      </c>
      <c r="J26" s="49">
        <v>0</v>
      </c>
      <c r="K26" s="2"/>
      <c r="L26" s="2"/>
    </row>
    <row r="27">
      <c r="A27" s="2"/>
      <c r="B27" s="34" t="s">
        <v>473</v>
      </c>
      <c r="C27" s="7">
        <f>C28-C23-C26</f>
        <v>-4.5</v>
      </c>
      <c r="D27" s="7">
        <f>D28-D23-D26</f>
        <v>-19.099999999999994</v>
      </c>
      <c r="E27" s="7">
        <f>E28-E23-E26</f>
        <v>-10.5</v>
      </c>
      <c r="F27" s="7">
        <f>F28-F23-F26</f>
        <v>-7.900000000000006</v>
      </c>
      <c r="G27" s="7">
        <f>G28-G23-G26</f>
        <v>-42</v>
      </c>
      <c r="H27" s="7">
        <f>H28-H23-H26</f>
        <v>-10.599999999999994</v>
      </c>
      <c r="I27" s="7">
        <f>I28-I23-I26</f>
        <v>-37.9</v>
      </c>
      <c r="J27" s="49">
        <v>0</v>
      </c>
      <c r="K27" s="4" t="s">
        <v>474</v>
      </c>
      <c r="L27" s="2"/>
    </row>
    <row r="28">
      <c r="A28" s="2"/>
      <c r="B28" s="47" t="s">
        <v>475</v>
      </c>
      <c r="C28" s="14">
        <f>C53</f>
        <v>-71.1</v>
      </c>
      <c r="D28" s="14">
        <f>D53-C53</f>
        <v>-58.599999999999994</v>
      </c>
      <c r="E28" s="14">
        <f>E53-D53</f>
        <v>119.99999999999999</v>
      </c>
      <c r="F28" s="14">
        <f>F53-E53</f>
        <v>-59</v>
      </c>
      <c r="G28" s="14">
        <f>G53</f>
        <v>-68.7</v>
      </c>
      <c r="H28" s="14">
        <f>H53</f>
        <v>26.3</v>
      </c>
      <c r="I28" s="14">
        <f>I53-H53</f>
        <v>-77.8</v>
      </c>
      <c r="J28" s="36">
        <f>J23+J26+J27</f>
        <v>-62</v>
      </c>
      <c r="K28" s="2"/>
      <c r="L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A30" s="2"/>
      <c r="B30" s="2" t="s">
        <v>476</v>
      </c>
      <c r="C30" s="7">
        <f>C54</f>
        <v>-30</v>
      </c>
      <c r="D30" s="7">
        <f>D54-C54</f>
        <v>-0.5</v>
      </c>
      <c r="E30" s="7">
        <f>E54-D54</f>
        <v>-120</v>
      </c>
      <c r="F30" s="7">
        <f>F54-E54</f>
        <v>0</v>
      </c>
      <c r="G30" s="7">
        <f>G54</f>
        <v>-150.5</v>
      </c>
      <c r="H30" s="7">
        <f>H54</f>
        <v>-200</v>
      </c>
      <c r="I30" s="7">
        <f>I54-H54</f>
        <v>-1</v>
      </c>
      <c r="J30" s="49">
        <v>0</v>
      </c>
      <c r="K30" s="4" t="s">
        <v>477</v>
      </c>
      <c r="L30" s="2"/>
    </row>
    <row r="31">
      <c r="A31" s="2"/>
      <c r="B31" s="2" t="s">
        <v>478</v>
      </c>
      <c r="C31" s="7">
        <f>C55</f>
        <v>-51.4</v>
      </c>
      <c r="D31" s="7">
        <f>D55-C55</f>
        <v>-51.4</v>
      </c>
      <c r="E31" s="7">
        <f>E55-D55</f>
        <v>-55.39999999999999</v>
      </c>
      <c r="F31" s="7">
        <f>F55-E55</f>
        <v>-54.70000000000002</v>
      </c>
      <c r="G31" s="7">
        <f>G55</f>
        <v>-212.9</v>
      </c>
      <c r="H31" s="7">
        <f>H55</f>
        <v>-53.8</v>
      </c>
      <c r="I31" s="7">
        <f>I55-H55</f>
        <v>-53.900000000000006</v>
      </c>
      <c r="J31" s="19">
        <f>-'Share Count'!J42*'Share Count'!I13</f>
        <v>-61.575668160000006</v>
      </c>
      <c r="K31" s="4" t="s">
        <v>479</v>
      </c>
      <c r="L31" s="2"/>
    </row>
    <row r="32">
      <c r="A32" s="2"/>
      <c r="B32" s="2" t="s">
        <v>480</v>
      </c>
      <c r="C32" s="7">
        <f>C56</f>
        <v>0</v>
      </c>
      <c r="D32" s="7">
        <f>D56-C56</f>
        <v>0</v>
      </c>
      <c r="E32" s="7">
        <f>E56-D56</f>
        <v>-6.6</v>
      </c>
      <c r="F32" s="7">
        <f>F56-E56</f>
        <v>-1.3000000000000007</v>
      </c>
      <c r="G32" s="7">
        <f>G56</f>
        <v>-7.9</v>
      </c>
      <c r="H32" s="7">
        <f>H56</f>
        <v>0</v>
      </c>
      <c r="I32" s="7">
        <f>I56-H56</f>
        <v>0</v>
      </c>
      <c r="J32" s="49">
        <v>0</v>
      </c>
      <c r="K32" s="2"/>
      <c r="L32" s="2"/>
    </row>
    <row r="33">
      <c r="A33" s="2"/>
      <c r="B33" s="34" t="s">
        <v>481</v>
      </c>
      <c r="C33" s="7">
        <f>C34-C30-C31-C32</f>
        <v>-16.1</v>
      </c>
      <c r="D33" s="7">
        <f>D34-D30-D31-D32</f>
        <v>-3.000000000000007</v>
      </c>
      <c r="E33" s="7">
        <f>E34-E30-E31-E32</f>
        <v>-2.700000000000026</v>
      </c>
      <c r="F33" s="7">
        <f>F34-F30-F31-F32</f>
        <v>-7.099999999999948</v>
      </c>
      <c r="G33" s="7">
        <f>G34-G30-G31-G32</f>
        <v>-28.899999999999984</v>
      </c>
      <c r="H33" s="7">
        <f>H34-H30-H31-H32</f>
        <v>-30.300000000000026</v>
      </c>
      <c r="I33" s="7">
        <f>I34-I30-I31-I32</f>
        <v>-1.8999999999999488</v>
      </c>
      <c r="J33" s="49">
        <v>-2.5</v>
      </c>
      <c r="K33" s="4" t="s">
        <v>482</v>
      </c>
      <c r="L33" s="2"/>
    </row>
    <row r="34">
      <c r="A34" s="2"/>
      <c r="B34" s="47" t="s">
        <v>483</v>
      </c>
      <c r="C34" s="14">
        <f>C57</f>
        <v>-97.5</v>
      </c>
      <c r="D34" s="14">
        <f>D57-C57</f>
        <v>-54.900000000000006</v>
      </c>
      <c r="E34" s="14">
        <f>E57-D57</f>
        <v>-184.70000000000002</v>
      </c>
      <c r="F34" s="14">
        <f>F57-E57</f>
        <v>-63.099999999999966</v>
      </c>
      <c r="G34" s="14">
        <f>G57</f>
        <v>-400.2</v>
      </c>
      <c r="H34" s="14">
        <f>H57</f>
        <v>-284.1</v>
      </c>
      <c r="I34" s="14">
        <f>I57-H57</f>
        <v>-56.799999999999955</v>
      </c>
      <c r="J34" s="36">
        <f>J30+J31+J32+J33</f>
        <v>-64.07566816</v>
      </c>
      <c r="K34" s="2"/>
      <c r="L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A36" s="2"/>
      <c r="B36" s="2" t="s">
        <v>484</v>
      </c>
      <c r="C36" s="7">
        <f>C58</f>
        <v>0.5</v>
      </c>
      <c r="D36" s="7">
        <f>D58-C58</f>
        <v>7.2</v>
      </c>
      <c r="E36" s="7">
        <f>E58-D58</f>
        <v>-0.9000000000000004</v>
      </c>
      <c r="F36" s="7">
        <f>F58-E58</f>
        <v>0.40000000000000036</v>
      </c>
      <c r="G36" s="7">
        <f>G58</f>
        <v>7.2</v>
      </c>
      <c r="H36" s="7">
        <f>H58</f>
        <v>5</v>
      </c>
      <c r="I36" s="7">
        <f>I58-H58</f>
        <v>-3.5</v>
      </c>
      <c r="J36" s="49">
        <v>0</v>
      </c>
      <c r="K36" s="2"/>
      <c r="L36" s="2"/>
    </row>
    <row r="37">
      <c r="A37" s="2"/>
      <c r="B37" s="47" t="s">
        <v>485</v>
      </c>
      <c r="C37" s="14">
        <f>C21+C28+C34+C36</f>
        <v>-115.6</v>
      </c>
      <c r="D37" s="14">
        <f>D21+D28+D34+D36</f>
        <v>79.2</v>
      </c>
      <c r="E37" s="14">
        <f>E21+E28+E34+E36</f>
        <v>-40.800000000000004</v>
      </c>
      <c r="F37" s="14">
        <f>F21+F28+F34+F36</f>
        <v>145.10000000000005</v>
      </c>
      <c r="G37" s="14">
        <f>G21+G28+G34+G36</f>
        <v>67.90000000000005</v>
      </c>
      <c r="H37" s="14">
        <f>H21+H28+H34+H36</f>
        <v>-41.30000000000001</v>
      </c>
      <c r="I37" s="14">
        <f>I21+I28+I34+I36</f>
        <v>132.70000000000005</v>
      </c>
      <c r="J37" s="36">
        <f>J21+J28+J34+J36</f>
        <v>-152.229897172</v>
      </c>
      <c r="K37" s="2"/>
      <c r="L37" s="2"/>
    </row>
    <row r="38">
      <c r="A38" s="2"/>
      <c r="B38" s="2" t="s">
        <v>486</v>
      </c>
      <c r="C38" s="12">
        <v>690</v>
      </c>
      <c r="D38" s="7">
        <f>C39</f>
        <v>574.4</v>
      </c>
      <c r="E38" s="7">
        <f>D39</f>
        <v>653.6</v>
      </c>
      <c r="F38" s="7">
        <f>E39</f>
        <v>612.8000000000001</v>
      </c>
      <c r="G38" s="7">
        <f>C38</f>
        <v>690</v>
      </c>
      <c r="H38" s="7">
        <f>F39</f>
        <v>757.9000000000001</v>
      </c>
      <c r="I38" s="7">
        <f>H39</f>
        <v>716.6000000000001</v>
      </c>
      <c r="J38" s="46">
        <f>I39</f>
        <v>849.3000000000002</v>
      </c>
      <c r="K38" s="2"/>
      <c r="L38" s="2"/>
    </row>
    <row r="39">
      <c r="A39" s="2"/>
      <c r="B39" s="47" t="s">
        <v>487</v>
      </c>
      <c r="C39" s="14">
        <f>C38+C37</f>
        <v>574.4</v>
      </c>
      <c r="D39" s="14">
        <f>D38+D37</f>
        <v>653.6</v>
      </c>
      <c r="E39" s="14">
        <f>E38+E37</f>
        <v>612.8000000000001</v>
      </c>
      <c r="F39" s="14">
        <f>F38+F37</f>
        <v>757.9000000000001</v>
      </c>
      <c r="G39" s="14">
        <f>G38+G37</f>
        <v>757.9000000000001</v>
      </c>
      <c r="H39" s="14">
        <f>H38+H37</f>
        <v>716.6000000000001</v>
      </c>
      <c r="I39" s="14">
        <f>I38+I37</f>
        <v>849.3000000000002</v>
      </c>
      <c r="J39" s="36">
        <f>J38+J37</f>
        <v>697.0701028280002</v>
      </c>
      <c r="K39" s="2"/>
      <c r="L39" s="2"/>
    </row>
    <row r="40">
      <c r="A40" s="2"/>
      <c r="B40" s="2" t="s">
        <v>488</v>
      </c>
      <c r="C40" s="16">
        <f>'Balance Sheet'!C11</f>
        <v>574.4</v>
      </c>
      <c r="D40" s="16">
        <f>'Balance Sheet'!D11</f>
        <v>653.6</v>
      </c>
      <c r="E40" s="16">
        <f>'Balance Sheet'!E11</f>
        <v>612.8</v>
      </c>
      <c r="F40" s="16">
        <f>'Balance Sheet'!F11</f>
        <v>757.9</v>
      </c>
      <c r="G40" s="16">
        <f>'Balance Sheet'!G11</f>
        <v>757.9</v>
      </c>
      <c r="H40" s="16">
        <f>'Balance Sheet'!H11</f>
        <v>716.6</v>
      </c>
      <c r="I40" s="16">
        <f>'Balance Sheet'!I11</f>
        <v>849.3</v>
      </c>
      <c r="J40" s="19">
        <f>'Balance Sheet'!J11</f>
        <v>697.0701028280002</v>
      </c>
      <c r="K40" s="2"/>
      <c r="L40" s="2"/>
    </row>
    <row r="41">
      <c r="A41" s="2"/>
      <c r="B41" s="2" t="s">
        <v>489</v>
      </c>
      <c r="C41" s="7">
        <f>ROUND(C39-C40,1)</f>
        <v>0</v>
      </c>
      <c r="D41" s="7">
        <f>ROUND(D39-D40,1)</f>
        <v>0</v>
      </c>
      <c r="E41" s="7">
        <f>ROUND(E39-E40,1)</f>
        <v>0</v>
      </c>
      <c r="F41" s="7">
        <f>ROUND(F39-F40,1)</f>
        <v>0</v>
      </c>
      <c r="G41" s="7">
        <f>ROUND(G39-G40,1)</f>
        <v>0</v>
      </c>
      <c r="H41" s="7">
        <f>ROUND(H39-H40,1)</f>
        <v>0</v>
      </c>
      <c r="I41" s="7">
        <f>ROUND(I39-I40,1)</f>
        <v>0</v>
      </c>
      <c r="J41" s="46">
        <f>ROUND(J39-J40,1)</f>
        <v>0</v>
      </c>
      <c r="K41" s="97" t="s">
        <v>490</v>
      </c>
      <c r="L41" s="2"/>
    </row>
    <row r="42">
      <c r="A42" s="2"/>
      <c r="B42" s="2" t="s">
        <v>491</v>
      </c>
      <c r="C42" s="7">
        <f>ROUND(C37-(C40-C38),1)</f>
        <v>0</v>
      </c>
      <c r="D42" s="7">
        <f>ROUND(D37-(D40-C40),1)</f>
        <v>0</v>
      </c>
      <c r="E42" s="7">
        <f>ROUND(E37-(E40-D40),1)</f>
        <v>0</v>
      </c>
      <c r="F42" s="7">
        <f>ROUND(F37-(F40-E40),1)</f>
        <v>0</v>
      </c>
      <c r="G42" s="7">
        <f>ROUND(G37-(G40-G38),1)</f>
        <v>0</v>
      </c>
      <c r="H42" s="7">
        <f>ROUND(H37-(H40-F40),1)</f>
        <v>0</v>
      </c>
      <c r="I42" s="7">
        <f>ROUND(I37-(I40-H40),1)</f>
        <v>0</v>
      </c>
      <c r="J42" s="46">
        <f>ROUND(J37-(J40-I40),1)</f>
        <v>0</v>
      </c>
      <c r="K42" s="2"/>
      <c r="L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A45" s="2"/>
      <c r="B45" s="43" t="s">
        <v>492</v>
      </c>
      <c r="C45" s="2"/>
      <c r="D45" s="2"/>
      <c r="E45" s="2"/>
      <c r="F45" s="2"/>
      <c r="G45" s="2"/>
      <c r="H45" s="2"/>
      <c r="I45" s="2"/>
      <c r="J45" s="23"/>
      <c r="K45" s="2"/>
      <c r="L45" s="2"/>
    </row>
    <row r="46">
      <c r="A46" s="2"/>
      <c r="B46" s="2" t="s">
        <v>493</v>
      </c>
      <c r="C46" s="12">
        <v>135</v>
      </c>
      <c r="D46" s="12">
        <v>202</v>
      </c>
      <c r="E46" s="12">
        <v>420.1</v>
      </c>
      <c r="F46" s="12">
        <v>578.1</v>
      </c>
      <c r="G46" s="7">
        <f>F46</f>
        <v>578.1</v>
      </c>
      <c r="H46" s="12">
        <v>175.8</v>
      </c>
      <c r="I46" s="12">
        <v>263.1</v>
      </c>
      <c r="J46" s="46"/>
      <c r="K46" s="4" t="s">
        <v>494</v>
      </c>
      <c r="L46" s="2"/>
    </row>
    <row r="47">
      <c r="A47" s="2"/>
      <c r="B47" s="2" t="s">
        <v>495</v>
      </c>
      <c r="C47" s="12">
        <v>49.2</v>
      </c>
      <c r="D47" s="12">
        <v>99.6</v>
      </c>
      <c r="E47" s="12">
        <v>151.4</v>
      </c>
      <c r="F47" s="12">
        <v>206.3</v>
      </c>
      <c r="G47" s="7">
        <f>F47</f>
        <v>206.3</v>
      </c>
      <c r="H47" s="12">
        <v>55.6</v>
      </c>
      <c r="I47" s="12">
        <v>112.8</v>
      </c>
      <c r="J47" s="46"/>
      <c r="K47" s="2"/>
      <c r="L47" s="2"/>
    </row>
    <row r="48">
      <c r="A48" s="2"/>
      <c r="B48" s="2" t="s">
        <v>496</v>
      </c>
      <c r="C48" s="12">
        <v>19.3</v>
      </c>
      <c r="D48" s="12">
        <v>44.2</v>
      </c>
      <c r="E48" s="12">
        <v>67.8</v>
      </c>
      <c r="F48" s="12">
        <v>81.6</v>
      </c>
      <c r="G48" s="7">
        <f>F48</f>
        <v>81.6</v>
      </c>
      <c r="H48" s="12">
        <v>15.8</v>
      </c>
      <c r="I48" s="12">
        <v>40.1</v>
      </c>
      <c r="J48" s="46"/>
      <c r="K48" s="2"/>
      <c r="L48" s="2"/>
    </row>
    <row r="49">
      <c r="A49" s="2"/>
      <c r="B49" s="2" t="s">
        <v>497</v>
      </c>
      <c r="C49" s="12">
        <v>-164.8</v>
      </c>
      <c r="D49" s="12">
        <v>-104.5</v>
      </c>
      <c r="E49" s="12">
        <v>-225.1</v>
      </c>
      <c r="F49" s="12">
        <v>-157.7</v>
      </c>
      <c r="G49" s="7">
        <f>F49</f>
        <v>-157.7</v>
      </c>
      <c r="H49" s="12">
        <v>-3.5</v>
      </c>
      <c r="I49" s="12">
        <v>108.3</v>
      </c>
      <c r="J49" s="46"/>
      <c r="K49" s="2"/>
      <c r="L49" s="2"/>
    </row>
    <row r="50">
      <c r="A50" s="2"/>
      <c r="B50" s="47" t="s">
        <v>498</v>
      </c>
      <c r="C50" s="35">
        <v>52.5</v>
      </c>
      <c r="D50" s="35">
        <v>238</v>
      </c>
      <c r="E50" s="35">
        <v>262.8</v>
      </c>
      <c r="F50" s="35">
        <v>529.6</v>
      </c>
      <c r="G50" s="14">
        <f>F50</f>
        <v>529.6</v>
      </c>
      <c r="H50" s="35">
        <v>211.5</v>
      </c>
      <c r="I50" s="35">
        <v>482.3</v>
      </c>
      <c r="J50" s="36"/>
      <c r="K50" s="2"/>
      <c r="L50" s="2"/>
    </row>
    <row r="51">
      <c r="A51" s="2"/>
      <c r="B51" s="2" t="s">
        <v>499</v>
      </c>
      <c r="C51" s="12">
        <v>-66.6</v>
      </c>
      <c r="D51" s="12">
        <v>-106.1</v>
      </c>
      <c r="E51" s="12">
        <v>-170.3</v>
      </c>
      <c r="F51" s="12">
        <v>-221.4</v>
      </c>
      <c r="G51" s="7">
        <f>F51</f>
        <v>-221.4</v>
      </c>
      <c r="H51" s="12">
        <v>-59.4</v>
      </c>
      <c r="I51" s="12">
        <v>-99.3</v>
      </c>
      <c r="J51" s="46"/>
      <c r="K51" s="2"/>
      <c r="L51" s="2"/>
    </row>
    <row r="52">
      <c r="A52" s="2"/>
      <c r="B52" s="2" t="s">
        <v>500</v>
      </c>
      <c r="C52" s="12">
        <v>0</v>
      </c>
      <c r="D52" s="12">
        <v>0</v>
      </c>
      <c r="E52" s="12">
        <v>194.7</v>
      </c>
      <c r="F52" s="12">
        <v>194.7</v>
      </c>
      <c r="G52" s="7">
        <f>F52</f>
        <v>194.7</v>
      </c>
      <c r="H52" s="12">
        <v>96.3</v>
      </c>
      <c r="I52" s="12">
        <v>96.3</v>
      </c>
      <c r="J52" s="46"/>
      <c r="K52" s="2"/>
      <c r="L52" s="2"/>
    </row>
    <row r="53">
      <c r="A53" s="2"/>
      <c r="B53" s="47" t="s">
        <v>501</v>
      </c>
      <c r="C53" s="35">
        <v>-71.1</v>
      </c>
      <c r="D53" s="35">
        <v>-129.7</v>
      </c>
      <c r="E53" s="35">
        <v>-9.7</v>
      </c>
      <c r="F53" s="35">
        <v>-68.7</v>
      </c>
      <c r="G53" s="14">
        <f>F53</f>
        <v>-68.7</v>
      </c>
      <c r="H53" s="35">
        <v>26.3</v>
      </c>
      <c r="I53" s="35">
        <v>-51.5</v>
      </c>
      <c r="J53" s="36"/>
      <c r="K53" s="2"/>
      <c r="L53" s="2"/>
    </row>
    <row r="54">
      <c r="A54" s="2"/>
      <c r="B54" s="2" t="s">
        <v>502</v>
      </c>
      <c r="C54" s="12">
        <v>-30</v>
      </c>
      <c r="D54" s="12">
        <v>-30.5</v>
      </c>
      <c r="E54" s="12">
        <v>-150.5</v>
      </c>
      <c r="F54" s="12">
        <v>-150.5</v>
      </c>
      <c r="G54" s="7">
        <f>F54</f>
        <v>-150.5</v>
      </c>
      <c r="H54" s="12">
        <v>-200</v>
      </c>
      <c r="I54" s="12">
        <v>-201</v>
      </c>
      <c r="J54" s="46"/>
      <c r="K54" s="2"/>
      <c r="L54" s="2"/>
    </row>
    <row r="55">
      <c r="A55" s="2"/>
      <c r="B55" s="2" t="s">
        <v>503</v>
      </c>
      <c r="C55" s="12">
        <v>-51.4</v>
      </c>
      <c r="D55" s="12">
        <v>-102.8</v>
      </c>
      <c r="E55" s="12">
        <v>-158.2</v>
      </c>
      <c r="F55" s="12">
        <v>-212.9</v>
      </c>
      <c r="G55" s="7">
        <f>F55</f>
        <v>-212.9</v>
      </c>
      <c r="H55" s="12">
        <v>-53.8</v>
      </c>
      <c r="I55" s="12">
        <v>-107.7</v>
      </c>
      <c r="J55" s="46"/>
      <c r="K55" s="2"/>
      <c r="L55" s="2"/>
    </row>
    <row r="56">
      <c r="A56" s="2"/>
      <c r="B56" s="2" t="s">
        <v>504</v>
      </c>
      <c r="C56" s="12">
        <v>0</v>
      </c>
      <c r="D56" s="12">
        <v>0</v>
      </c>
      <c r="E56" s="12">
        <v>-6.6</v>
      </c>
      <c r="F56" s="12">
        <v>-7.9</v>
      </c>
      <c r="G56" s="7">
        <f>F56</f>
        <v>-7.9</v>
      </c>
      <c r="H56" s="12">
        <v>0</v>
      </c>
      <c r="I56" s="12">
        <v>0</v>
      </c>
      <c r="J56" s="46"/>
      <c r="K56" s="2"/>
      <c r="L56" s="2"/>
    </row>
    <row r="57">
      <c r="A57" s="2"/>
      <c r="B57" s="47" t="s">
        <v>505</v>
      </c>
      <c r="C57" s="35">
        <v>-97.5</v>
      </c>
      <c r="D57" s="35">
        <v>-152.4</v>
      </c>
      <c r="E57" s="35">
        <v>-337.1</v>
      </c>
      <c r="F57" s="35">
        <v>-400.2</v>
      </c>
      <c r="G57" s="14">
        <f>F57</f>
        <v>-400.2</v>
      </c>
      <c r="H57" s="35">
        <v>-284.1</v>
      </c>
      <c r="I57" s="35">
        <v>-340.9</v>
      </c>
      <c r="J57" s="36"/>
      <c r="K57" s="2"/>
      <c r="L57" s="2"/>
    </row>
    <row r="58">
      <c r="A58" s="2"/>
      <c r="B58" s="2" t="s">
        <v>506</v>
      </c>
      <c r="C58" s="12">
        <v>0.5</v>
      </c>
      <c r="D58" s="12">
        <v>7.7</v>
      </c>
      <c r="E58" s="12">
        <v>6.8</v>
      </c>
      <c r="F58" s="12">
        <v>7.2</v>
      </c>
      <c r="G58" s="7">
        <f>F58</f>
        <v>7.2</v>
      </c>
      <c r="H58" s="12">
        <v>5</v>
      </c>
      <c r="I58" s="12">
        <v>1.5</v>
      </c>
      <c r="J58" s="46"/>
      <c r="K58" s="2"/>
      <c r="L58" s="2"/>
    </row>
    <row r="59">
      <c r="A59" s="2"/>
      <c r="B59" s="47" t="s">
        <v>507</v>
      </c>
      <c r="C59" s="14">
        <f>C21+C23</f>
        <v>-14.099999999999994</v>
      </c>
      <c r="D59" s="14">
        <f>D21+D23</f>
        <v>146</v>
      </c>
      <c r="E59" s="14">
        <f>E21+E23</f>
        <v>-39.400000000000006</v>
      </c>
      <c r="F59" s="14">
        <f>F21+F23</f>
        <v>215.70000000000002</v>
      </c>
      <c r="G59" s="14">
        <f>G21+G23</f>
        <v>308.20000000000005</v>
      </c>
      <c r="H59" s="14">
        <f>H21+H23</f>
        <v>152.1</v>
      </c>
      <c r="I59" s="14">
        <f>I21+I23</f>
        <v>230.9</v>
      </c>
      <c r="J59" s="36">
        <f>J21+J23</f>
        <v>-88.15422901199997</v>
      </c>
      <c r="K59" s="2"/>
      <c r="L59" s="2"/>
    </row>
    <row r="60">
      <c r="A60" s="2"/>
      <c r="B60" s="34" t="s">
        <v>508</v>
      </c>
      <c r="C60" s="16">
        <f>ROUND(C11-'Income Statement'!C58,1)</f>
        <v>0</v>
      </c>
      <c r="D60" s="16">
        <f>ROUND(D11-'Income Statement'!D58,1)</f>
        <v>0</v>
      </c>
      <c r="E60" s="16">
        <f>ROUND(E11-'Income Statement'!E58,1)</f>
        <v>0</v>
      </c>
      <c r="F60" s="16">
        <f>ROUND(F11-'Income Statement'!F58,1)</f>
        <v>0</v>
      </c>
      <c r="G60" s="16">
        <f>ROUND(G11-'Income Statement'!G58,1)</f>
        <v>0</v>
      </c>
      <c r="H60" s="16">
        <f>ROUND(H11-'Income Statement'!H58,1)</f>
        <v>0</v>
      </c>
      <c r="I60" s="16">
        <f>ROUND(I11-'Income Statement'!I58,1)</f>
        <v>0</v>
      </c>
      <c r="J60" s="19">
        <f>ROUND(J11-'Income Statement'!J58,1)</f>
        <v>0</v>
      </c>
      <c r="K60" s="97" t="s">
        <v>509</v>
      </c>
      <c r="L60" s="2"/>
    </row>
    <row r="61">
      <c r="A61" s="2"/>
      <c r="B61" s="34" t="s">
        <v>510</v>
      </c>
      <c r="C61" s="7" t="s">
        <v>62</v>
      </c>
      <c r="D61" s="7" t="s">
        <v>62</v>
      </c>
      <c r="E61" s="7" t="s">
        <v>62</v>
      </c>
      <c r="F61" s="7" t="s">
        <v>62</v>
      </c>
      <c r="G61" s="7">
        <f>ROUND(G21-(C21+D21+E21+F21),1)</f>
        <v>0</v>
      </c>
      <c r="H61" s="7" t="s">
        <v>62</v>
      </c>
      <c r="I61" s="7" t="s">
        <v>62</v>
      </c>
      <c r="J61" s="46" t="s">
        <v>62</v>
      </c>
      <c r="K61" s="2"/>
      <c r="L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L47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511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512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92</v>
      </c>
      <c r="C11" s="16">
        <f>'Segment - Americas'!C27</f>
        <v>783</v>
      </c>
      <c r="D11" s="16">
        <f>'Segment - Americas'!D27</f>
        <v>748.4</v>
      </c>
      <c r="E11" s="16">
        <f>'Segment - Americas'!E27</f>
        <v>806.4</v>
      </c>
      <c r="F11" s="16">
        <f>'Segment - Americas'!F27</f>
        <v>959.2</v>
      </c>
      <c r="G11" s="16">
        <f>'Segment - Americas'!G27</f>
        <v>3297</v>
      </c>
      <c r="H11" s="16">
        <f>'Segment - Americas'!H27</f>
        <v>855.7</v>
      </c>
      <c r="I11" s="16">
        <f>'Segment - Americas'!I27</f>
        <v>815.5</v>
      </c>
      <c r="J11" s="19">
        <f>'Segment - Americas'!J27</f>
        <v>846.9984999999999</v>
      </c>
      <c r="K11" s="2"/>
      <c r="L11" s="2"/>
    </row>
    <row r="12">
      <c r="A12" s="2"/>
      <c r="B12" s="3" t="s">
        <v>94</v>
      </c>
      <c r="C12" s="10">
        <f>'Segment - Americas'!C34</f>
        <v>0.06414786626800772</v>
      </c>
      <c r="D12" s="10">
        <f>'Segment - Americas'!D34</f>
        <v>0.0508284189834316</v>
      </c>
      <c r="E12" s="10">
        <f>'Segment - Americas'!E34</f>
        <v>0.06497622820919169</v>
      </c>
      <c r="F12" s="10">
        <f>'Segment - Americas'!F34</f>
        <v>-0.036367289531846425</v>
      </c>
      <c r="G12" s="10">
        <f>'Segment - Americas'!G34</f>
        <v>0.030119352621383433</v>
      </c>
      <c r="H12" s="10">
        <f>'Segment - Americas'!H34</f>
        <v>0.09284802043422746</v>
      </c>
      <c r="I12" s="10">
        <f>'Segment - Americas'!I34</f>
        <v>0.08965793693212198</v>
      </c>
      <c r="J12" s="52">
        <f>'Segment - Americas'!J34</f>
        <v>0.05034536210317464</v>
      </c>
      <c r="K12" s="97" t="s">
        <v>193</v>
      </c>
      <c r="L12" s="2"/>
    </row>
    <row r="13">
      <c r="A13" s="2"/>
      <c r="B13" s="41" t="s">
        <v>96</v>
      </c>
      <c r="C13" s="7" t="s">
        <v>62</v>
      </c>
      <c r="D13" s="7">
        <f>IFERROR(D11-C11,"n/a")</f>
        <v>-34.60000000000002</v>
      </c>
      <c r="E13" s="7">
        <f>IFERROR(E11-D11,"n/a")</f>
        <v>58</v>
      </c>
      <c r="F13" s="7">
        <f>IFERROR(F11-E11,"n/a")</f>
        <v>152.80000000000007</v>
      </c>
      <c r="G13" s="7" t="s">
        <v>62</v>
      </c>
      <c r="H13" s="7">
        <f>IFERROR(H11-F11,"n/a")</f>
        <v>-103.5</v>
      </c>
      <c r="I13" s="7">
        <f>IFERROR(I11-H11,"n/a")</f>
        <v>-40.200000000000045</v>
      </c>
      <c r="J13" s="46">
        <f>IFERROR(J11-I11,"n/a")</f>
        <v>31.498499999999922</v>
      </c>
      <c r="K13" s="2"/>
      <c r="L13" s="2"/>
    </row>
    <row r="14">
      <c r="A14" s="2"/>
      <c r="B14" s="3" t="s">
        <v>513</v>
      </c>
      <c r="C14" s="5">
        <f>IFERROR(C11/C25,"n/a")</f>
        <v>0.5128373067854336</v>
      </c>
      <c r="D14" s="5">
        <f>IFERROR(D11/D25,"n/a")</f>
        <v>0.5175656984785615</v>
      </c>
      <c r="E14" s="5">
        <f>IFERROR(E11/E25,"n/a")</f>
        <v>0.5224828301153297</v>
      </c>
      <c r="F14" s="5">
        <f>IFERROR(F11/F25,"n/a")</f>
        <v>0.5432098765432097</v>
      </c>
      <c r="G14" s="5">
        <f>IFERROR(G11/G25,"n/a")</f>
        <v>0.5248328557784144</v>
      </c>
      <c r="H14" s="5">
        <f>IFERROR(H11/H25,"n/a")</f>
        <v>0.49107604017216644</v>
      </c>
      <c r="I14" s="5">
        <f>IFERROR(I11/I25,"n/a")</f>
        <v>0.5220870678617158</v>
      </c>
      <c r="J14" s="31">
        <f>IFERROR(J11/J25,"n/a")</f>
        <v>0.5182682001321837</v>
      </c>
      <c r="K14" s="2"/>
      <c r="L14" s="2"/>
    </row>
    <row r="15">
      <c r="A15" s="2"/>
      <c r="B15" s="2" t="s">
        <v>101</v>
      </c>
      <c r="C15" s="16">
        <f>'Segment - Europe'!C27</f>
        <v>400.5</v>
      </c>
      <c r="D15" s="16">
        <f>'Segment - Europe'!D27</f>
        <v>403.1</v>
      </c>
      <c r="E15" s="16">
        <f>'Segment - Europe'!E27</f>
        <v>426.3</v>
      </c>
      <c r="F15" s="16">
        <f>'Segment - Europe'!F27</f>
        <v>469.4000000000002</v>
      </c>
      <c r="G15" s="16">
        <f>'Segment - Europe'!G27</f>
        <v>1699.3000000000002</v>
      </c>
      <c r="H15" s="16">
        <f>'Segment - Europe'!H27</f>
        <v>496</v>
      </c>
      <c r="I15" s="16">
        <f>'Segment - Europe'!I27</f>
        <v>420.2</v>
      </c>
      <c r="J15" s="19">
        <f>'Segment - Europe'!J27</f>
        <v>448.41357000000005</v>
      </c>
      <c r="K15" s="2"/>
      <c r="L15" s="2"/>
    </row>
    <row r="16">
      <c r="A16" s="2"/>
      <c r="B16" s="3" t="s">
        <v>94</v>
      </c>
      <c r="C16" s="10">
        <f>'Segment - Europe'!C34</f>
        <v>-0.05430932703659974</v>
      </c>
      <c r="D16" s="10">
        <f>'Segment - Europe'!D34</f>
        <v>0.13966638394119313</v>
      </c>
      <c r="E16" s="10">
        <f>'Segment - Europe'!E34</f>
        <v>0.04845056566650263</v>
      </c>
      <c r="F16" s="10">
        <f>'Segment - Europe'!F34</f>
        <v>0.08131766873992219</v>
      </c>
      <c r="G16" s="10">
        <f>'Segment - Europe'!G34</f>
        <v>0.05031213301192916</v>
      </c>
      <c r="H16" s="10">
        <f>'Segment - Europe'!H34</f>
        <v>0.23845193508114848</v>
      </c>
      <c r="I16" s="10">
        <f>'Segment - Europe'!I34</f>
        <v>0.04242123542545273</v>
      </c>
      <c r="J16" s="52">
        <f>'Segment - Europe'!J34</f>
        <v>0.05187325826882483</v>
      </c>
      <c r="K16" s="2"/>
      <c r="L16" s="2"/>
    </row>
    <row r="17">
      <c r="A17" s="2"/>
      <c r="B17" s="41" t="s">
        <v>96</v>
      </c>
      <c r="C17" s="7" t="s">
        <v>62</v>
      </c>
      <c r="D17" s="7">
        <f>IFERROR(D15-C15,"n/a")</f>
        <v>2.6000000000000227</v>
      </c>
      <c r="E17" s="7">
        <f>IFERROR(E15-D15,"n/a")</f>
        <v>23.19999999999999</v>
      </c>
      <c r="F17" s="7">
        <f>IFERROR(F15-E15,"n/a")</f>
        <v>43.10000000000019</v>
      </c>
      <c r="G17" s="7" t="s">
        <v>62</v>
      </c>
      <c r="H17" s="7">
        <f>IFERROR(H15-F15,"n/a")</f>
        <v>26.599999999999795</v>
      </c>
      <c r="I17" s="7">
        <f>IFERROR(I15-H15,"n/a")</f>
        <v>-75.80000000000001</v>
      </c>
      <c r="J17" s="46">
        <f>IFERROR(J15-I15,"n/a")</f>
        <v>28.21357000000006</v>
      </c>
      <c r="K17" s="2"/>
      <c r="L17" s="2"/>
    </row>
    <row r="18">
      <c r="A18" s="2"/>
      <c r="B18" s="3" t="s">
        <v>513</v>
      </c>
      <c r="C18" s="5">
        <f>IFERROR(C15/C25,"n/a")</f>
        <v>0.2623133350799057</v>
      </c>
      <c r="D18" s="5">
        <f>IFERROR(D15/D25,"n/a")</f>
        <v>0.27876901798063625</v>
      </c>
      <c r="E18" s="5">
        <f>IFERROR(E15/E25,"n/a")</f>
        <v>0.2762083711286769</v>
      </c>
      <c r="F18" s="5">
        <f>IFERROR(F15/F25,"n/a")</f>
        <v>0.2658285196511497</v>
      </c>
      <c r="G18" s="5">
        <f>IFERROR(G15/G25,"n/a")</f>
        <v>0.2705030245144858</v>
      </c>
      <c r="H18" s="5">
        <f>IFERROR(H15/H25,"n/a")</f>
        <v>0.284648493543759</v>
      </c>
      <c r="I18" s="5">
        <f>IFERROR(I15/I25,"n/a")</f>
        <v>0.26901408450704223</v>
      </c>
      <c r="J18" s="31">
        <f>IFERROR(J15/J25,"n/a")</f>
        <v>0.27437887297173136</v>
      </c>
      <c r="K18" s="2"/>
      <c r="L18" s="2"/>
    </row>
    <row r="19">
      <c r="A19" s="2"/>
      <c r="B19" s="2" t="s">
        <v>103</v>
      </c>
      <c r="C19" s="16">
        <f>'Segment - Asia'!C27</f>
        <v>308.1</v>
      </c>
      <c r="D19" s="16">
        <f>'Segment - Asia'!D27</f>
        <v>257.7</v>
      </c>
      <c r="E19" s="16">
        <f>'Segment - Asia'!E27</f>
        <v>277.7</v>
      </c>
      <c r="F19" s="16">
        <f>'Segment - Asia'!F27</f>
        <v>290.90000000000003</v>
      </c>
      <c r="G19" s="16">
        <f>'Segment - Asia'!G27</f>
        <v>1134.4</v>
      </c>
      <c r="H19" s="16">
        <f>'Segment - Asia'!H27</f>
        <v>347.5</v>
      </c>
      <c r="I19" s="16">
        <f>'Segment - Asia'!I27</f>
        <v>283.7</v>
      </c>
      <c r="J19" s="19">
        <f>'Segment - Asia'!J27</f>
        <v>301.429</v>
      </c>
      <c r="K19" s="2"/>
      <c r="L19" s="2"/>
    </row>
    <row r="20">
      <c r="A20" s="2"/>
      <c r="B20" s="3" t="s">
        <v>94</v>
      </c>
      <c r="C20" s="10">
        <f>'Segment - Asia'!C34</f>
        <v>0.06682825484764554</v>
      </c>
      <c r="D20" s="10">
        <f>'Segment - Asia'!D34</f>
        <v>-0.008846153846153837</v>
      </c>
      <c r="E20" s="10">
        <f>'Segment - Asia'!E34</f>
        <v>0.12383650343990293</v>
      </c>
      <c r="F20" s="10">
        <f>'Segment - Asia'!F34</f>
        <v>0.015357766143106577</v>
      </c>
      <c r="G20" s="10">
        <f>'Segment - Asia'!G34</f>
        <v>0.04804138950480419</v>
      </c>
      <c r="H20" s="10">
        <f>'Segment - Asia'!H34</f>
        <v>0.1278805582603051</v>
      </c>
      <c r="I20" s="10">
        <f>'Segment - Asia'!I34</f>
        <v>0.10089251067132321</v>
      </c>
      <c r="J20" s="52">
        <f>'Segment - Asia'!J34</f>
        <v>0.08544832553114867</v>
      </c>
      <c r="K20" s="2"/>
      <c r="L20" s="2"/>
    </row>
    <row r="21">
      <c r="A21" s="2"/>
      <c r="B21" s="41" t="s">
        <v>96</v>
      </c>
      <c r="C21" s="7" t="s">
        <v>62</v>
      </c>
      <c r="D21" s="7">
        <f>IFERROR(D19-C19,"n/a")</f>
        <v>-50.400000000000034</v>
      </c>
      <c r="E21" s="7">
        <f>IFERROR(E19-D19,"n/a")</f>
        <v>20</v>
      </c>
      <c r="F21" s="7">
        <f>IFERROR(F19-E19,"n/a")</f>
        <v>13.200000000000045</v>
      </c>
      <c r="G21" s="7" t="s">
        <v>62</v>
      </c>
      <c r="H21" s="7">
        <f>IFERROR(H19-F19,"n/a")</f>
        <v>56.599999999999966</v>
      </c>
      <c r="I21" s="7">
        <f>IFERROR(I19-H19,"n/a")</f>
        <v>-63.80000000000001</v>
      </c>
      <c r="J21" s="46">
        <f>IFERROR(J19-I19,"n/a")</f>
        <v>17.728999999999985</v>
      </c>
      <c r="K21" s="2"/>
      <c r="L21" s="2"/>
    </row>
    <row r="22">
      <c r="A22" s="2"/>
      <c r="B22" s="3" t="s">
        <v>513</v>
      </c>
      <c r="C22" s="5">
        <f>IFERROR(C19/C25,"n/a")</f>
        <v>0.20179460309143307</v>
      </c>
      <c r="D22" s="5">
        <f>IFERROR(D19/D25,"n/a")</f>
        <v>0.17821576763485478</v>
      </c>
      <c r="E22" s="5">
        <f>IFERROR(E19/E25,"n/a")</f>
        <v>0.17992743294026176</v>
      </c>
      <c r="F22" s="5">
        <f>IFERROR(F19/F25,"n/a")</f>
        <v>0.16474119379318153</v>
      </c>
      <c r="G22" s="5">
        <f>IFERROR(G19/G25,"n/a")</f>
        <v>0.18057943330149634</v>
      </c>
      <c r="H22" s="5">
        <f>IFERROR(H19/H25,"n/a")</f>
        <v>0.1994261119081779</v>
      </c>
      <c r="I22" s="5">
        <f>IFERROR(I19/I25,"n/a")</f>
        <v>0.18162612035851472</v>
      </c>
      <c r="J22" s="31">
        <f>IFERROR(J19/J25,"n/a")</f>
        <v>0.1844407815334313</v>
      </c>
      <c r="K22" s="2"/>
      <c r="L22" s="2"/>
    </row>
    <row r="23">
      <c r="A23" s="2"/>
      <c r="B23" s="2" t="s">
        <v>514</v>
      </c>
      <c r="C23" s="16">
        <f>'Segment - Beyond Yoga'!C27</f>
        <v>35.2</v>
      </c>
      <c r="D23" s="16">
        <f>'Segment - Beyond Yoga'!D27</f>
        <v>36.8</v>
      </c>
      <c r="E23" s="16">
        <f>'Segment - Beyond Yoga'!E27</f>
        <v>33</v>
      </c>
      <c r="F23" s="16">
        <f>'Segment - Beyond Yoga'!F27</f>
        <v>46.300000000000004</v>
      </c>
      <c r="G23" s="16">
        <f>'Segment - Beyond Yoga'!G27</f>
        <v>151.3</v>
      </c>
      <c r="H23" s="16">
        <f>'Segment - Beyond Yoga'!H27</f>
        <v>43.3</v>
      </c>
      <c r="I23" s="16">
        <f>'Segment - Beyond Yoga'!I27</f>
        <v>42.6</v>
      </c>
      <c r="J23" s="19">
        <f>'Segment - Beyond Yoga'!J27</f>
        <v>37.445</v>
      </c>
      <c r="K23" s="2"/>
      <c r="L23" s="2"/>
    </row>
    <row r="24">
      <c r="A24" s="2"/>
      <c r="B24" s="3" t="s">
        <v>513</v>
      </c>
      <c r="C24" s="5">
        <f>IFERROR(C23/C25,"n/a")</f>
        <v>0.023054755043227668</v>
      </c>
      <c r="D24" s="5">
        <f>IFERROR(D23/D25,"n/a")</f>
        <v>0.025449515905947438</v>
      </c>
      <c r="E24" s="5">
        <f>IFERROR(E23/E25,"n/a")</f>
        <v>0.0213813658157315</v>
      </c>
      <c r="F24" s="5">
        <f>IFERROR(F23/F25,"n/a")</f>
        <v>0.02622041001245894</v>
      </c>
      <c r="G24" s="5">
        <f>IFERROR(G23/G25,"n/a")</f>
        <v>0.02408468640560331</v>
      </c>
      <c r="H24" s="5">
        <f>IFERROR(H23/H25,"n/a")</f>
        <v>0.0248493543758967</v>
      </c>
      <c r="I24" s="5">
        <f>IFERROR(I23/I25,"n/a")</f>
        <v>0.027272727272727275</v>
      </c>
      <c r="J24" s="31">
        <f>IFERROR(J23/J25,"n/a")</f>
        <v>0.022912145362653676</v>
      </c>
      <c r="K24" s="2"/>
      <c r="L24" s="2"/>
    </row>
    <row r="25">
      <c r="A25" s="2"/>
      <c r="B25" s="47" t="s">
        <v>107</v>
      </c>
      <c r="C25" s="14">
        <f>C11+C15+C19+C23</f>
        <v>1526.8</v>
      </c>
      <c r="D25" s="14">
        <f>D11+D15+D19+D23</f>
        <v>1446</v>
      </c>
      <c r="E25" s="14">
        <f>E11+E15+E19+E23</f>
        <v>1543.4</v>
      </c>
      <c r="F25" s="14">
        <f>F11+F15+F19+F23</f>
        <v>1765.8000000000004</v>
      </c>
      <c r="G25" s="14">
        <f>G11+G15+G19+G23</f>
        <v>6282.000000000001</v>
      </c>
      <c r="H25" s="14">
        <f>H11+H15+H19+H23</f>
        <v>1742.5</v>
      </c>
      <c r="I25" s="14">
        <f>I11+I15+I19+I23</f>
        <v>1562</v>
      </c>
      <c r="J25" s="36">
        <f>J11+J15+J19+J23</f>
        <v>1634.2860699999999</v>
      </c>
      <c r="K25" s="2"/>
      <c r="L25" s="2"/>
    </row>
    <row r="26">
      <c r="A26" s="2"/>
      <c r="B26" s="34" t="s">
        <v>515</v>
      </c>
      <c r="C26" s="16">
        <f>ROUND(C25-'Income Statement'!C11,1)</f>
        <v>0</v>
      </c>
      <c r="D26" s="16">
        <f>ROUND(D25-'Income Statement'!D11,1)</f>
        <v>0</v>
      </c>
      <c r="E26" s="16">
        <f>ROUND(E25-'Income Statement'!E11,1)</f>
        <v>0</v>
      </c>
      <c r="F26" s="16">
        <f>ROUND(F25-'Income Statement'!F11,1)</f>
        <v>0</v>
      </c>
      <c r="G26" s="16">
        <f>ROUND(G25-'Income Statement'!G11,1)</f>
        <v>0</v>
      </c>
      <c r="H26" s="16">
        <f>ROUND(H25-'Income Statement'!H11,1)</f>
        <v>0</v>
      </c>
      <c r="I26" s="16">
        <f>ROUND(I25-'Income Statement'!I11,1)</f>
        <v>0</v>
      </c>
      <c r="J26" s="19">
        <f>ROUND(J25-'Income Statement'!J11,1)</f>
        <v>0</v>
      </c>
      <c r="K26" s="2"/>
      <c r="L26" s="2"/>
    </row>
    <row r="27">
      <c r="A27" s="2"/>
      <c r="B27" s="61" t="s">
        <v>516</v>
      </c>
      <c r="C27" s="5">
        <f>IFERROR((C15+C19)/C25,"n/a")</f>
        <v>0.4641079381713388</v>
      </c>
      <c r="D27" s="5">
        <f>IFERROR((D15+D19)/D25,"n/a")</f>
        <v>0.456984785615491</v>
      </c>
      <c r="E27" s="5">
        <f>IFERROR((E15+E19)/E25,"n/a")</f>
        <v>0.45613580406893867</v>
      </c>
      <c r="F27" s="5">
        <f>IFERROR((F15+F19)/F25,"n/a")</f>
        <v>0.4305697134443312</v>
      </c>
      <c r="G27" s="5">
        <f>IFERROR((G15+G19)/G25,"n/a")</f>
        <v>0.45108245781598216</v>
      </c>
      <c r="H27" s="5">
        <f>IFERROR((H15+H19)/H25,"n/a")</f>
        <v>0.48407460545193687</v>
      </c>
      <c r="I27" s="5">
        <f>IFERROR((I15+I19)/I25,"n/a")</f>
        <v>0.45064020486555695</v>
      </c>
      <c r="J27" s="31">
        <f>IFERROR((J15+J19)/J25,"n/a")</f>
        <v>0.45881965450516266</v>
      </c>
      <c r="K27" s="2"/>
      <c r="L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43" t="s">
        <v>517</v>
      </c>
      <c r="C29" s="2"/>
      <c r="D29" s="2"/>
      <c r="E29" s="2"/>
      <c r="F29" s="2"/>
      <c r="G29" s="2"/>
      <c r="H29" s="2"/>
      <c r="I29" s="2"/>
      <c r="J29" s="23"/>
      <c r="K29" s="2"/>
      <c r="L29" s="2"/>
    </row>
    <row r="30">
      <c r="A30" s="2"/>
      <c r="B30" s="2" t="s">
        <v>518</v>
      </c>
      <c r="C30" s="7" t="s">
        <v>62</v>
      </c>
      <c r="D30" s="7" t="s">
        <v>62</v>
      </c>
      <c r="E30" s="7" t="s">
        <v>62</v>
      </c>
      <c r="F30" s="7" t="s">
        <v>62</v>
      </c>
      <c r="G30" s="12">
        <v>2674.1</v>
      </c>
      <c r="H30" s="7" t="s">
        <v>62</v>
      </c>
      <c r="I30" s="7" t="s">
        <v>62</v>
      </c>
      <c r="J30" s="46" t="s">
        <v>62</v>
      </c>
      <c r="K30" s="4" t="s">
        <v>519</v>
      </c>
      <c r="L30" s="2"/>
    </row>
    <row r="31">
      <c r="A31" s="2"/>
      <c r="B31" s="2" t="s">
        <v>520</v>
      </c>
      <c r="C31" s="7" t="s">
        <v>62</v>
      </c>
      <c r="D31" s="7" t="s">
        <v>62</v>
      </c>
      <c r="E31" s="7" t="s">
        <v>62</v>
      </c>
      <c r="F31" s="7" t="s">
        <v>62</v>
      </c>
      <c r="G31" s="12">
        <v>3607.9</v>
      </c>
      <c r="H31" s="7" t="s">
        <v>62</v>
      </c>
      <c r="I31" s="7" t="s">
        <v>62</v>
      </c>
      <c r="J31" s="46" t="s">
        <v>62</v>
      </c>
      <c r="K31" s="4" t="s">
        <v>521</v>
      </c>
      <c r="L31" s="2"/>
    </row>
    <row r="32">
      <c r="A32" s="2"/>
      <c r="B32" s="47" t="s">
        <v>522</v>
      </c>
      <c r="C32" s="14" t="s">
        <v>62</v>
      </c>
      <c r="D32" s="14" t="s">
        <v>62</v>
      </c>
      <c r="E32" s="14" t="s">
        <v>62</v>
      </c>
      <c r="F32" s="14" t="s">
        <v>62</v>
      </c>
      <c r="G32" s="14">
        <f>G30+G31</f>
        <v>6282</v>
      </c>
      <c r="H32" s="14" t="s">
        <v>62</v>
      </c>
      <c r="I32" s="14" t="s">
        <v>62</v>
      </c>
      <c r="J32" s="36" t="s">
        <v>62</v>
      </c>
      <c r="K32" s="2"/>
      <c r="L32" s="2"/>
    </row>
    <row r="33">
      <c r="A33" s="2"/>
      <c r="B33" s="3" t="s">
        <v>523</v>
      </c>
      <c r="C33" s="5" t="s">
        <v>62</v>
      </c>
      <c r="D33" s="5" t="s">
        <v>62</v>
      </c>
      <c r="E33" s="5" t="s">
        <v>62</v>
      </c>
      <c r="F33" s="5" t="s">
        <v>62</v>
      </c>
      <c r="G33" s="5">
        <f>G30/G32</f>
        <v>0.42567653613498885</v>
      </c>
      <c r="H33" s="5" t="s">
        <v>62</v>
      </c>
      <c r="I33" s="5" t="s">
        <v>62</v>
      </c>
      <c r="J33" s="31" t="s">
        <v>62</v>
      </c>
      <c r="K33" s="2"/>
      <c r="L33" s="2"/>
    </row>
    <row r="34">
      <c r="A34" s="2"/>
      <c r="B34" s="41" t="s">
        <v>524</v>
      </c>
      <c r="C34" s="7" t="s">
        <v>62</v>
      </c>
      <c r="D34" s="7" t="s">
        <v>62</v>
      </c>
      <c r="E34" s="7" t="s">
        <v>62</v>
      </c>
      <c r="F34" s="7" t="s">
        <v>62</v>
      </c>
      <c r="G34" s="12">
        <v>2631.7</v>
      </c>
      <c r="H34" s="7" t="s">
        <v>62</v>
      </c>
      <c r="I34" s="7" t="s">
        <v>62</v>
      </c>
      <c r="J34" s="46" t="s">
        <v>62</v>
      </c>
      <c r="K34" s="4" t="s">
        <v>525</v>
      </c>
      <c r="L34" s="2"/>
    </row>
    <row r="35">
      <c r="A35" s="2"/>
      <c r="B35" s="3" t="s">
        <v>526</v>
      </c>
      <c r="C35" s="5" t="s">
        <v>62</v>
      </c>
      <c r="D35" s="5" t="s">
        <v>62</v>
      </c>
      <c r="E35" s="5" t="s">
        <v>62</v>
      </c>
      <c r="F35" s="5" t="s">
        <v>62</v>
      </c>
      <c r="G35" s="5">
        <f>G30/G34-1</f>
        <v>0.016111258882091528</v>
      </c>
      <c r="H35" s="5" t="s">
        <v>62</v>
      </c>
      <c r="I35" s="5" t="s">
        <v>62</v>
      </c>
      <c r="J35" s="31" t="s">
        <v>62</v>
      </c>
      <c r="K35" s="2"/>
      <c r="L35" s="2"/>
    </row>
    <row r="36">
      <c r="A36" s="2"/>
      <c r="B36" s="61" t="s">
        <v>527</v>
      </c>
      <c r="C36" s="5" t="s">
        <v>62</v>
      </c>
      <c r="D36" s="5" t="s">
        <v>62</v>
      </c>
      <c r="E36" s="5" t="s">
        <v>62</v>
      </c>
      <c r="F36" s="26">
        <v>-0.07</v>
      </c>
      <c r="G36" s="5" t="s">
        <v>62</v>
      </c>
      <c r="H36" s="26">
        <v>0.04</v>
      </c>
      <c r="I36" s="26">
        <v>0.05</v>
      </c>
      <c r="J36" s="31" t="s">
        <v>62</v>
      </c>
      <c r="K36" s="4" t="s">
        <v>528</v>
      </c>
      <c r="L36" s="2"/>
    </row>
    <row r="37">
      <c r="A37" s="2"/>
      <c r="B37" s="61" t="s">
        <v>529</v>
      </c>
      <c r="C37" s="26">
        <v>0.08</v>
      </c>
      <c r="D37" s="26">
        <v>0.07</v>
      </c>
      <c r="E37" s="26">
        <v>0.03</v>
      </c>
      <c r="F37" s="26">
        <v>0</v>
      </c>
      <c r="G37" s="5" t="s">
        <v>62</v>
      </c>
      <c r="H37" s="26">
        <v>0.04</v>
      </c>
      <c r="I37" s="5" t="s">
        <v>62</v>
      </c>
      <c r="J37" s="31" t="s">
        <v>62</v>
      </c>
      <c r="K37" s="4" t="s">
        <v>530</v>
      </c>
      <c r="L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2"/>
      <c r="B39" s="43" t="s">
        <v>531</v>
      </c>
      <c r="C39" s="2"/>
      <c r="D39" s="2"/>
      <c r="E39" s="2"/>
      <c r="F39" s="2"/>
      <c r="G39" s="2"/>
      <c r="H39" s="2"/>
      <c r="I39" s="2"/>
      <c r="J39" s="23"/>
      <c r="K39" s="2"/>
      <c r="L39" s="2"/>
    </row>
    <row r="40">
      <c r="A40" s="2"/>
      <c r="B40" s="61" t="s">
        <v>532</v>
      </c>
      <c r="C40" s="5" t="s">
        <v>62</v>
      </c>
      <c r="D40" s="5" t="s">
        <v>62</v>
      </c>
      <c r="E40" s="5" t="s">
        <v>62</v>
      </c>
      <c r="F40" s="26">
        <v>0.03</v>
      </c>
      <c r="G40" s="5" t="s">
        <v>62</v>
      </c>
      <c r="H40" s="26">
        <v>0.1</v>
      </c>
      <c r="I40" s="26">
        <v>0.05</v>
      </c>
      <c r="J40" s="31" t="s">
        <v>62</v>
      </c>
      <c r="K40" s="4" t="s">
        <v>149</v>
      </c>
      <c r="L40" s="2"/>
    </row>
    <row r="41">
      <c r="A41" s="2"/>
      <c r="B41" s="21" t="s">
        <v>533</v>
      </c>
      <c r="C41" s="26">
        <v>0.08</v>
      </c>
      <c r="D41" s="26">
        <v>0.09</v>
      </c>
      <c r="E41" s="26">
        <v>0.07</v>
      </c>
      <c r="F41" s="26">
        <v>0.1</v>
      </c>
      <c r="G41" s="5" t="s">
        <v>62</v>
      </c>
      <c r="H41" s="26">
        <v>0.1</v>
      </c>
      <c r="I41" s="5" t="s">
        <v>62</v>
      </c>
      <c r="J41" s="31" t="s">
        <v>62</v>
      </c>
      <c r="K41" s="2"/>
      <c r="L41" s="2"/>
    </row>
    <row r="42">
      <c r="A42" s="2"/>
      <c r="B42" s="61" t="s">
        <v>534</v>
      </c>
      <c r="C42" s="5" t="s">
        <v>62</v>
      </c>
      <c r="D42" s="5" t="s">
        <v>62</v>
      </c>
      <c r="E42" s="5" t="s">
        <v>62</v>
      </c>
      <c r="F42" s="26">
        <v>0.09</v>
      </c>
      <c r="G42" s="5" t="s">
        <v>62</v>
      </c>
      <c r="H42" s="26">
        <v>0.19</v>
      </c>
      <c r="I42" s="26">
        <v>0.12</v>
      </c>
      <c r="J42" s="31" t="s">
        <v>62</v>
      </c>
      <c r="K42" s="4" t="s">
        <v>149</v>
      </c>
      <c r="L42" s="2"/>
    </row>
    <row r="43">
      <c r="A43" s="2"/>
      <c r="B43" s="21" t="s">
        <v>535</v>
      </c>
      <c r="C43" s="26">
        <v>0.11</v>
      </c>
      <c r="D43" s="26">
        <v>0.09</v>
      </c>
      <c r="E43" s="26">
        <v>0.04</v>
      </c>
      <c r="F43" s="26">
        <v>0.08</v>
      </c>
      <c r="G43" s="5" t="s">
        <v>62</v>
      </c>
      <c r="H43" s="26">
        <v>0.05</v>
      </c>
      <c r="I43" s="26">
        <v>0.07</v>
      </c>
      <c r="J43" s="31" t="s">
        <v>62</v>
      </c>
      <c r="K43" s="2"/>
      <c r="L43" s="2"/>
    </row>
    <row r="44">
      <c r="A44" s="2"/>
      <c r="B44" s="61" t="s">
        <v>536</v>
      </c>
      <c r="C44" s="5" t="s">
        <v>62</v>
      </c>
      <c r="D44" s="5" t="s">
        <v>62</v>
      </c>
      <c r="E44" s="5" t="s">
        <v>62</v>
      </c>
      <c r="F44" s="26">
        <v>0.11</v>
      </c>
      <c r="G44" s="5" t="s">
        <v>62</v>
      </c>
      <c r="H44" s="26">
        <v>0.18</v>
      </c>
      <c r="I44" s="26">
        <v>0.12</v>
      </c>
      <c r="J44" s="31" t="s">
        <v>62</v>
      </c>
      <c r="K44" s="4" t="s">
        <v>149</v>
      </c>
      <c r="L44" s="2"/>
    </row>
    <row r="45">
      <c r="A45" s="2"/>
      <c r="B45" s="21" t="s">
        <v>537</v>
      </c>
      <c r="C45" s="26">
        <v>0.14</v>
      </c>
      <c r="D45" s="26">
        <v>0.1</v>
      </c>
      <c r="E45" s="26">
        <v>0.14</v>
      </c>
      <c r="F45" s="26">
        <v>0.12</v>
      </c>
      <c r="G45" s="5" t="s">
        <v>62</v>
      </c>
      <c r="H45" s="26">
        <v>0.16</v>
      </c>
      <c r="I45" s="26">
        <v>0.12</v>
      </c>
      <c r="J45" s="31" t="s">
        <v>62</v>
      </c>
      <c r="K45" s="2"/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L49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538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539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540</v>
      </c>
      <c r="C10" s="2"/>
      <c r="D10" s="2"/>
      <c r="E10" s="2"/>
      <c r="F10" s="2"/>
      <c r="G10" s="2"/>
      <c r="H10" s="2"/>
      <c r="I10" s="2"/>
      <c r="J10" s="23"/>
      <c r="K10" s="2"/>
      <c r="L10" s="2"/>
    </row>
    <row r="11">
      <c r="A11" s="2"/>
      <c r="B11" s="2" t="s">
        <v>541</v>
      </c>
      <c r="C11" s="12">
        <v>104.585522</v>
      </c>
      <c r="D11" s="12">
        <v>105.128654</v>
      </c>
      <c r="E11" s="12">
        <v>102.602359</v>
      </c>
      <c r="F11" s="12">
        <v>103.620225</v>
      </c>
      <c r="G11" s="7">
        <f>F11</f>
        <v>103.620225</v>
      </c>
      <c r="H11" s="12">
        <v>98.057678</v>
      </c>
      <c r="I11" s="12">
        <v>99.13065</v>
      </c>
      <c r="J11" s="46" t="s">
        <v>62</v>
      </c>
      <c r="K11" s="4" t="s">
        <v>542</v>
      </c>
      <c r="L11" s="2"/>
    </row>
    <row r="12">
      <c r="A12" s="2"/>
      <c r="B12" s="2" t="s">
        <v>543</v>
      </c>
      <c r="C12" s="12">
        <v>290.742518</v>
      </c>
      <c r="D12" s="12">
        <v>290.420459</v>
      </c>
      <c r="E12" s="12">
        <v>288.227197</v>
      </c>
      <c r="F12" s="12">
        <v>286.756831</v>
      </c>
      <c r="G12" s="7">
        <f>F12</f>
        <v>286.756831</v>
      </c>
      <c r="H12" s="12">
        <v>286.514706</v>
      </c>
      <c r="I12" s="12">
        <v>285.717276</v>
      </c>
      <c r="J12" s="46" t="s">
        <v>62</v>
      </c>
      <c r="K12" s="2"/>
      <c r="L12" s="2"/>
    </row>
    <row r="13">
      <c r="A13" s="2"/>
      <c r="B13" s="47" t="s">
        <v>544</v>
      </c>
      <c r="C13" s="14">
        <f>C11+C12</f>
        <v>395.32804</v>
      </c>
      <c r="D13" s="14">
        <f>D11+D12</f>
        <v>395.549113</v>
      </c>
      <c r="E13" s="14">
        <f>E11+E12</f>
        <v>390.829556</v>
      </c>
      <c r="F13" s="14">
        <f>F11+F12</f>
        <v>390.377056</v>
      </c>
      <c r="G13" s="14">
        <f>G11+G12</f>
        <v>390.377056</v>
      </c>
      <c r="H13" s="14">
        <f>H11+H12</f>
        <v>384.572384</v>
      </c>
      <c r="I13" s="14">
        <f>I11+I12</f>
        <v>384.84792600000003</v>
      </c>
      <c r="J13" s="36" t="s">
        <v>62</v>
      </c>
      <c r="K13" s="97" t="s">
        <v>545</v>
      </c>
      <c r="L13" s="2"/>
    </row>
    <row r="14">
      <c r="A14" s="2"/>
      <c r="B14" s="3" t="s">
        <v>94</v>
      </c>
      <c r="C14" s="5" t="s">
        <v>62</v>
      </c>
      <c r="D14" s="5" t="s">
        <v>62</v>
      </c>
      <c r="E14" s="5" t="s">
        <v>62</v>
      </c>
      <c r="F14" s="5" t="s">
        <v>62</v>
      </c>
      <c r="G14" s="5" t="s">
        <v>62</v>
      </c>
      <c r="H14" s="5">
        <f>IFERROR(IF(OR(C13&lt;=0,ABS(H13/C13-1)&gt;5),"n/m",H13/C13-1),"n/a")</f>
        <v>-0.027206914035240226</v>
      </c>
      <c r="I14" s="5">
        <f>IFERROR(IF(OR(D13&lt;=0,ABS(I13/D13-1)&gt;5),"n/m",I13/D13-1),"n/a")</f>
        <v>-0.02705400327872798</v>
      </c>
      <c r="J14" s="31" t="str">
        <f>IFERROR(IF(OR(E13&lt;=0,ABS(J13/E13-1)&gt;5),"n/m",J13/E13-1),"n/a")</f>
        <v>n/a</v>
      </c>
      <c r="K14" s="2"/>
      <c r="L14" s="2"/>
    </row>
    <row r="15">
      <c r="A15" s="2"/>
      <c r="B15" s="41" t="s">
        <v>546</v>
      </c>
      <c r="C15" s="7" t="s">
        <v>62</v>
      </c>
      <c r="D15" s="7">
        <f>D13-C13</f>
        <v>0.22107299999998986</v>
      </c>
      <c r="E15" s="7">
        <f>E13-D13</f>
        <v>-4.719556999999952</v>
      </c>
      <c r="F15" s="7">
        <f>F13-E13</f>
        <v>-0.4525000000000432</v>
      </c>
      <c r="G15" s="7" t="s">
        <v>62</v>
      </c>
      <c r="H15" s="7">
        <f>H13-F13</f>
        <v>-5.804671999999982</v>
      </c>
      <c r="I15" s="7">
        <f>I13-H13</f>
        <v>0.27554200000002993</v>
      </c>
      <c r="J15" s="46" t="s">
        <v>62</v>
      </c>
      <c r="K15" s="2"/>
      <c r="L15" s="2"/>
    </row>
    <row r="16">
      <c r="A16" s="2"/>
      <c r="B16" s="34" t="s">
        <v>547</v>
      </c>
      <c r="C16" s="7" t="s">
        <v>62</v>
      </c>
      <c r="D16" s="7" t="s">
        <v>62</v>
      </c>
      <c r="E16" s="7" t="s">
        <v>62</v>
      </c>
      <c r="F16" s="7" t="s">
        <v>62</v>
      </c>
      <c r="G16" s="7" t="s">
        <v>62</v>
      </c>
      <c r="H16" s="7" t="s">
        <v>62</v>
      </c>
      <c r="I16" s="12">
        <v>384.850562</v>
      </c>
      <c r="J16" s="46" t="s">
        <v>62</v>
      </c>
      <c r="K16" s="4" t="s">
        <v>548</v>
      </c>
      <c r="L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A18" s="2"/>
      <c r="B18" s="43" t="s">
        <v>549</v>
      </c>
      <c r="C18" s="2"/>
      <c r="D18" s="2"/>
      <c r="E18" s="2"/>
      <c r="F18" s="2"/>
      <c r="G18" s="2"/>
      <c r="H18" s="2"/>
      <c r="I18" s="2"/>
      <c r="J18" s="23"/>
      <c r="K18" s="2"/>
      <c r="L18" s="2"/>
    </row>
    <row r="19">
      <c r="A19" s="2"/>
      <c r="B19" s="2" t="s">
        <v>550</v>
      </c>
      <c r="C19" s="12">
        <v>396.576662</v>
      </c>
      <c r="D19" s="12">
        <v>396.411904</v>
      </c>
      <c r="E19" s="12">
        <v>395.65904</v>
      </c>
      <c r="F19" s="12">
        <v>392.28358</v>
      </c>
      <c r="G19" s="12">
        <v>395.524593</v>
      </c>
      <c r="H19" s="12">
        <v>389.90776</v>
      </c>
      <c r="I19" s="12">
        <v>385.982038</v>
      </c>
      <c r="J19" s="46">
        <f>I13+J38-J36*J37</f>
        <v>384.49731095454547</v>
      </c>
      <c r="K19" s="4" t="s">
        <v>551</v>
      </c>
      <c r="L19" s="2"/>
    </row>
    <row r="20">
      <c r="A20" s="2"/>
      <c r="B20" s="3" t="s">
        <v>94</v>
      </c>
      <c r="C20" s="5" t="s">
        <v>62</v>
      </c>
      <c r="D20" s="5" t="s">
        <v>62</v>
      </c>
      <c r="E20" s="5" t="s">
        <v>62</v>
      </c>
      <c r="F20" s="5" t="s">
        <v>62</v>
      </c>
      <c r="G20" s="5" t="s">
        <v>62</v>
      </c>
      <c r="H20" s="5">
        <f>IFERROR(IF(OR(C19&lt;=0,ABS(H19/C19-1)&gt;5),"n/m",H19/C19-1),"n/a")</f>
        <v>-0.016816173615380348</v>
      </c>
      <c r="I20" s="5">
        <f>IFERROR(IF(OR(D19&lt;=0,ABS(I19/D19-1)&gt;5),"n/m",I19/D19-1),"n/a")</f>
        <v>-0.026310678097093643</v>
      </c>
      <c r="J20" s="31">
        <f>IFERROR(IF(OR(E19&lt;=0,ABS(J19/E19-1)&gt;5),"n/m",J19/E19-1),"n/a")</f>
        <v>-0.028210473961253424</v>
      </c>
      <c r="K20" s="2"/>
      <c r="L20" s="2"/>
    </row>
    <row r="21">
      <c r="A21" s="2"/>
      <c r="B21" s="41" t="s">
        <v>546</v>
      </c>
      <c r="C21" s="7" t="s">
        <v>62</v>
      </c>
      <c r="D21" s="7">
        <f>IFERROR(D19-C19,"n/a")</f>
        <v>-0.16475800000000618</v>
      </c>
      <c r="E21" s="7">
        <f>IFERROR(E19-D19,"n/a")</f>
        <v>-0.7528639999999882</v>
      </c>
      <c r="F21" s="7">
        <f>IFERROR(F19-E19,"n/a")</f>
        <v>-3.3754600000000323</v>
      </c>
      <c r="G21" s="7" t="s">
        <v>62</v>
      </c>
      <c r="H21" s="7">
        <f>IFERROR(H19-F19,"n/a")</f>
        <v>-2.375819999999976</v>
      </c>
      <c r="I21" s="7">
        <f>IFERROR(I19-H19,"n/a")</f>
        <v>-3.9257220000000075</v>
      </c>
      <c r="J21" s="46">
        <f>IFERROR(J19-I19,"n/a")</f>
        <v>-1.4847270454545196</v>
      </c>
      <c r="K21" s="2"/>
      <c r="L21" s="2"/>
    </row>
    <row r="22">
      <c r="A22" s="2"/>
      <c r="B22" s="34" t="s">
        <v>552</v>
      </c>
      <c r="C22" s="7">
        <f>C25-C19</f>
        <v>3.4697199999999953</v>
      </c>
      <c r="D22" s="7">
        <f>D25-D19</f>
        <v>2.6370450000000005</v>
      </c>
      <c r="E22" s="7">
        <f>E25-E19</f>
        <v>3.8706090000000017</v>
      </c>
      <c r="F22" s="7">
        <f>F25-F19</f>
        <v>4.878949000000034</v>
      </c>
      <c r="G22" s="7">
        <f>G25-G19</f>
        <v>4.224667000000011</v>
      </c>
      <c r="H22" s="7">
        <f>H25-H19</f>
        <v>4.289040999999997</v>
      </c>
      <c r="I22" s="7">
        <f>I25-I19</f>
        <v>3.6471779999999967</v>
      </c>
      <c r="J22" s="46">
        <f>J39</f>
        <v>3.5</v>
      </c>
      <c r="K22" s="2"/>
      <c r="L22" s="2"/>
    </row>
    <row r="23">
      <c r="A23" s="2"/>
      <c r="B23" s="3" t="s">
        <v>94</v>
      </c>
      <c r="C23" s="5" t="s">
        <v>62</v>
      </c>
      <c r="D23" s="5" t="s">
        <v>62</v>
      </c>
      <c r="E23" s="5" t="s">
        <v>62</v>
      </c>
      <c r="F23" s="5" t="s">
        <v>62</v>
      </c>
      <c r="G23" s="5" t="s">
        <v>62</v>
      </c>
      <c r="H23" s="5">
        <f>IFERROR(IF(OR(C22&lt;=0,ABS(H22/C22-1)&gt;5),"n/m",H22/C22-1),"n/a")</f>
        <v>0.2361346160497111</v>
      </c>
      <c r="I23" s="5">
        <f>IFERROR(IF(OR(D22&lt;=0,ABS(I22/D22-1)&gt;5),"n/m",I22/D22-1),"n/a")</f>
        <v>0.38305489667411674</v>
      </c>
      <c r="J23" s="31">
        <f>IFERROR(IF(OR(E22&lt;=0,ABS(J22/E22-1)&gt;5),"n/m",J22/E22-1),"n/a")</f>
        <v>-0.0957495319212045</v>
      </c>
      <c r="K23" s="2"/>
      <c r="L23" s="2"/>
    </row>
    <row r="24">
      <c r="A24" s="2"/>
      <c r="B24" s="41" t="s">
        <v>546</v>
      </c>
      <c r="C24" s="7" t="s">
        <v>62</v>
      </c>
      <c r="D24" s="7">
        <f>IFERROR(D22-C22,"n/a")</f>
        <v>-0.8326749999999947</v>
      </c>
      <c r="E24" s="7">
        <f>IFERROR(E22-D22,"n/a")</f>
        <v>1.2335640000000012</v>
      </c>
      <c r="F24" s="7">
        <f>IFERROR(F22-E22,"n/a")</f>
        <v>1.0083400000000324</v>
      </c>
      <c r="G24" s="7" t="s">
        <v>62</v>
      </c>
      <c r="H24" s="7">
        <f>IFERROR(H22-F22,"n/a")</f>
        <v>-0.5899080000000367</v>
      </c>
      <c r="I24" s="7">
        <f>IFERROR(I22-H22,"n/a")</f>
        <v>-0.6418630000000007</v>
      </c>
      <c r="J24" s="46">
        <f>IFERROR(J22-I22,"n/a")</f>
        <v>-0.1471779999999967</v>
      </c>
      <c r="K24" s="2"/>
      <c r="L24" s="2"/>
    </row>
    <row r="25">
      <c r="A25" s="2"/>
      <c r="B25" s="47" t="s">
        <v>553</v>
      </c>
      <c r="C25" s="35">
        <v>400.046382</v>
      </c>
      <c r="D25" s="35">
        <v>399.048949</v>
      </c>
      <c r="E25" s="35">
        <v>399.529649</v>
      </c>
      <c r="F25" s="35">
        <v>397.162529</v>
      </c>
      <c r="G25" s="35">
        <v>399.74926</v>
      </c>
      <c r="H25" s="35">
        <v>394.196801</v>
      </c>
      <c r="I25" s="35">
        <v>389.629216</v>
      </c>
      <c r="J25" s="36">
        <f>J19+J22</f>
        <v>387.99731095454547</v>
      </c>
      <c r="K25" s="2"/>
      <c r="L25" s="2"/>
    </row>
    <row r="26">
      <c r="A26" s="2"/>
      <c r="B26" s="3" t="s">
        <v>94</v>
      </c>
      <c r="C26" s="5" t="s">
        <v>62</v>
      </c>
      <c r="D26" s="5" t="s">
        <v>62</v>
      </c>
      <c r="E26" s="5" t="s">
        <v>62</v>
      </c>
      <c r="F26" s="5" t="s">
        <v>62</v>
      </c>
      <c r="G26" s="5" t="s">
        <v>62</v>
      </c>
      <c r="H26" s="5">
        <f>IFERROR(IF(OR(C25&lt;=0,ABS(H25/C25-1)&gt;5),"n/m",H25/C25-1),"n/a")</f>
        <v>-0.01462225697619235</v>
      </c>
      <c r="I26" s="5">
        <f>IFERROR(IF(OR(D25&lt;=0,ABS(I25/D25-1)&gt;5),"n/m",I25/D25-1),"n/a")</f>
        <v>-0.023605457484866088</v>
      </c>
      <c r="J26" s="31">
        <f>IFERROR(IF(OR(E25&lt;=0,ABS(J25/E25-1)&gt;5),"n/m",J25/E25-1),"n/a")</f>
        <v>-0.02886478656670244</v>
      </c>
      <c r="K26" s="2"/>
      <c r="L26" s="2"/>
    </row>
    <row r="27">
      <c r="A27" s="2"/>
      <c r="B27" s="41" t="s">
        <v>546</v>
      </c>
      <c r="C27" s="7" t="s">
        <v>62</v>
      </c>
      <c r="D27" s="7">
        <f>IFERROR(D25-C25,"n/a")</f>
        <v>-0.9974330000000009</v>
      </c>
      <c r="E27" s="7">
        <f>IFERROR(E25-D25,"n/a")</f>
        <v>0.480700000000013</v>
      </c>
      <c r="F27" s="7">
        <f>IFERROR(F25-E25,"n/a")</f>
        <v>-2.36712</v>
      </c>
      <c r="G27" s="7" t="s">
        <v>62</v>
      </c>
      <c r="H27" s="7">
        <f>IFERROR(H25-F25,"n/a")</f>
        <v>-2.965728000000013</v>
      </c>
      <c r="I27" s="7">
        <f>IFERROR(I25-H25,"n/a")</f>
        <v>-4.567585000000008</v>
      </c>
      <c r="J27" s="46">
        <f>IFERROR(J25-I25,"n/a")</f>
        <v>-1.6319050454545163</v>
      </c>
      <c r="K27" s="2"/>
      <c r="L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A29" s="2"/>
      <c r="B29" s="43" t="s">
        <v>554</v>
      </c>
      <c r="C29" s="2"/>
      <c r="D29" s="2"/>
      <c r="E29" s="2"/>
      <c r="F29" s="2"/>
      <c r="G29" s="2"/>
      <c r="H29" s="2"/>
      <c r="I29" s="2"/>
      <c r="J29" s="23"/>
      <c r="K29" s="2"/>
      <c r="L29" s="2"/>
    </row>
    <row r="30">
      <c r="A30" s="2"/>
      <c r="B30" s="2" t="s">
        <v>555</v>
      </c>
      <c r="C30" s="16">
        <f>-'Cash Flow Statement'!C30</f>
        <v>30</v>
      </c>
      <c r="D30" s="16">
        <f>-'Cash Flow Statement'!D30</f>
        <v>0.5</v>
      </c>
      <c r="E30" s="16">
        <f>-'Cash Flow Statement'!E30</f>
        <v>120</v>
      </c>
      <c r="F30" s="16">
        <f>-'Cash Flow Statement'!F30</f>
        <v>0</v>
      </c>
      <c r="G30" s="16">
        <f>-'Cash Flow Statement'!G30</f>
        <v>150.5</v>
      </c>
      <c r="H30" s="16">
        <f>-'Cash Flow Statement'!H30</f>
        <v>200</v>
      </c>
      <c r="I30" s="16">
        <f>-'Cash Flow Statement'!I30</f>
        <v>1</v>
      </c>
      <c r="J30" s="19">
        <f>-'Cash Flow Statement'!J30</f>
        <v>0</v>
      </c>
      <c r="K30" s="4" t="s">
        <v>556</v>
      </c>
      <c r="L30" s="2"/>
    </row>
    <row r="31">
      <c r="A31" s="2"/>
      <c r="B31" s="2" t="s">
        <v>557</v>
      </c>
      <c r="C31" s="7" t="s">
        <v>62</v>
      </c>
      <c r="D31" s="7" t="s">
        <v>62</v>
      </c>
      <c r="E31" s="12">
        <v>5</v>
      </c>
      <c r="F31" s="12">
        <v>0.6</v>
      </c>
      <c r="G31" s="12">
        <v>7.2</v>
      </c>
      <c r="H31" s="12">
        <v>7.789679</v>
      </c>
      <c r="I31" s="12">
        <v>0</v>
      </c>
      <c r="J31" s="46">
        <f>J36</f>
        <v>1.3012300909090921</v>
      </c>
      <c r="K31" s="4" t="s">
        <v>558</v>
      </c>
      <c r="L31" s="2"/>
    </row>
    <row r="32">
      <c r="A32" s="2"/>
      <c r="B32" s="2" t="s">
        <v>559</v>
      </c>
      <c r="C32" s="7" t="s">
        <v>62</v>
      </c>
      <c r="D32" s="7" t="s">
        <v>62</v>
      </c>
      <c r="E32" s="7" t="s">
        <v>62</v>
      </c>
      <c r="F32" s="7" t="s">
        <v>62</v>
      </c>
      <c r="G32" s="7" t="s">
        <v>62</v>
      </c>
      <c r="H32" s="12">
        <v>200</v>
      </c>
      <c r="I32" s="12">
        <v>200</v>
      </c>
      <c r="J32" s="49">
        <v>200</v>
      </c>
      <c r="K32" s="4" t="s">
        <v>560</v>
      </c>
      <c r="L32" s="2"/>
    </row>
    <row r="33">
      <c r="A33" s="2"/>
      <c r="B33" s="2" t="s">
        <v>561</v>
      </c>
      <c r="C33" s="7" t="s">
        <v>62</v>
      </c>
      <c r="D33" s="7" t="s">
        <v>62</v>
      </c>
      <c r="E33" s="7" t="s">
        <v>62</v>
      </c>
      <c r="F33" s="7" t="s">
        <v>62</v>
      </c>
      <c r="G33" s="7" t="s">
        <v>62</v>
      </c>
      <c r="H33" s="12">
        <v>7.789679</v>
      </c>
      <c r="I33" s="12">
        <v>7.789679</v>
      </c>
      <c r="J33" s="49">
        <v>7.789679</v>
      </c>
      <c r="K33" s="2"/>
      <c r="L33" s="2"/>
    </row>
    <row r="34">
      <c r="A34" s="2"/>
      <c r="B34" s="2" t="s">
        <v>562</v>
      </c>
      <c r="C34" s="45" t="s">
        <v>62</v>
      </c>
      <c r="D34" s="45" t="s">
        <v>62</v>
      </c>
      <c r="E34" s="45" t="s">
        <v>62</v>
      </c>
      <c r="F34" s="45" t="s">
        <v>62</v>
      </c>
      <c r="G34" s="45" t="s">
        <v>62</v>
      </c>
      <c r="H34" s="45" t="s">
        <v>62</v>
      </c>
      <c r="I34" s="45" t="s">
        <v>62</v>
      </c>
      <c r="J34" s="78">
        <v>22</v>
      </c>
      <c r="K34" s="4" t="s">
        <v>563</v>
      </c>
      <c r="L34" s="2"/>
    </row>
    <row r="35">
      <c r="A35" s="2"/>
      <c r="B35" s="34" t="s">
        <v>564</v>
      </c>
      <c r="C35" s="7" t="s">
        <v>62</v>
      </c>
      <c r="D35" s="7" t="s">
        <v>62</v>
      </c>
      <c r="E35" s="7" t="s">
        <v>62</v>
      </c>
      <c r="F35" s="7" t="s">
        <v>62</v>
      </c>
      <c r="G35" s="7" t="s">
        <v>62</v>
      </c>
      <c r="H35" s="7" t="s">
        <v>62</v>
      </c>
      <c r="I35" s="7" t="s">
        <v>62</v>
      </c>
      <c r="J35" s="46">
        <f>J32/J34</f>
        <v>9.090909090909092</v>
      </c>
      <c r="K35" s="2"/>
      <c r="L35" s="2"/>
    </row>
    <row r="36">
      <c r="A36" s="2"/>
      <c r="B36" s="34" t="s">
        <v>565</v>
      </c>
      <c r="C36" s="7" t="s">
        <v>62</v>
      </c>
      <c r="D36" s="7" t="s">
        <v>62</v>
      </c>
      <c r="E36" s="7" t="s">
        <v>62</v>
      </c>
      <c r="F36" s="7" t="s">
        <v>62</v>
      </c>
      <c r="G36" s="7" t="s">
        <v>62</v>
      </c>
      <c r="H36" s="7" t="s">
        <v>62</v>
      </c>
      <c r="I36" s="7" t="s">
        <v>62</v>
      </c>
      <c r="J36" s="46">
        <f>MAX(0,J35-J33)</f>
        <v>1.3012300909090921</v>
      </c>
      <c r="K36" s="2"/>
      <c r="L36" s="2"/>
    </row>
    <row r="37">
      <c r="A37" s="2"/>
      <c r="B37" s="21" t="s">
        <v>566</v>
      </c>
      <c r="C37" s="5" t="s">
        <v>62</v>
      </c>
      <c r="D37" s="5" t="s">
        <v>62</v>
      </c>
      <c r="E37" s="5" t="s">
        <v>62</v>
      </c>
      <c r="F37" s="5" t="s">
        <v>62</v>
      </c>
      <c r="G37" s="5" t="s">
        <v>62</v>
      </c>
      <c r="H37" s="5" t="s">
        <v>62</v>
      </c>
      <c r="I37" s="5" t="s">
        <v>62</v>
      </c>
      <c r="J37" s="44">
        <v>0.5</v>
      </c>
      <c r="K37" s="4" t="s">
        <v>567</v>
      </c>
      <c r="L37" s="2"/>
    </row>
    <row r="38">
      <c r="A38" s="2"/>
      <c r="B38" s="34" t="s">
        <v>568</v>
      </c>
      <c r="C38" s="7" t="s">
        <v>62</v>
      </c>
      <c r="D38" s="7" t="s">
        <v>62</v>
      </c>
      <c r="E38" s="7" t="s">
        <v>62</v>
      </c>
      <c r="F38" s="7" t="s">
        <v>62</v>
      </c>
      <c r="G38" s="7" t="s">
        <v>62</v>
      </c>
      <c r="H38" s="7" t="s">
        <v>62</v>
      </c>
      <c r="I38" s="7" t="s">
        <v>62</v>
      </c>
      <c r="J38" s="49">
        <v>0.3</v>
      </c>
      <c r="K38" s="4" t="s">
        <v>569</v>
      </c>
      <c r="L38" s="2"/>
    </row>
    <row r="39">
      <c r="A39" s="2"/>
      <c r="B39" s="34" t="s">
        <v>570</v>
      </c>
      <c r="C39" s="7" t="s">
        <v>62</v>
      </c>
      <c r="D39" s="7" t="s">
        <v>62</v>
      </c>
      <c r="E39" s="7" t="s">
        <v>62</v>
      </c>
      <c r="F39" s="7" t="s">
        <v>62</v>
      </c>
      <c r="G39" s="7" t="s">
        <v>62</v>
      </c>
      <c r="H39" s="7" t="s">
        <v>62</v>
      </c>
      <c r="I39" s="7" t="s">
        <v>62</v>
      </c>
      <c r="J39" s="49">
        <v>3.5</v>
      </c>
      <c r="K39" s="4" t="s">
        <v>571</v>
      </c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43" t="s">
        <v>572</v>
      </c>
      <c r="C41" s="2"/>
      <c r="D41" s="2"/>
      <c r="E41" s="2"/>
      <c r="F41" s="2"/>
      <c r="G41" s="2"/>
      <c r="H41" s="2"/>
      <c r="I41" s="2"/>
      <c r="J41" s="23"/>
      <c r="K41" s="2"/>
      <c r="L41" s="2"/>
    </row>
    <row r="42">
      <c r="A42" s="2"/>
      <c r="B42" s="2" t="s">
        <v>573</v>
      </c>
      <c r="C42" s="20">
        <v>0.13</v>
      </c>
      <c r="D42" s="20">
        <v>0.13</v>
      </c>
      <c r="E42" s="20">
        <v>0.14</v>
      </c>
      <c r="F42" s="20">
        <v>0.14</v>
      </c>
      <c r="G42" s="18">
        <f>SUM(C42:F42)</f>
        <v>0.54</v>
      </c>
      <c r="H42" s="20">
        <v>0.14</v>
      </c>
      <c r="I42" s="20">
        <v>0.14</v>
      </c>
      <c r="J42" s="84">
        <v>0.16</v>
      </c>
      <c r="K42" s="4" t="s">
        <v>574</v>
      </c>
      <c r="L42" s="2"/>
    </row>
    <row r="43">
      <c r="A43" s="2"/>
      <c r="B43" s="3" t="s">
        <v>94</v>
      </c>
      <c r="C43" s="5" t="s">
        <v>62</v>
      </c>
      <c r="D43" s="5" t="s">
        <v>62</v>
      </c>
      <c r="E43" s="5" t="s">
        <v>62</v>
      </c>
      <c r="F43" s="5" t="s">
        <v>62</v>
      </c>
      <c r="G43" s="5" t="s">
        <v>62</v>
      </c>
      <c r="H43" s="5">
        <f>IFERROR(IF(OR(C42&lt;=0,ABS(H42/C42-1)&gt;5),"n/m",H42/C42-1),"n/a")</f>
        <v>0.0769230769230771</v>
      </c>
      <c r="I43" s="5">
        <f>IFERROR(IF(OR(D42&lt;=0,ABS(I42/D42-1)&gt;5),"n/m",I42/D42-1),"n/a")</f>
        <v>0.0769230769230771</v>
      </c>
      <c r="J43" s="31">
        <f>IFERROR(IF(OR(E42&lt;=0,ABS(J42/E42-1)&gt;5),"n/m",J42/E42-1),"n/a")</f>
        <v>0.1428571428571428</v>
      </c>
      <c r="K43" s="2"/>
      <c r="L43" s="2"/>
    </row>
    <row r="44">
      <c r="A44" s="2"/>
      <c r="B44" s="41" t="s">
        <v>96</v>
      </c>
      <c r="C44" s="18" t="s">
        <v>62</v>
      </c>
      <c r="D44" s="18">
        <f>IFERROR(D42-C42,"n/a")</f>
        <v>0</v>
      </c>
      <c r="E44" s="18">
        <f>IFERROR(E42-D42,"n/a")</f>
        <v>0.010000000000000009</v>
      </c>
      <c r="F44" s="18">
        <f>IFERROR(F42-E42,"n/a")</f>
        <v>0</v>
      </c>
      <c r="G44" s="18" t="s">
        <v>62</v>
      </c>
      <c r="H44" s="18">
        <f>IFERROR(H42-F42,"n/a")</f>
        <v>0</v>
      </c>
      <c r="I44" s="18">
        <f>IFERROR(I42-H42,"n/a")</f>
        <v>0</v>
      </c>
      <c r="J44" s="80">
        <f>IFERROR(J42-I42,"n/a")</f>
        <v>0.01999999999999999</v>
      </c>
      <c r="K44" s="2"/>
      <c r="L44" s="2"/>
    </row>
    <row r="45">
      <c r="A45" s="2"/>
      <c r="B45" s="2" t="s">
        <v>575</v>
      </c>
      <c r="C45" s="16">
        <f>-'Cash Flow Statement'!C31</f>
        <v>51.4</v>
      </c>
      <c r="D45" s="16">
        <f>-'Cash Flow Statement'!D31</f>
        <v>51.4</v>
      </c>
      <c r="E45" s="16">
        <f>-'Cash Flow Statement'!E31</f>
        <v>55.39999999999999</v>
      </c>
      <c r="F45" s="16">
        <f>-'Cash Flow Statement'!F31</f>
        <v>54.70000000000002</v>
      </c>
      <c r="G45" s="16">
        <f>-'Cash Flow Statement'!G31</f>
        <v>212.9</v>
      </c>
      <c r="H45" s="16">
        <f>-'Cash Flow Statement'!H31</f>
        <v>53.8</v>
      </c>
      <c r="I45" s="16">
        <f>-'Cash Flow Statement'!I31</f>
        <v>53.900000000000006</v>
      </c>
      <c r="J45" s="19">
        <f>-'Cash Flow Statement'!J31</f>
        <v>61.575668160000006</v>
      </c>
      <c r="K45" s="2"/>
      <c r="L45" s="2"/>
    </row>
    <row r="46">
      <c r="A46" s="2"/>
      <c r="B46" s="2" t="s">
        <v>58</v>
      </c>
      <c r="C46" s="8">
        <f>'Income Statement'!C89</f>
        <v>0.37495652191650103</v>
      </c>
      <c r="D46" s="8">
        <f>'Income Statement'!D89</f>
        <v>0.22177730381642968</v>
      </c>
      <c r="E46" s="8">
        <f>'Income Statement'!E89</f>
        <v>0.33964938607097</v>
      </c>
      <c r="F46" s="8">
        <f>'Income Statement'!F89</f>
        <v>0.41015953949673944</v>
      </c>
      <c r="G46" s="8">
        <f>'Income Statement'!G89</f>
        <v>1.3435922307898738</v>
      </c>
      <c r="H46" s="8">
        <f>'Income Statement'!H89</f>
        <v>0.4228852176809013</v>
      </c>
      <c r="I46" s="8">
        <f>'Income Statement'!I89</f>
        <v>0.28180638281498904</v>
      </c>
      <c r="J46" s="76">
        <f>'Income Statement'!J89</f>
        <v>0.37269719592190864</v>
      </c>
      <c r="K46" s="2"/>
      <c r="L46" s="2"/>
    </row>
    <row r="47">
      <c r="A47" s="2"/>
      <c r="B47" s="34" t="s">
        <v>576</v>
      </c>
      <c r="C47" s="8">
        <f>ROUND('Income Statement'!C82/C25-C46,6)</f>
        <v>0</v>
      </c>
      <c r="D47" s="8">
        <f>ROUND('Income Statement'!D82/D25-D46,6)</f>
        <v>0</v>
      </c>
      <c r="E47" s="8">
        <f>ROUND('Income Statement'!E82/E25-E46,6)</f>
        <v>0</v>
      </c>
      <c r="F47" s="8">
        <f>ROUND('Income Statement'!F82/F25-F46,6)</f>
        <v>0</v>
      </c>
      <c r="G47" s="8">
        <f>ROUND('Income Statement'!G82/G25-G46,6)</f>
        <v>0</v>
      </c>
      <c r="H47" s="8">
        <f>ROUND('Income Statement'!H82/H25-H46,6)</f>
        <v>0</v>
      </c>
      <c r="I47" s="8">
        <f>ROUND('Income Statement'!I82/I25-I46,6)</f>
        <v>0</v>
      </c>
      <c r="J47" s="76">
        <f>ROUND('Income Statement'!J82/J25-J46,6)</f>
        <v>0</v>
      </c>
      <c r="K47" s="2"/>
      <c r="L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L50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577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95" t="s">
        <v>578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579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/>
      <c r="B11" s="50" t="s">
        <v>580</v>
      </c>
      <c r="C11" s="24" t="s">
        <v>581</v>
      </c>
      <c r="D11" s="24" t="s">
        <v>4</v>
      </c>
      <c r="E11" s="24" t="s">
        <v>582</v>
      </c>
      <c r="F11" s="24" t="s">
        <v>583</v>
      </c>
      <c r="G11" s="24" t="s">
        <v>584</v>
      </c>
      <c r="H11" s="24" t="s">
        <v>585</v>
      </c>
      <c r="I11" s="24" t="s">
        <v>586</v>
      </c>
      <c r="J11" s="24" t="s">
        <v>587</v>
      </c>
      <c r="K11" s="50" t="s">
        <v>588</v>
      </c>
      <c r="L11" s="2"/>
    </row>
    <row r="12">
      <c r="A12" s="2"/>
      <c r="B12" s="2" t="s">
        <v>589</v>
      </c>
      <c r="C12" s="94" t="s">
        <v>590</v>
      </c>
      <c r="D12" s="94" t="s">
        <v>591</v>
      </c>
      <c r="E12" s="94" t="s">
        <v>592</v>
      </c>
      <c r="F12" s="20">
        <v>0.28</v>
      </c>
      <c r="G12" s="20">
        <v>0.3</v>
      </c>
      <c r="H12" s="18">
        <f>AVERAGE(F12,G12)</f>
        <v>0.29000000000000004</v>
      </c>
      <c r="I12" s="8">
        <f>'Income Statement'!E90</f>
        <v>0.34</v>
      </c>
      <c r="J12" s="98" t="str">
        <f>IF(ISNUMBER(I12),IF(I12&gt;G12+0,"Beat",IF(I12&lt;F12-0,"Miss","In line")),"Pending")</f>
        <v>Beat</v>
      </c>
      <c r="K12" s="4" t="s">
        <v>593</v>
      </c>
      <c r="L12" s="2"/>
    </row>
    <row r="13">
      <c r="A13" s="2"/>
      <c r="B13" s="2" t="s">
        <v>594</v>
      </c>
      <c r="C13" s="94" t="s">
        <v>595</v>
      </c>
      <c r="D13" s="94" t="s">
        <v>596</v>
      </c>
      <c r="E13" s="94" t="s">
        <v>597</v>
      </c>
      <c r="F13" s="28">
        <v>0.01</v>
      </c>
      <c r="G13" s="28">
        <v>0.01</v>
      </c>
      <c r="H13" s="6">
        <f>AVERAGE(F13,G13)</f>
        <v>0.01</v>
      </c>
      <c r="I13" s="29">
        <f>'Revenue summary'!F59</f>
        <v>0.04975922953451084</v>
      </c>
      <c r="J13" s="98" t="str">
        <f>IF(ISNUMBER(I13),IF(I13&gt;G13+0.0025,"Beat",IF(I13&lt;F13-0.0025,"Miss","In line")),"Pending")</f>
        <v>Beat</v>
      </c>
      <c r="K13" s="4" t="s">
        <v>598</v>
      </c>
      <c r="L13" s="2"/>
    </row>
    <row r="14">
      <c r="A14" s="2"/>
      <c r="B14" s="2" t="s">
        <v>599</v>
      </c>
      <c r="C14" s="94" t="s">
        <v>595</v>
      </c>
      <c r="D14" s="94" t="s">
        <v>596</v>
      </c>
      <c r="E14" s="94" t="s">
        <v>597</v>
      </c>
      <c r="F14" s="28">
        <v>-0.03</v>
      </c>
      <c r="G14" s="28">
        <v>-0.03</v>
      </c>
      <c r="H14" s="6">
        <f>AVERAGE(F14,G14)</f>
        <v>-0.03</v>
      </c>
      <c r="I14" s="29">
        <f>'Revenue summary'!F51</f>
        <v>0.00908623349905735</v>
      </c>
      <c r="J14" s="98" t="str">
        <f>IF(ISNUMBER(I14),IF(I14&gt;G14+0.0025,"Beat",IF(I14&lt;F14-0.0025,"Miss","In line")),"Pending")</f>
        <v>Beat</v>
      </c>
      <c r="K14" s="4" t="s">
        <v>600</v>
      </c>
      <c r="L14" s="2"/>
    </row>
    <row r="15">
      <c r="A15" s="2"/>
      <c r="B15" s="2" t="s">
        <v>244</v>
      </c>
      <c r="C15" s="94" t="s">
        <v>595</v>
      </c>
      <c r="D15" s="94" t="s">
        <v>596</v>
      </c>
      <c r="E15" s="94" t="s">
        <v>601</v>
      </c>
      <c r="F15" s="58">
        <v>-100</v>
      </c>
      <c r="G15" s="58">
        <v>-100</v>
      </c>
      <c r="H15" s="30">
        <f>AVERAGE(F15,G15)</f>
        <v>-100</v>
      </c>
      <c r="I15" s="62">
        <f>'Income Statement'!F23</f>
        <v>-102.06262550957356</v>
      </c>
      <c r="J15" s="98" t="str">
        <f>IF(ISNUMBER(I15),IF(I15&gt;G15+10,"Beat",IF(I15&lt;F15-10,"Miss","In line")),"Pending")</f>
        <v>In line</v>
      </c>
      <c r="K15" s="4" t="s">
        <v>602</v>
      </c>
      <c r="L15" s="2"/>
    </row>
    <row r="16">
      <c r="A16" s="2"/>
      <c r="B16" s="2" t="s">
        <v>603</v>
      </c>
      <c r="C16" s="94" t="s">
        <v>595</v>
      </c>
      <c r="D16" s="94" t="s">
        <v>596</v>
      </c>
      <c r="E16" s="94" t="s">
        <v>597</v>
      </c>
      <c r="F16" s="28">
        <v>0.124</v>
      </c>
      <c r="G16" s="28">
        <v>0.126</v>
      </c>
      <c r="H16" s="6">
        <f>AVERAGE(F16,G16)</f>
        <v>0.125</v>
      </c>
      <c r="I16" s="29">
        <f>'Income Statement'!F127</f>
        <v>0.12085173858874187</v>
      </c>
      <c r="J16" s="98" t="str">
        <f>IF(ISNUMBER(I16),IF(I16&gt;G16+0,"Beat",IF(I16&lt;F16-0,"Miss","In line")),"Pending")</f>
        <v>Miss</v>
      </c>
      <c r="K16" s="4" t="s">
        <v>604</v>
      </c>
      <c r="L16" s="2"/>
    </row>
    <row r="17">
      <c r="A17" s="2"/>
      <c r="B17" s="2" t="s">
        <v>589</v>
      </c>
      <c r="C17" s="94" t="s">
        <v>595</v>
      </c>
      <c r="D17" s="94" t="s">
        <v>596</v>
      </c>
      <c r="E17" s="94" t="s">
        <v>592</v>
      </c>
      <c r="F17" s="20">
        <v>0.36</v>
      </c>
      <c r="G17" s="20">
        <v>0.38</v>
      </c>
      <c r="H17" s="18">
        <f>AVERAGE(F17,G17)</f>
        <v>0.37</v>
      </c>
      <c r="I17" s="8">
        <f>'Income Statement'!F90</f>
        <v>0.41</v>
      </c>
      <c r="J17" s="98" t="str">
        <f>IF(ISNUMBER(I17),IF(I17&gt;G17+0,"Beat",IF(I17&lt;F17-0,"Miss","In line")),"Pending")</f>
        <v>Beat</v>
      </c>
      <c r="K17" s="4" t="s">
        <v>604</v>
      </c>
      <c r="L17" s="2"/>
    </row>
    <row r="18">
      <c r="A18" s="2"/>
      <c r="B18" s="2" t="s">
        <v>599</v>
      </c>
      <c r="C18" s="94" t="s">
        <v>595</v>
      </c>
      <c r="D18" s="94" t="s">
        <v>605</v>
      </c>
      <c r="E18" s="94" t="s">
        <v>597</v>
      </c>
      <c r="F18" s="28">
        <v>0.03</v>
      </c>
      <c r="G18" s="28">
        <v>0.03</v>
      </c>
      <c r="H18" s="6">
        <f>AVERAGE(F18,G18)</f>
        <v>0.03</v>
      </c>
      <c r="I18" s="29">
        <f>'Revenue summary'!G51</f>
        <v>0.041445623342175164</v>
      </c>
      <c r="J18" s="98" t="str">
        <f>IF(ISNUMBER(I18),IF(I18&gt;G18+0.0025,"Beat",IF(I18&lt;F18-0.0025,"Miss","In line")),"Pending")</f>
        <v>Beat</v>
      </c>
      <c r="K18" s="4" t="s">
        <v>606</v>
      </c>
      <c r="L18" s="2"/>
    </row>
    <row r="19">
      <c r="A19" s="2"/>
      <c r="B19" s="2" t="s">
        <v>589</v>
      </c>
      <c r="C19" s="94" t="s">
        <v>595</v>
      </c>
      <c r="D19" s="94" t="s">
        <v>605</v>
      </c>
      <c r="E19" s="94" t="s">
        <v>592</v>
      </c>
      <c r="F19" s="20">
        <v>1.27</v>
      </c>
      <c r="G19" s="20">
        <v>1.32</v>
      </c>
      <c r="H19" s="18">
        <f>AVERAGE(F19,G19)</f>
        <v>1.295</v>
      </c>
      <c r="I19" s="8">
        <f>'Income Statement'!G90</f>
        <v>1.34</v>
      </c>
      <c r="J19" s="98" t="str">
        <f>IF(ISNUMBER(I19),IF(I19&gt;G19+0,"Beat",IF(I19&lt;F19-0,"Miss","In line")),"Pending")</f>
        <v>Beat</v>
      </c>
      <c r="K19" s="4" t="s">
        <v>607</v>
      </c>
      <c r="L19" s="2"/>
    </row>
    <row r="20">
      <c r="A20" s="2"/>
      <c r="B20" s="2" t="s">
        <v>599</v>
      </c>
      <c r="C20" s="94" t="s">
        <v>608</v>
      </c>
      <c r="D20" s="94" t="s">
        <v>609</v>
      </c>
      <c r="E20" s="94" t="s">
        <v>597</v>
      </c>
      <c r="F20" s="28">
        <v>0.07</v>
      </c>
      <c r="G20" s="28">
        <v>0.08</v>
      </c>
      <c r="H20" s="6">
        <f>AVERAGE(F20,G20)</f>
        <v>0.07500000000000001</v>
      </c>
      <c r="I20" s="29">
        <f>'Revenue summary'!H51</f>
        <v>0.14127587110296047</v>
      </c>
      <c r="J20" s="98" t="str">
        <f>IF(ISNUMBER(I20),IF(I20&gt;G20+0,"Beat",IF(I20&lt;F20-0,"Miss","In line")),"Pending")</f>
        <v>Beat</v>
      </c>
      <c r="K20" s="4" t="s">
        <v>610</v>
      </c>
      <c r="L20" s="2"/>
    </row>
    <row r="21">
      <c r="A21" s="2"/>
      <c r="B21" s="2" t="s">
        <v>594</v>
      </c>
      <c r="C21" s="94" t="s">
        <v>608</v>
      </c>
      <c r="D21" s="94" t="s">
        <v>609</v>
      </c>
      <c r="E21" s="94" t="s">
        <v>597</v>
      </c>
      <c r="F21" s="28">
        <v>0.04</v>
      </c>
      <c r="G21" s="28">
        <v>0.05</v>
      </c>
      <c r="H21" s="6">
        <f>AVERAGE(F21,G21)</f>
        <v>0.045</v>
      </c>
      <c r="I21" s="29">
        <f>'Revenue summary'!H59</f>
        <v>0.09227104619820725</v>
      </c>
      <c r="J21" s="98" t="str">
        <f>IF(ISNUMBER(I21),IF(I21&gt;G21+0,"Beat",IF(I21&lt;F21-0,"Miss","In line")),"Pending")</f>
        <v>Beat</v>
      </c>
      <c r="K21" s="4" t="s">
        <v>610</v>
      </c>
      <c r="L21" s="2"/>
    </row>
    <row r="22">
      <c r="A22" s="2"/>
      <c r="B22" s="2" t="s">
        <v>603</v>
      </c>
      <c r="C22" s="94" t="s">
        <v>608</v>
      </c>
      <c r="D22" s="94" t="s">
        <v>609</v>
      </c>
      <c r="E22" s="94" t="s">
        <v>597</v>
      </c>
      <c r="F22" s="28">
        <v>0.12</v>
      </c>
      <c r="G22" s="28">
        <v>0.12</v>
      </c>
      <c r="H22" s="6">
        <f>AVERAGE(F22,G22)</f>
        <v>0.12</v>
      </c>
      <c r="I22" s="29">
        <f>'Income Statement'!H127</f>
        <v>0.12499282639885216</v>
      </c>
      <c r="J22" s="98" t="str">
        <f>IF(ISNUMBER(I22),IF(I22&gt;G22+0.0025,"Beat",IF(I22&lt;F22-0.0025,"Miss","In line")),"Pending")</f>
        <v>Beat</v>
      </c>
      <c r="K22" s="4" t="s">
        <v>611</v>
      </c>
      <c r="L22" s="2"/>
    </row>
    <row r="23">
      <c r="A23" s="2"/>
      <c r="B23" s="2" t="s">
        <v>589</v>
      </c>
      <c r="C23" s="94" t="s">
        <v>608</v>
      </c>
      <c r="D23" s="94" t="s">
        <v>609</v>
      </c>
      <c r="E23" s="94" t="s">
        <v>592</v>
      </c>
      <c r="F23" s="20">
        <v>0.35</v>
      </c>
      <c r="G23" s="20">
        <v>0.38</v>
      </c>
      <c r="H23" s="18">
        <f>AVERAGE(F23,G23)</f>
        <v>0.365</v>
      </c>
      <c r="I23" s="8">
        <f>'Income Statement'!H90</f>
        <v>0.42</v>
      </c>
      <c r="J23" s="98" t="str">
        <f>IF(ISNUMBER(I23),IF(I23&gt;G23+0,"Beat",IF(I23&lt;F23-0,"Miss","In line")),"Pending")</f>
        <v>Beat</v>
      </c>
      <c r="K23" s="4" t="s">
        <v>610</v>
      </c>
      <c r="L23" s="2"/>
    </row>
    <row r="24">
      <c r="A24" s="2"/>
      <c r="B24" s="2" t="s">
        <v>589</v>
      </c>
      <c r="C24" s="94" t="s">
        <v>608</v>
      </c>
      <c r="D24" s="94" t="s">
        <v>612</v>
      </c>
      <c r="E24" s="94" t="s">
        <v>592</v>
      </c>
      <c r="F24" s="20">
        <v>1.4</v>
      </c>
      <c r="G24" s="20">
        <v>1.46</v>
      </c>
      <c r="H24" s="18">
        <f>AVERAGE(F24,G24)</f>
        <v>1.43</v>
      </c>
      <c r="I24" s="18" t="s">
        <v>62</v>
      </c>
      <c r="J24" s="98" t="str">
        <f>IF(ISNUMBER(I24),IF(I24&gt;G24+0,"Beat",IF(I24&lt;F24-0,"Miss","In line")),"Pending")</f>
        <v>Pending</v>
      </c>
      <c r="K24" s="4" t="s">
        <v>613</v>
      </c>
      <c r="L24" s="2"/>
    </row>
    <row r="25">
      <c r="A25" s="2"/>
      <c r="B25" s="2" t="s">
        <v>599</v>
      </c>
      <c r="C25" s="94" t="s">
        <v>614</v>
      </c>
      <c r="D25" s="94" t="s">
        <v>615</v>
      </c>
      <c r="E25" s="94" t="s">
        <v>597</v>
      </c>
      <c r="F25" s="28">
        <v>0.04</v>
      </c>
      <c r="G25" s="28">
        <v>0.05</v>
      </c>
      <c r="H25" s="6">
        <f>AVERAGE(F25,G25)</f>
        <v>0.045</v>
      </c>
      <c r="I25" s="29">
        <f>'Revenue summary'!I51</f>
        <v>0.08022130013831252</v>
      </c>
      <c r="J25" s="98" t="str">
        <f>IF(ISNUMBER(I25),IF(I25&gt;G25+0,"Beat",IF(I25&lt;F25-0,"Miss","In line")),"Pending")</f>
        <v>Beat</v>
      </c>
      <c r="K25" s="4" t="s">
        <v>616</v>
      </c>
      <c r="L25" s="2"/>
    </row>
    <row r="26">
      <c r="A26" s="2"/>
      <c r="B26" s="2" t="s">
        <v>594</v>
      </c>
      <c r="C26" s="94" t="s">
        <v>614</v>
      </c>
      <c r="D26" s="94" t="s">
        <v>615</v>
      </c>
      <c r="E26" s="94" t="s">
        <v>597</v>
      </c>
      <c r="F26" s="28">
        <v>0.03</v>
      </c>
      <c r="G26" s="28">
        <v>0.04</v>
      </c>
      <c r="H26" s="6">
        <f>AVERAGE(F26,G26)</f>
        <v>0.035</v>
      </c>
      <c r="I26" s="29">
        <f>'Revenue summary'!I59</f>
        <v>0.057119653492149425</v>
      </c>
      <c r="J26" s="98" t="str">
        <f>IF(ISNUMBER(I26),IF(I26&gt;G26+0,"Beat",IF(I26&lt;F26-0,"Miss","In line")),"Pending")</f>
        <v>Beat</v>
      </c>
      <c r="K26" s="4" t="s">
        <v>616</v>
      </c>
      <c r="L26" s="2"/>
    </row>
    <row r="27">
      <c r="A27" s="2"/>
      <c r="B27" s="2" t="s">
        <v>603</v>
      </c>
      <c r="C27" s="94" t="s">
        <v>614</v>
      </c>
      <c r="D27" s="94" t="s">
        <v>615</v>
      </c>
      <c r="E27" s="94" t="s">
        <v>597</v>
      </c>
      <c r="F27" s="28">
        <v>0.08</v>
      </c>
      <c r="G27" s="28">
        <v>0.09</v>
      </c>
      <c r="H27" s="6">
        <f>AVERAGE(F27,G27)</f>
        <v>0.08499999999999999</v>
      </c>
      <c r="I27" s="29">
        <f>'Income Statement'!I127</f>
        <v>0.09039692701664535</v>
      </c>
      <c r="J27" s="98" t="str">
        <f>IF(ISNUMBER(I27),IF(I27&gt;G27+0,"Beat",IF(I27&lt;F27-0,"Miss","In line")),"Pending")</f>
        <v>Beat</v>
      </c>
      <c r="K27" s="4" t="s">
        <v>616</v>
      </c>
      <c r="L27" s="2"/>
    </row>
    <row r="28">
      <c r="A28" s="2"/>
      <c r="B28" s="2" t="s">
        <v>589</v>
      </c>
      <c r="C28" s="94" t="s">
        <v>614</v>
      </c>
      <c r="D28" s="94" t="s">
        <v>615</v>
      </c>
      <c r="E28" s="94" t="s">
        <v>592</v>
      </c>
      <c r="F28" s="20">
        <v>0.22</v>
      </c>
      <c r="G28" s="20">
        <v>0.24</v>
      </c>
      <c r="H28" s="18">
        <f>AVERAGE(F28,G28)</f>
        <v>0.22999999999999998</v>
      </c>
      <c r="I28" s="8">
        <f>'Income Statement'!I90</f>
        <v>0.28</v>
      </c>
      <c r="J28" s="98" t="str">
        <f>IF(ISNUMBER(I28),IF(I28&gt;G28+0,"Beat",IF(I28&lt;F28-0,"Miss","In line")),"Pending")</f>
        <v>Beat</v>
      </c>
      <c r="K28" s="4" t="s">
        <v>616</v>
      </c>
      <c r="L28" s="2"/>
    </row>
    <row r="29">
      <c r="A29" s="2"/>
      <c r="B29" s="2" t="s">
        <v>589</v>
      </c>
      <c r="C29" s="94" t="s">
        <v>614</v>
      </c>
      <c r="D29" s="94" t="s">
        <v>612</v>
      </c>
      <c r="E29" s="94" t="s">
        <v>592</v>
      </c>
      <c r="F29" s="20">
        <v>1.42</v>
      </c>
      <c r="G29" s="20">
        <v>1.48</v>
      </c>
      <c r="H29" s="18">
        <f>AVERAGE(F29,G29)</f>
        <v>1.45</v>
      </c>
      <c r="I29" s="18" t="s">
        <v>62</v>
      </c>
      <c r="J29" s="98" t="str">
        <f>IF(ISNUMBER(I29),IF(I29&gt;G29+0,"Beat",IF(I29&lt;F29-0,"Miss","In line")),"Pending")</f>
        <v>Pending</v>
      </c>
      <c r="K29" s="4" t="s">
        <v>617</v>
      </c>
      <c r="L29" s="2"/>
    </row>
    <row r="30">
      <c r="A30" s="2"/>
      <c r="B30" s="2" t="s">
        <v>599</v>
      </c>
      <c r="C30" s="94" t="s">
        <v>618</v>
      </c>
      <c r="D30" s="94" t="s">
        <v>619</v>
      </c>
      <c r="E30" s="94" t="s">
        <v>597</v>
      </c>
      <c r="F30" s="28">
        <v>0.04</v>
      </c>
      <c r="G30" s="28">
        <v>0.05</v>
      </c>
      <c r="H30" s="6">
        <f>AVERAGE(F30,G30)</f>
        <v>0.045</v>
      </c>
      <c r="I30" s="29">
        <f>'Revenue summary'!J51</f>
        <v>0.05888691849164163</v>
      </c>
      <c r="J30" s="98" t="str">
        <f>IF(ISNUMBER(I30),IF(I30&gt;G30+0,"Model above",IF(I30&lt;F30-0,"Model below","Model within")),"Pending")</f>
        <v>Model above</v>
      </c>
      <c r="K30" s="4" t="s">
        <v>620</v>
      </c>
      <c r="L30" s="2"/>
    </row>
    <row r="31">
      <c r="A31" s="2"/>
      <c r="B31" s="2" t="s">
        <v>594</v>
      </c>
      <c r="C31" s="94" t="s">
        <v>618</v>
      </c>
      <c r="D31" s="94" t="s">
        <v>619</v>
      </c>
      <c r="E31" s="94" t="s">
        <v>597</v>
      </c>
      <c r="F31" s="28">
        <v>0.04</v>
      </c>
      <c r="G31" s="28">
        <v>0.05</v>
      </c>
      <c r="H31" s="6">
        <f>AVERAGE(F31,G31)</f>
        <v>0.045</v>
      </c>
      <c r="I31" s="29">
        <f>'Revenue summary'!J59</f>
        <v>0.06181975353720914</v>
      </c>
      <c r="J31" s="98" t="str">
        <f>IF(ISNUMBER(I31),IF(I31&gt;G31+0,"Model above",IF(I31&lt;F31-0,"Model below","Model within")),"Pending")</f>
        <v>Model above</v>
      </c>
      <c r="K31" s="4" t="s">
        <v>621</v>
      </c>
      <c r="L31" s="2"/>
    </row>
    <row r="32">
      <c r="A32" s="2"/>
      <c r="B32" s="2" t="s">
        <v>622</v>
      </c>
      <c r="C32" s="94" t="s">
        <v>618</v>
      </c>
      <c r="D32" s="94" t="s">
        <v>619</v>
      </c>
      <c r="E32" s="94" t="s">
        <v>597</v>
      </c>
      <c r="F32" s="28">
        <v>0.618</v>
      </c>
      <c r="G32" s="28">
        <v>0.618</v>
      </c>
      <c r="H32" s="6">
        <f>AVERAGE(F32,G32)</f>
        <v>0.618</v>
      </c>
      <c r="I32" s="29">
        <f>'Income Statement'!J119</f>
        <v>0.62</v>
      </c>
      <c r="J32" s="98" t="str">
        <f>IF(ISNUMBER(I32),IF(I32&gt;G32+0.0025,"Model above",IF(I32&lt;F32-0.0025,"Model below","Model within")),"Pending")</f>
        <v>Model within</v>
      </c>
      <c r="K32" s="4" t="s">
        <v>623</v>
      </c>
      <c r="L32" s="2"/>
    </row>
    <row r="33">
      <c r="A33" s="2"/>
      <c r="B33" s="2" t="s">
        <v>603</v>
      </c>
      <c r="C33" s="94" t="s">
        <v>618</v>
      </c>
      <c r="D33" s="94" t="s">
        <v>619</v>
      </c>
      <c r="E33" s="94" t="s">
        <v>597</v>
      </c>
      <c r="F33" s="28">
        <v>0.119</v>
      </c>
      <c r="G33" s="28">
        <v>0.119</v>
      </c>
      <c r="H33" s="6">
        <f>AVERAGE(F33,G33)</f>
        <v>0.119</v>
      </c>
      <c r="I33" s="29">
        <f>'Income Statement'!J127</f>
        <v>0.12103105266019917</v>
      </c>
      <c r="J33" s="98" t="str">
        <f>IF(ISNUMBER(I33),IF(I33&gt;G33+0.0025,"Model above",IF(I33&lt;F33-0.0025,"Model below","Model within")),"Pending")</f>
        <v>Model within</v>
      </c>
      <c r="K33" s="4" t="s">
        <v>624</v>
      </c>
      <c r="L33" s="2"/>
    </row>
    <row r="34">
      <c r="A34" s="2"/>
      <c r="B34" s="2" t="s">
        <v>589</v>
      </c>
      <c r="C34" s="94" t="s">
        <v>618</v>
      </c>
      <c r="D34" s="94" t="s">
        <v>619</v>
      </c>
      <c r="E34" s="94" t="s">
        <v>592</v>
      </c>
      <c r="F34" s="20">
        <v>0.34</v>
      </c>
      <c r="G34" s="20">
        <v>0.36</v>
      </c>
      <c r="H34" s="18">
        <f>AVERAGE(F34,G34)</f>
        <v>0.35</v>
      </c>
      <c r="I34" s="8">
        <f>'Income Statement'!J89</f>
        <v>0.37269719592190864</v>
      </c>
      <c r="J34" s="98" t="str">
        <f>IF(ISNUMBER(I34),IF(I34&gt;G34+0,"Model above",IF(I34&lt;F34-0,"Model below","Model within")),"Pending")</f>
        <v>Model above</v>
      </c>
      <c r="K34" s="4" t="s">
        <v>625</v>
      </c>
      <c r="L34" s="2"/>
    </row>
    <row r="35">
      <c r="A35" s="2"/>
      <c r="B35" s="2" t="s">
        <v>599</v>
      </c>
      <c r="C35" s="94" t="s">
        <v>618</v>
      </c>
      <c r="D35" s="94" t="s">
        <v>612</v>
      </c>
      <c r="E35" s="94" t="s">
        <v>597</v>
      </c>
      <c r="F35" s="28">
        <v>0.07</v>
      </c>
      <c r="G35" s="28">
        <v>0.075</v>
      </c>
      <c r="H35" s="6">
        <f>AVERAGE(F35,G35)</f>
        <v>0.07250000000000001</v>
      </c>
      <c r="I35" s="6" t="s">
        <v>62</v>
      </c>
      <c r="J35" s="98" t="str">
        <f>IF(ISNUMBER(I35),IF(I35&gt;G35+0,"Beat",IF(I35&lt;F35-0,"Miss","In line")),"Pending")</f>
        <v>Pending</v>
      </c>
      <c r="K35" s="4" t="s">
        <v>626</v>
      </c>
      <c r="L35" s="2"/>
    </row>
    <row r="36">
      <c r="A36" s="2"/>
      <c r="B36" s="2" t="s">
        <v>594</v>
      </c>
      <c r="C36" s="94" t="s">
        <v>618</v>
      </c>
      <c r="D36" s="94" t="s">
        <v>612</v>
      </c>
      <c r="E36" s="94" t="s">
        <v>597</v>
      </c>
      <c r="F36" s="28">
        <v>0.055</v>
      </c>
      <c r="G36" s="28">
        <v>0.06</v>
      </c>
      <c r="H36" s="6">
        <f>AVERAGE(F36,G36)</f>
        <v>0.057499999999999996</v>
      </c>
      <c r="I36" s="6" t="s">
        <v>62</v>
      </c>
      <c r="J36" s="98" t="str">
        <f>IF(ISNUMBER(I36),IF(I36&gt;G36+0,"Beat",IF(I36&lt;F36-0,"Miss","In line")),"Pending")</f>
        <v>Pending</v>
      </c>
      <c r="K36" s="4" t="s">
        <v>626</v>
      </c>
      <c r="L36" s="2"/>
    </row>
    <row r="37">
      <c r="A37" s="2"/>
      <c r="B37" s="2" t="s">
        <v>603</v>
      </c>
      <c r="C37" s="94" t="s">
        <v>618</v>
      </c>
      <c r="D37" s="94" t="s">
        <v>612</v>
      </c>
      <c r="E37" s="94" t="s">
        <v>597</v>
      </c>
      <c r="F37" s="28">
        <v>0.12</v>
      </c>
      <c r="G37" s="28">
        <v>0.12</v>
      </c>
      <c r="H37" s="6">
        <f>AVERAGE(F37,G37)</f>
        <v>0.12</v>
      </c>
      <c r="I37" s="6" t="s">
        <v>62</v>
      </c>
      <c r="J37" s="98" t="str">
        <f>IF(ISNUMBER(I37),IF(I37&gt;G37+0.0025,"Beat",IF(I37&lt;F37-0.0025,"Miss","In line")),"Pending")</f>
        <v>Pending</v>
      </c>
      <c r="K37" s="4" t="s">
        <v>627</v>
      </c>
      <c r="L37" s="2"/>
    </row>
    <row r="38">
      <c r="A38" s="2"/>
      <c r="B38" s="2" t="s">
        <v>628</v>
      </c>
      <c r="C38" s="94" t="s">
        <v>618</v>
      </c>
      <c r="D38" s="94" t="s">
        <v>612</v>
      </c>
      <c r="E38" s="94" t="s">
        <v>597</v>
      </c>
      <c r="F38" s="28">
        <v>0.23</v>
      </c>
      <c r="G38" s="28">
        <v>0.23</v>
      </c>
      <c r="H38" s="6">
        <f>AVERAGE(F38,G38)</f>
        <v>0.23</v>
      </c>
      <c r="I38" s="6" t="s">
        <v>62</v>
      </c>
      <c r="J38" s="98" t="str">
        <f>IF(ISNUMBER(I38),IF(I38&gt;G38+0.0025,"Beat",IF(I38&lt;F38-0.0025,"Miss","In line")),"Pending")</f>
        <v>Pending</v>
      </c>
      <c r="K38" s="4" t="s">
        <v>627</v>
      </c>
      <c r="L38" s="2"/>
    </row>
    <row r="39">
      <c r="A39" s="2"/>
      <c r="B39" s="2" t="s">
        <v>589</v>
      </c>
      <c r="C39" s="94" t="s">
        <v>618</v>
      </c>
      <c r="D39" s="94" t="s">
        <v>612</v>
      </c>
      <c r="E39" s="94" t="s">
        <v>592</v>
      </c>
      <c r="F39" s="20">
        <v>1.46</v>
      </c>
      <c r="G39" s="20">
        <v>1.52</v>
      </c>
      <c r="H39" s="18">
        <f>AVERAGE(F39,G39)</f>
        <v>1.49</v>
      </c>
      <c r="I39" s="18" t="s">
        <v>62</v>
      </c>
      <c r="J39" s="98" t="str">
        <f>IF(ISNUMBER(I39),IF(I39&gt;G39+0,"Beat",IF(I39&lt;F39-0,"Miss","In line")),"Pending")</f>
        <v>Pending</v>
      </c>
      <c r="K39" s="4" t="s">
        <v>626</v>
      </c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2"/>
      <c r="B41" s="43" t="s">
        <v>629</v>
      </c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A42" s="2"/>
      <c r="B42" s="2" t="s">
        <v>630</v>
      </c>
      <c r="C42" s="16">
        <f>'Income Statement'!E11*(1+F30)</f>
        <v>1605.1360000000002</v>
      </c>
      <c r="D42" s="7"/>
      <c r="E42" s="7"/>
      <c r="F42" s="7"/>
      <c r="G42" s="7"/>
      <c r="H42" s="7"/>
      <c r="I42" s="7"/>
      <c r="J42" s="7"/>
      <c r="K42" s="2"/>
      <c r="L42" s="2"/>
    </row>
    <row r="43">
      <c r="A43" s="2"/>
      <c r="B43" s="2" t="s">
        <v>631</v>
      </c>
      <c r="C43" s="16">
        <f>'Income Statement'!E11*(1+G30)</f>
        <v>1620.5700000000002</v>
      </c>
      <c r="D43" s="7"/>
      <c r="E43" s="7"/>
      <c r="F43" s="7"/>
      <c r="G43" s="7"/>
      <c r="H43" s="7"/>
      <c r="I43" s="7"/>
      <c r="J43" s="7"/>
      <c r="K43" s="2"/>
      <c r="L43" s="2"/>
    </row>
    <row r="44">
      <c r="A44" s="2"/>
      <c r="B44" s="2" t="s">
        <v>632</v>
      </c>
      <c r="C44" s="7">
        <f>AVERAGE(C42,C43)</f>
        <v>1612.853</v>
      </c>
      <c r="D44" s="7"/>
      <c r="E44" s="7"/>
      <c r="F44" s="7"/>
      <c r="G44" s="7"/>
      <c r="H44" s="7"/>
      <c r="I44" s="7"/>
      <c r="J44" s="7"/>
      <c r="K44" s="2"/>
      <c r="L44" s="2"/>
    </row>
    <row r="45">
      <c r="A45" s="2"/>
      <c r="B45" s="2" t="s">
        <v>633</v>
      </c>
      <c r="C45" s="18">
        <f>H34</f>
        <v>0.35</v>
      </c>
      <c r="D45" s="18"/>
      <c r="E45" s="18"/>
      <c r="F45" s="18"/>
      <c r="G45" s="18"/>
      <c r="H45" s="18"/>
      <c r="I45" s="18"/>
      <c r="J45" s="18"/>
      <c r="K45" s="2"/>
      <c r="L45" s="2"/>
    </row>
    <row r="46">
      <c r="A46" s="2"/>
      <c r="B46" s="2" t="s">
        <v>634</v>
      </c>
      <c r="C46" s="16">
        <f>C45*'Share Count'!J25</f>
        <v>135.7990588340909</v>
      </c>
      <c r="D46" s="7"/>
      <c r="E46" s="7"/>
      <c r="F46" s="7"/>
      <c r="G46" s="7"/>
      <c r="H46" s="7"/>
      <c r="I46" s="7"/>
      <c r="J46" s="7"/>
      <c r="K46" s="4" t="s">
        <v>635</v>
      </c>
      <c r="L46" s="2"/>
    </row>
    <row r="47">
      <c r="A47" s="2"/>
      <c r="B47" s="2" t="s">
        <v>636</v>
      </c>
      <c r="C47" s="18">
        <f>AVERAGE(I12-H12,I17-H17,I23-H23,I28-H28)</f>
        <v>0.04875</v>
      </c>
      <c r="D47" s="18"/>
      <c r="E47" s="18"/>
      <c r="F47" s="18"/>
      <c r="G47" s="18"/>
      <c r="H47" s="18"/>
      <c r="I47" s="18"/>
      <c r="J47" s="18"/>
      <c r="K47" s="4" t="s">
        <v>637</v>
      </c>
      <c r="L47" s="2"/>
    </row>
    <row r="48">
      <c r="A48" s="2"/>
      <c r="B48" s="2" t="s">
        <v>638</v>
      </c>
      <c r="C48" s="8">
        <f>Inputs!C45</f>
        <v>0.34</v>
      </c>
      <c r="D48" s="8">
        <f>Inputs!C46</f>
        <v>0.36</v>
      </c>
      <c r="E48" s="18"/>
      <c r="F48" s="18"/>
      <c r="G48" s="18"/>
      <c r="H48" s="18"/>
      <c r="I48" s="18"/>
      <c r="J48" s="18"/>
      <c r="K48" s="4" t="s">
        <v>639</v>
      </c>
      <c r="L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L53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640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95" t="s">
        <v>578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641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/>
      <c r="B11" s="50" t="s">
        <v>642</v>
      </c>
      <c r="C11" s="24" t="s">
        <v>643</v>
      </c>
      <c r="D11" s="24" t="s">
        <v>644</v>
      </c>
      <c r="E11" s="24" t="s">
        <v>645</v>
      </c>
      <c r="F11" s="99" t="s">
        <v>646</v>
      </c>
      <c r="G11" s="24"/>
      <c r="H11" s="99" t="s">
        <v>647</v>
      </c>
      <c r="I11" s="24"/>
      <c r="J11" s="24"/>
      <c r="K11" s="50" t="s">
        <v>648</v>
      </c>
      <c r="L11" s="2"/>
    </row>
    <row r="12">
      <c r="A12" s="2"/>
      <c r="B12" s="2" t="s">
        <v>649</v>
      </c>
      <c r="C12" s="94" t="s">
        <v>650</v>
      </c>
      <c r="D12" s="94" t="s">
        <v>651</v>
      </c>
      <c r="E12" s="94" t="s">
        <v>652</v>
      </c>
      <c r="F12" s="1" t="s">
        <v>653</v>
      </c>
      <c r="G12" s="1"/>
      <c r="H12" s="1" t="s">
        <v>654</v>
      </c>
      <c r="I12" s="1"/>
      <c r="J12" s="1"/>
      <c r="K12" s="4" t="s">
        <v>655</v>
      </c>
      <c r="L12" s="2"/>
    </row>
    <row r="13">
      <c r="A13" s="2"/>
      <c r="B13" s="2" t="s">
        <v>656</v>
      </c>
      <c r="C13" s="94" t="s">
        <v>657</v>
      </c>
      <c r="D13" s="94" t="s">
        <v>651</v>
      </c>
      <c r="E13" s="94" t="s">
        <v>652</v>
      </c>
      <c r="F13" s="1" t="s">
        <v>653</v>
      </c>
      <c r="G13" s="1"/>
      <c r="H13" s="1" t="s">
        <v>658</v>
      </c>
      <c r="I13" s="1"/>
      <c r="J13" s="1"/>
      <c r="K13" s="4" t="s">
        <v>659</v>
      </c>
      <c r="L13" s="2"/>
    </row>
    <row r="14">
      <c r="A14" s="2"/>
      <c r="B14" s="2" t="s">
        <v>660</v>
      </c>
      <c r="C14" s="94" t="s">
        <v>626</v>
      </c>
      <c r="D14" s="94" t="s">
        <v>618</v>
      </c>
      <c r="E14" s="94" t="s">
        <v>652</v>
      </c>
      <c r="F14" s="1" t="s">
        <v>661</v>
      </c>
      <c r="G14" s="1"/>
      <c r="H14" s="1" t="s">
        <v>662</v>
      </c>
      <c r="I14" s="1"/>
      <c r="J14" s="1"/>
      <c r="K14" s="4" t="s">
        <v>663</v>
      </c>
      <c r="L14" s="2"/>
    </row>
    <row r="15">
      <c r="A15" s="2"/>
      <c r="B15" s="2" t="s">
        <v>664</v>
      </c>
      <c r="C15" s="94" t="s">
        <v>665</v>
      </c>
      <c r="D15" s="94" t="s">
        <v>618</v>
      </c>
      <c r="E15" s="94" t="s">
        <v>652</v>
      </c>
      <c r="F15" s="1" t="s">
        <v>661</v>
      </c>
      <c r="G15" s="1"/>
      <c r="H15" s="1" t="s">
        <v>666</v>
      </c>
      <c r="I15" s="1"/>
      <c r="J15" s="1"/>
      <c r="K15" s="4" t="s">
        <v>667</v>
      </c>
      <c r="L15" s="2"/>
    </row>
    <row r="16">
      <c r="A16" s="2"/>
      <c r="B16" s="2" t="s">
        <v>668</v>
      </c>
      <c r="C16" s="94" t="s">
        <v>669</v>
      </c>
      <c r="D16" s="94" t="s">
        <v>614</v>
      </c>
      <c r="E16" s="94" t="s">
        <v>652</v>
      </c>
      <c r="F16" s="1" t="s">
        <v>661</v>
      </c>
      <c r="G16" s="1"/>
      <c r="H16" s="1" t="s">
        <v>662</v>
      </c>
      <c r="I16" s="1"/>
      <c r="J16" s="1"/>
      <c r="K16" s="4" t="s">
        <v>670</v>
      </c>
      <c r="L16" s="2"/>
    </row>
    <row r="17">
      <c r="A17" s="2"/>
      <c r="B17" s="2" t="s">
        <v>671</v>
      </c>
      <c r="C17" s="94" t="s">
        <v>672</v>
      </c>
      <c r="D17" s="94" t="s">
        <v>614</v>
      </c>
      <c r="E17" s="94" t="s">
        <v>652</v>
      </c>
      <c r="F17" s="1" t="s">
        <v>661</v>
      </c>
      <c r="G17" s="1"/>
      <c r="H17" s="1" t="s">
        <v>673</v>
      </c>
      <c r="I17" s="1"/>
      <c r="J17" s="1"/>
      <c r="K17" s="4" t="s">
        <v>674</v>
      </c>
      <c r="L17" s="2"/>
    </row>
    <row r="18">
      <c r="A18" s="2"/>
      <c r="B18" s="2" t="s">
        <v>675</v>
      </c>
      <c r="C18" s="94" t="s">
        <v>676</v>
      </c>
      <c r="D18" s="94" t="s">
        <v>608</v>
      </c>
      <c r="E18" s="94" t="s">
        <v>652</v>
      </c>
      <c r="F18" s="1" t="s">
        <v>661</v>
      </c>
      <c r="G18" s="1"/>
      <c r="H18" s="1" t="s">
        <v>677</v>
      </c>
      <c r="I18" s="1"/>
      <c r="J18" s="1"/>
      <c r="K18" s="4" t="s">
        <v>678</v>
      </c>
      <c r="L18" s="2"/>
    </row>
    <row r="19">
      <c r="A19" s="2"/>
      <c r="B19" s="2" t="s">
        <v>679</v>
      </c>
      <c r="C19" s="94" t="s">
        <v>680</v>
      </c>
      <c r="D19" s="94" t="s">
        <v>608</v>
      </c>
      <c r="E19" s="94" t="s">
        <v>652</v>
      </c>
      <c r="F19" s="1" t="s">
        <v>661</v>
      </c>
      <c r="G19" s="1"/>
      <c r="H19" s="1" t="s">
        <v>681</v>
      </c>
      <c r="I19" s="1"/>
      <c r="J19" s="1"/>
      <c r="K19" s="4" t="s">
        <v>682</v>
      </c>
      <c r="L19" s="2"/>
    </row>
    <row r="20">
      <c r="A20" s="2"/>
      <c r="B20" s="2" t="s">
        <v>683</v>
      </c>
      <c r="C20" s="94" t="s">
        <v>607</v>
      </c>
      <c r="D20" s="94" t="s">
        <v>595</v>
      </c>
      <c r="E20" s="94" t="s">
        <v>652</v>
      </c>
      <c r="F20" s="1" t="s">
        <v>661</v>
      </c>
      <c r="G20" s="1"/>
      <c r="H20" s="1" t="s">
        <v>684</v>
      </c>
      <c r="I20" s="1"/>
      <c r="J20" s="1"/>
      <c r="K20" s="4" t="s">
        <v>685</v>
      </c>
      <c r="L20" s="2"/>
    </row>
    <row r="21">
      <c r="A21" s="2"/>
      <c r="B21" s="2" t="s">
        <v>686</v>
      </c>
      <c r="C21" s="94" t="s">
        <v>687</v>
      </c>
      <c r="D21" s="94" t="s">
        <v>595</v>
      </c>
      <c r="E21" s="94" t="s">
        <v>652</v>
      </c>
      <c r="F21" s="1" t="s">
        <v>661</v>
      </c>
      <c r="G21" s="1"/>
      <c r="H21" s="1" t="s">
        <v>688</v>
      </c>
      <c r="I21" s="1"/>
      <c r="J21" s="1"/>
      <c r="K21" s="4" t="s">
        <v>689</v>
      </c>
      <c r="L21" s="2"/>
    </row>
    <row r="22">
      <c r="A22" s="2"/>
      <c r="B22" s="2" t="s">
        <v>690</v>
      </c>
      <c r="C22" s="94" t="s">
        <v>691</v>
      </c>
      <c r="D22" s="94" t="s">
        <v>590</v>
      </c>
      <c r="E22" s="94" t="s">
        <v>652</v>
      </c>
      <c r="F22" s="1" t="s">
        <v>661</v>
      </c>
      <c r="G22" s="1"/>
      <c r="H22" s="1" t="s">
        <v>692</v>
      </c>
      <c r="I22" s="1"/>
      <c r="J22" s="1"/>
      <c r="K22" s="4" t="s">
        <v>693</v>
      </c>
      <c r="L22" s="2"/>
    </row>
    <row r="23">
      <c r="A23" s="2"/>
      <c r="B23" s="2" t="s">
        <v>694</v>
      </c>
      <c r="C23" s="94" t="s">
        <v>695</v>
      </c>
      <c r="D23" s="94" t="s">
        <v>590</v>
      </c>
      <c r="E23" s="94" t="s">
        <v>652</v>
      </c>
      <c r="F23" s="1" t="s">
        <v>661</v>
      </c>
      <c r="G23" s="1"/>
      <c r="H23" s="1" t="s">
        <v>696</v>
      </c>
      <c r="I23" s="1"/>
      <c r="J23" s="1"/>
      <c r="K23" s="4" t="s">
        <v>697</v>
      </c>
      <c r="L23" s="2"/>
    </row>
    <row r="24">
      <c r="A24" s="2"/>
      <c r="B24" s="2" t="s">
        <v>698</v>
      </c>
      <c r="C24" s="94" t="s">
        <v>699</v>
      </c>
      <c r="D24" s="94" t="s">
        <v>700</v>
      </c>
      <c r="E24" s="94" t="s">
        <v>652</v>
      </c>
      <c r="F24" s="1" t="s">
        <v>661</v>
      </c>
      <c r="G24" s="1"/>
      <c r="H24" s="1" t="s">
        <v>701</v>
      </c>
      <c r="I24" s="1"/>
      <c r="J24" s="1"/>
      <c r="K24" s="4" t="s">
        <v>702</v>
      </c>
      <c r="L24" s="2"/>
    </row>
    <row r="25">
      <c r="A25" s="2"/>
      <c r="B25" s="2" t="s">
        <v>703</v>
      </c>
      <c r="C25" s="94" t="s">
        <v>704</v>
      </c>
      <c r="D25" s="94" t="s">
        <v>700</v>
      </c>
      <c r="E25" s="94" t="s">
        <v>652</v>
      </c>
      <c r="F25" s="1" t="s">
        <v>661</v>
      </c>
      <c r="G25" s="1"/>
      <c r="H25" s="1" t="s">
        <v>705</v>
      </c>
      <c r="I25" s="1"/>
      <c r="J25" s="1"/>
      <c r="K25" s="4" t="s">
        <v>706</v>
      </c>
      <c r="L25" s="2"/>
    </row>
    <row r="26">
      <c r="A26" s="2"/>
      <c r="B26" s="2" t="s">
        <v>707</v>
      </c>
      <c r="C26" s="94" t="s">
        <v>621</v>
      </c>
      <c r="D26" s="94" t="s">
        <v>618</v>
      </c>
      <c r="E26" s="94" t="s">
        <v>652</v>
      </c>
      <c r="F26" s="1" t="s">
        <v>708</v>
      </c>
      <c r="G26" s="1"/>
      <c r="H26" s="1" t="s">
        <v>709</v>
      </c>
      <c r="I26" s="1"/>
      <c r="J26" s="1"/>
      <c r="K26" s="4" t="s">
        <v>710</v>
      </c>
      <c r="L26" s="2"/>
    </row>
    <row r="27">
      <c r="A27" s="2"/>
      <c r="B27" s="2" t="s">
        <v>711</v>
      </c>
      <c r="C27" s="94" t="s">
        <v>616</v>
      </c>
      <c r="D27" s="94" t="s">
        <v>712</v>
      </c>
      <c r="E27" s="94" t="s">
        <v>652</v>
      </c>
      <c r="F27" s="1" t="s">
        <v>713</v>
      </c>
      <c r="G27" s="1"/>
      <c r="H27" s="1" t="s">
        <v>714</v>
      </c>
      <c r="I27" s="1"/>
      <c r="J27" s="1"/>
      <c r="K27" s="4" t="s">
        <v>715</v>
      </c>
      <c r="L27" s="2"/>
    </row>
    <row r="28">
      <c r="A28" s="2"/>
      <c r="B28" s="2" t="s">
        <v>716</v>
      </c>
      <c r="C28" s="94" t="s">
        <v>610</v>
      </c>
      <c r="D28" s="94" t="s">
        <v>608</v>
      </c>
      <c r="E28" s="94" t="s">
        <v>652</v>
      </c>
      <c r="F28" s="1" t="s">
        <v>713</v>
      </c>
      <c r="G28" s="1"/>
      <c r="H28" s="1" t="s">
        <v>717</v>
      </c>
      <c r="I28" s="1"/>
      <c r="J28" s="1"/>
      <c r="K28" s="4" t="s">
        <v>718</v>
      </c>
      <c r="L28" s="2"/>
    </row>
    <row r="29">
      <c r="A29" s="2"/>
      <c r="B29" s="2" t="s">
        <v>719</v>
      </c>
      <c r="C29" s="94" t="s">
        <v>604</v>
      </c>
      <c r="D29" s="94" t="s">
        <v>720</v>
      </c>
      <c r="E29" s="94" t="s">
        <v>652</v>
      </c>
      <c r="F29" s="1" t="s">
        <v>713</v>
      </c>
      <c r="G29" s="1"/>
      <c r="H29" s="1" t="s">
        <v>721</v>
      </c>
      <c r="I29" s="1"/>
      <c r="J29" s="1"/>
      <c r="K29" s="4" t="s">
        <v>722</v>
      </c>
      <c r="L29" s="2"/>
    </row>
    <row r="30">
      <c r="A30" s="2"/>
      <c r="B30" s="2" t="s">
        <v>723</v>
      </c>
      <c r="C30" s="94" t="s">
        <v>724</v>
      </c>
      <c r="D30" s="94" t="s">
        <v>590</v>
      </c>
      <c r="E30" s="94" t="s">
        <v>652</v>
      </c>
      <c r="F30" s="1" t="s">
        <v>725</v>
      </c>
      <c r="G30" s="1"/>
      <c r="H30" s="1" t="s">
        <v>726</v>
      </c>
      <c r="I30" s="1"/>
      <c r="J30" s="1"/>
      <c r="K30" s="4" t="s">
        <v>727</v>
      </c>
      <c r="L30" s="2"/>
    </row>
    <row r="31">
      <c r="A31" s="2"/>
      <c r="B31" s="2" t="s">
        <v>728</v>
      </c>
      <c r="C31" s="94" t="s">
        <v>729</v>
      </c>
      <c r="D31" s="94" t="s">
        <v>730</v>
      </c>
      <c r="E31" s="94" t="s">
        <v>652</v>
      </c>
      <c r="F31" s="1" t="s">
        <v>661</v>
      </c>
      <c r="G31" s="1"/>
      <c r="H31" s="1" t="s">
        <v>731</v>
      </c>
      <c r="I31" s="1"/>
      <c r="J31" s="1"/>
      <c r="K31" s="4" t="s">
        <v>732</v>
      </c>
      <c r="L31" s="2"/>
    </row>
    <row r="32">
      <c r="A32" s="2"/>
      <c r="B32" s="2" t="s">
        <v>733</v>
      </c>
      <c r="C32" s="94" t="s">
        <v>87</v>
      </c>
      <c r="D32" s="94" t="s">
        <v>734</v>
      </c>
      <c r="E32" s="94" t="s">
        <v>652</v>
      </c>
      <c r="F32" s="1" t="s">
        <v>735</v>
      </c>
      <c r="G32" s="1"/>
      <c r="H32" s="1" t="s">
        <v>736</v>
      </c>
      <c r="I32" s="1"/>
      <c r="J32" s="1"/>
      <c r="K32" s="4" t="s">
        <v>737</v>
      </c>
      <c r="L32" s="2"/>
    </row>
    <row r="33">
      <c r="A33" s="2"/>
      <c r="B33" s="2" t="s">
        <v>738</v>
      </c>
      <c r="C33" s="94" t="s">
        <v>89</v>
      </c>
      <c r="D33" s="94" t="s">
        <v>739</v>
      </c>
      <c r="E33" s="94" t="s">
        <v>652</v>
      </c>
      <c r="F33" s="1" t="s">
        <v>740</v>
      </c>
      <c r="G33" s="1"/>
      <c r="H33" s="1" t="s">
        <v>741</v>
      </c>
      <c r="I33" s="1"/>
      <c r="J33" s="1"/>
      <c r="K33" s="4" t="s">
        <v>742</v>
      </c>
      <c r="L33" s="2"/>
    </row>
    <row r="34">
      <c r="A34" s="2"/>
      <c r="B34" s="2" t="s">
        <v>743</v>
      </c>
      <c r="C34" s="94" t="s">
        <v>744</v>
      </c>
      <c r="D34" s="94" t="s">
        <v>745</v>
      </c>
      <c r="E34" s="94" t="s">
        <v>652</v>
      </c>
      <c r="F34" s="1" t="s">
        <v>740</v>
      </c>
      <c r="G34" s="1"/>
      <c r="H34" s="1" t="s">
        <v>746</v>
      </c>
      <c r="I34" s="1"/>
      <c r="J34" s="1"/>
      <c r="K34" s="4" t="s">
        <v>747</v>
      </c>
      <c r="L34" s="2"/>
    </row>
    <row r="35">
      <c r="A35" s="2"/>
      <c r="B35" s="2" t="s">
        <v>748</v>
      </c>
      <c r="C35" s="94" t="s">
        <v>749</v>
      </c>
      <c r="D35" s="94" t="s">
        <v>739</v>
      </c>
      <c r="E35" s="94" t="s">
        <v>652</v>
      </c>
      <c r="F35" s="1" t="s">
        <v>750</v>
      </c>
      <c r="G35" s="1"/>
      <c r="H35" s="1" t="s">
        <v>751</v>
      </c>
      <c r="I35" s="1"/>
      <c r="J35" s="1"/>
      <c r="K35" s="4" t="s">
        <v>752</v>
      </c>
      <c r="L35" s="2"/>
    </row>
    <row r="36">
      <c r="A36" s="2"/>
      <c r="B36" s="2" t="s">
        <v>753</v>
      </c>
      <c r="C36" s="94" t="s">
        <v>754</v>
      </c>
      <c r="D36" s="94" t="s">
        <v>755</v>
      </c>
      <c r="E36" s="94" t="s">
        <v>652</v>
      </c>
      <c r="F36" s="1" t="s">
        <v>756</v>
      </c>
      <c r="G36" s="1"/>
      <c r="H36" s="1" t="s">
        <v>757</v>
      </c>
      <c r="I36" s="1"/>
      <c r="J36" s="1"/>
      <c r="K36" s="4" t="s">
        <v>758</v>
      </c>
      <c r="L36" s="2"/>
    </row>
    <row r="37">
      <c r="A37" s="2"/>
      <c r="B37" s="2" t="s">
        <v>759</v>
      </c>
      <c r="C37" s="94" t="s">
        <v>760</v>
      </c>
      <c r="D37" s="94" t="s">
        <v>761</v>
      </c>
      <c r="E37" s="94" t="s">
        <v>652</v>
      </c>
      <c r="F37" s="1" t="s">
        <v>762</v>
      </c>
      <c r="G37" s="1"/>
      <c r="H37" s="1" t="s">
        <v>763</v>
      </c>
      <c r="I37" s="1"/>
      <c r="J37" s="1"/>
      <c r="K37" s="4" t="s">
        <v>764</v>
      </c>
      <c r="L37" s="2"/>
    </row>
    <row r="38">
      <c r="A38" s="2"/>
      <c r="B38" s="2" t="s">
        <v>765</v>
      </c>
      <c r="C38" s="94" t="s">
        <v>766</v>
      </c>
      <c r="D38" s="94" t="s">
        <v>767</v>
      </c>
      <c r="E38" s="94" t="s">
        <v>652</v>
      </c>
      <c r="F38" s="1" t="s">
        <v>768</v>
      </c>
      <c r="G38" s="1"/>
      <c r="H38" s="1" t="s">
        <v>769</v>
      </c>
      <c r="I38" s="1"/>
      <c r="J38" s="1"/>
      <c r="K38" s="4" t="s">
        <v>770</v>
      </c>
      <c r="L38" s="2"/>
    </row>
    <row r="39">
      <c r="A39" s="2"/>
      <c r="B39" s="2" t="s">
        <v>771</v>
      </c>
      <c r="C39" s="94" t="s">
        <v>772</v>
      </c>
      <c r="D39" s="94" t="s">
        <v>773</v>
      </c>
      <c r="E39" s="94" t="s">
        <v>652</v>
      </c>
      <c r="F39" s="1" t="s">
        <v>774</v>
      </c>
      <c r="G39" s="1"/>
      <c r="H39" s="1" t="s">
        <v>775</v>
      </c>
      <c r="I39" s="1"/>
      <c r="J39" s="1"/>
      <c r="K39" s="4" t="s">
        <v>776</v>
      </c>
      <c r="L39" s="2"/>
    </row>
    <row r="40">
      <c r="A40" s="2"/>
      <c r="B40" s="2" t="s">
        <v>777</v>
      </c>
      <c r="C40" s="94" t="s">
        <v>778</v>
      </c>
      <c r="D40" s="94" t="s">
        <v>779</v>
      </c>
      <c r="E40" s="94" t="s">
        <v>652</v>
      </c>
      <c r="F40" s="1" t="s">
        <v>780</v>
      </c>
      <c r="G40" s="1"/>
      <c r="H40" s="1" t="s">
        <v>781</v>
      </c>
      <c r="I40" s="1"/>
      <c r="J40" s="1"/>
      <c r="K40" s="4" t="s">
        <v>782</v>
      </c>
      <c r="L40" s="2"/>
    </row>
    <row r="41">
      <c r="A41" s="2"/>
      <c r="B41" s="2" t="s">
        <v>783</v>
      </c>
      <c r="C41" s="94" t="s">
        <v>784</v>
      </c>
      <c r="D41" s="94" t="s">
        <v>755</v>
      </c>
      <c r="E41" s="94" t="s">
        <v>652</v>
      </c>
      <c r="F41" s="1" t="s">
        <v>708</v>
      </c>
      <c r="G41" s="1"/>
      <c r="H41" s="1" t="s">
        <v>785</v>
      </c>
      <c r="I41" s="1"/>
      <c r="J41" s="1"/>
      <c r="K41" s="4" t="s">
        <v>786</v>
      </c>
      <c r="L41" s="2"/>
    </row>
    <row r="42">
      <c r="A42" s="2"/>
      <c r="B42" s="2" t="s">
        <v>787</v>
      </c>
      <c r="C42" s="94" t="s">
        <v>788</v>
      </c>
      <c r="D42" s="94" t="s">
        <v>745</v>
      </c>
      <c r="E42" s="94" t="s">
        <v>652</v>
      </c>
      <c r="F42" s="1" t="s">
        <v>19</v>
      </c>
      <c r="G42" s="1"/>
      <c r="H42" s="1" t="s">
        <v>789</v>
      </c>
      <c r="I42" s="1"/>
      <c r="J42" s="1"/>
      <c r="K42" s="4" t="s">
        <v>790</v>
      </c>
      <c r="L42" s="2"/>
    </row>
    <row r="43">
      <c r="A43" s="2"/>
      <c r="B43" s="2" t="s">
        <v>791</v>
      </c>
      <c r="C43" s="94" t="s">
        <v>792</v>
      </c>
      <c r="D43" s="94" t="s">
        <v>793</v>
      </c>
      <c r="E43" s="94" t="s">
        <v>652</v>
      </c>
      <c r="F43" s="1" t="s">
        <v>794</v>
      </c>
      <c r="G43" s="1"/>
      <c r="H43" s="1" t="s">
        <v>795</v>
      </c>
      <c r="I43" s="1"/>
      <c r="J43" s="1"/>
      <c r="K43" s="4" t="s">
        <v>796</v>
      </c>
      <c r="L43" s="2"/>
    </row>
    <row r="44">
      <c r="A44" s="2"/>
      <c r="B44" s="2" t="s">
        <v>797</v>
      </c>
      <c r="C44" s="94" t="s">
        <v>798</v>
      </c>
      <c r="D44" s="94" t="s">
        <v>799</v>
      </c>
      <c r="E44" s="94" t="s">
        <v>652</v>
      </c>
      <c r="F44" s="1" t="s">
        <v>800</v>
      </c>
      <c r="G44" s="1"/>
      <c r="H44" s="1" t="s">
        <v>801</v>
      </c>
      <c r="I44" s="1"/>
      <c r="J44" s="1"/>
      <c r="K44" s="4" t="s">
        <v>802</v>
      </c>
      <c r="L44" s="2"/>
    </row>
    <row r="45">
      <c r="A45" s="2"/>
      <c r="B45" s="2" t="s">
        <v>803</v>
      </c>
      <c r="C45" s="94" t="s">
        <v>804</v>
      </c>
      <c r="D45" s="94" t="s">
        <v>805</v>
      </c>
      <c r="E45" s="94" t="s">
        <v>652</v>
      </c>
      <c r="F45" s="1" t="s">
        <v>806</v>
      </c>
      <c r="G45" s="1"/>
      <c r="H45" s="1" t="s">
        <v>807</v>
      </c>
      <c r="I45" s="1"/>
      <c r="J45" s="1"/>
      <c r="K45" s="4" t="s">
        <v>808</v>
      </c>
      <c r="L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A47" s="2"/>
      <c r="B47" s="43" t="s">
        <v>809</v>
      </c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A48" s="2"/>
      <c r="B48" s="2" t="s">
        <v>810</v>
      </c>
      <c r="C48" s="1" t="s">
        <v>811</v>
      </c>
      <c r="D48" s="1"/>
      <c r="E48" s="1"/>
      <c r="F48" s="1"/>
      <c r="G48" s="1"/>
      <c r="H48" s="1"/>
      <c r="I48" s="1"/>
      <c r="J48" s="1"/>
      <c r="K48" s="2"/>
      <c r="L48" s="2"/>
    </row>
    <row r="49">
      <c r="A49" s="2"/>
      <c r="B49" s="2" t="s">
        <v>812</v>
      </c>
      <c r="C49" s="1" t="s">
        <v>813</v>
      </c>
      <c r="D49" s="1"/>
      <c r="E49" s="1"/>
      <c r="F49" s="1"/>
      <c r="G49" s="1"/>
      <c r="H49" s="1"/>
      <c r="I49" s="1"/>
      <c r="J49" s="1"/>
      <c r="K49" s="2"/>
      <c r="L49" s="2"/>
    </row>
    <row r="50">
      <c r="A50" s="2"/>
      <c r="B50" s="2" t="s">
        <v>814</v>
      </c>
      <c r="C50" s="1" t="s">
        <v>815</v>
      </c>
      <c r="D50" s="1"/>
      <c r="E50" s="1"/>
      <c r="F50" s="1"/>
      <c r="G50" s="1"/>
      <c r="H50" s="1"/>
      <c r="I50" s="1"/>
      <c r="J50" s="1"/>
      <c r="K50" s="2"/>
      <c r="L50" s="2"/>
    </row>
    <row r="51">
      <c r="A51" s="2"/>
      <c r="B51" s="2" t="s">
        <v>816</v>
      </c>
      <c r="C51" s="1" t="s">
        <v>817</v>
      </c>
      <c r="D51" s="1"/>
      <c r="E51" s="1"/>
      <c r="F51" s="1"/>
      <c r="G51" s="1"/>
      <c r="H51" s="1"/>
      <c r="I51" s="1"/>
      <c r="J51" s="1"/>
      <c r="K51" s="2"/>
      <c r="L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L109"/>
  <sheetViews>
    <sheetView showGridLines="0" workbookViewId="0"/>
  </sheetViews>
  <sheetFormatPr defaultColWidth="8.42578125" defaultRowHeight="15"/>
  <cols>
    <col min="1" max="1" width="2" customWidth="1"/>
    <col min="2" max="2" width="33" customWidth="1"/>
    <col min="3" max="10" width="12" customWidth="1"/>
    <col min="11" max="11" width="7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2"/>
      <c r="B2" s="64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2"/>
      <c r="B3" s="60" t="s">
        <v>818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2"/>
      <c r="B4" s="4" t="s">
        <v>819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>
      <c r="A6" s="2"/>
      <c r="B6" s="11" t="s">
        <v>4</v>
      </c>
      <c r="C6" s="32" t="s">
        <v>5</v>
      </c>
      <c r="D6" s="32" t="s">
        <v>6</v>
      </c>
      <c r="E6" s="32" t="s">
        <v>7</v>
      </c>
      <c r="F6" s="32" t="s">
        <v>8</v>
      </c>
      <c r="G6" s="32" t="s">
        <v>9</v>
      </c>
      <c r="H6" s="32" t="s">
        <v>10</v>
      </c>
      <c r="I6" s="32" t="s">
        <v>11</v>
      </c>
      <c r="J6" s="65" t="s">
        <v>12</v>
      </c>
      <c r="K6" s="22" t="s">
        <v>13</v>
      </c>
      <c r="L6" s="2"/>
    </row>
    <row r="7">
      <c r="A7" s="2"/>
      <c r="B7" s="53" t="s">
        <v>14</v>
      </c>
      <c r="C7" s="17">
        <v>45718</v>
      </c>
      <c r="D7" s="17">
        <v>45809</v>
      </c>
      <c r="E7" s="17">
        <v>45900</v>
      </c>
      <c r="F7" s="17">
        <v>45991</v>
      </c>
      <c r="G7" s="17">
        <v>45991</v>
      </c>
      <c r="H7" s="17">
        <v>46082</v>
      </c>
      <c r="I7" s="17">
        <v>46173</v>
      </c>
      <c r="J7" s="37">
        <v>46264</v>
      </c>
      <c r="K7" s="42"/>
      <c r="L7" s="2"/>
    </row>
    <row r="8">
      <c r="A8" s="2"/>
      <c r="B8" s="68" t="s">
        <v>15</v>
      </c>
      <c r="C8" s="15">
        <v>91</v>
      </c>
      <c r="D8" s="15">
        <v>91</v>
      </c>
      <c r="E8" s="15">
        <v>91</v>
      </c>
      <c r="F8" s="15">
        <v>91</v>
      </c>
      <c r="G8" s="15">
        <v>364</v>
      </c>
      <c r="H8" s="15">
        <v>91</v>
      </c>
      <c r="I8" s="15">
        <v>91</v>
      </c>
      <c r="J8" s="63">
        <v>91</v>
      </c>
      <c r="K8" s="55"/>
      <c r="L8" s="2"/>
    </row>
    <row r="9">
      <c r="A9" s="2"/>
      <c r="B9" s="95" t="s">
        <v>578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>
      <c r="A10" s="2"/>
      <c r="B10" s="43" t="s">
        <v>820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/>
      <c r="B11" s="2" t="s">
        <v>821</v>
      </c>
      <c r="C11" s="27" t="s">
        <v>822</v>
      </c>
      <c r="D11" s="27"/>
      <c r="E11" s="27"/>
      <c r="F11" s="27"/>
      <c r="G11" s="27"/>
      <c r="H11" s="27"/>
      <c r="I11" s="27"/>
      <c r="J11" s="27"/>
      <c r="K11" s="4" t="s">
        <v>823</v>
      </c>
      <c r="L11" s="2"/>
    </row>
    <row r="12">
      <c r="A12" s="2"/>
      <c r="B12" s="2" t="s">
        <v>824</v>
      </c>
      <c r="C12" s="27" t="s">
        <v>825</v>
      </c>
      <c r="D12" s="27"/>
      <c r="E12" s="27"/>
      <c r="F12" s="27"/>
      <c r="G12" s="27"/>
      <c r="H12" s="27"/>
      <c r="I12" s="27"/>
      <c r="J12" s="27"/>
      <c r="K12" s="4" t="s">
        <v>823</v>
      </c>
      <c r="L12" s="2"/>
    </row>
    <row r="13">
      <c r="A13" s="2"/>
      <c r="B13" s="2" t="s">
        <v>826</v>
      </c>
      <c r="C13" s="27" t="s">
        <v>19</v>
      </c>
      <c r="D13" s="27"/>
      <c r="E13" s="27"/>
      <c r="F13" s="27"/>
      <c r="G13" s="27"/>
      <c r="H13" s="27"/>
      <c r="I13" s="27"/>
      <c r="J13" s="27"/>
      <c r="K13" s="4" t="s">
        <v>823</v>
      </c>
      <c r="L13" s="2"/>
    </row>
    <row r="14">
      <c r="A14" s="2"/>
      <c r="B14" s="2" t="s">
        <v>827</v>
      </c>
      <c r="C14" s="27" t="s">
        <v>828</v>
      </c>
      <c r="D14" s="27"/>
      <c r="E14" s="27"/>
      <c r="F14" s="27"/>
      <c r="G14" s="27"/>
      <c r="H14" s="27"/>
      <c r="I14" s="27"/>
      <c r="J14" s="27"/>
      <c r="K14" s="4" t="s">
        <v>823</v>
      </c>
      <c r="L14" s="2"/>
    </row>
    <row r="15">
      <c r="A15" s="2"/>
      <c r="B15" s="2" t="s">
        <v>829</v>
      </c>
      <c r="C15" s="96" t="s">
        <v>830</v>
      </c>
      <c r="D15" s="27"/>
      <c r="E15" s="27"/>
      <c r="F15" s="27"/>
      <c r="G15" s="27"/>
      <c r="H15" s="27"/>
      <c r="I15" s="27"/>
      <c r="J15" s="27"/>
      <c r="K15" s="4" t="s">
        <v>823</v>
      </c>
      <c r="L15" s="2"/>
    </row>
    <row r="16">
      <c r="A16" s="2"/>
      <c r="B16" s="2" t="s">
        <v>831</v>
      </c>
      <c r="C16" s="96" t="s">
        <v>651</v>
      </c>
      <c r="D16" s="27"/>
      <c r="E16" s="27"/>
      <c r="F16" s="27"/>
      <c r="G16" s="27"/>
      <c r="H16" s="27"/>
      <c r="I16" s="27"/>
      <c r="J16" s="27"/>
      <c r="K16" s="4" t="s">
        <v>823</v>
      </c>
      <c r="L16" s="2"/>
    </row>
    <row r="17">
      <c r="A17" s="2"/>
      <c r="B17" s="2" t="s">
        <v>832</v>
      </c>
      <c r="C17" s="72">
        <v>15</v>
      </c>
      <c r="D17" s="27"/>
      <c r="E17" s="27"/>
      <c r="F17" s="27"/>
      <c r="G17" s="27"/>
      <c r="H17" s="27"/>
      <c r="I17" s="27"/>
      <c r="J17" s="27"/>
      <c r="K17" s="4" t="s">
        <v>823</v>
      </c>
      <c r="L17" s="2"/>
    </row>
    <row r="18">
      <c r="A18" s="2"/>
      <c r="B18" s="2" t="s">
        <v>833</v>
      </c>
      <c r="C18" s="72">
        <v>0.36</v>
      </c>
      <c r="D18" s="27"/>
      <c r="E18" s="27"/>
      <c r="F18" s="27"/>
      <c r="G18" s="27"/>
      <c r="H18" s="27"/>
      <c r="I18" s="27"/>
      <c r="J18" s="27"/>
      <c r="K18" s="4" t="s">
        <v>823</v>
      </c>
      <c r="L18" s="2"/>
    </row>
    <row r="19">
      <c r="A19" s="2"/>
      <c r="B19" s="2" t="s">
        <v>834</v>
      </c>
      <c r="C19" s="27" t="s">
        <v>835</v>
      </c>
      <c r="D19" s="27"/>
      <c r="E19" s="27"/>
      <c r="F19" s="27"/>
      <c r="G19" s="27"/>
      <c r="H19" s="27"/>
      <c r="I19" s="27"/>
      <c r="J19" s="27"/>
      <c r="K19" s="4" t="s">
        <v>823</v>
      </c>
      <c r="L19" s="2"/>
    </row>
    <row r="20">
      <c r="A20" s="2"/>
      <c r="B20" s="2" t="s">
        <v>836</v>
      </c>
      <c r="C20" s="72">
        <v>1616.65</v>
      </c>
      <c r="D20" s="27"/>
      <c r="E20" s="27"/>
      <c r="F20" s="27"/>
      <c r="G20" s="27"/>
      <c r="H20" s="27"/>
      <c r="I20" s="27"/>
      <c r="J20" s="27"/>
      <c r="K20" s="4" t="s">
        <v>823</v>
      </c>
      <c r="L20" s="2"/>
    </row>
    <row r="21">
      <c r="A21" s="2"/>
      <c r="B21" s="2" t="s">
        <v>837</v>
      </c>
      <c r="C21" s="27" t="s">
        <v>25</v>
      </c>
      <c r="D21" s="27"/>
      <c r="E21" s="27"/>
      <c r="F21" s="27"/>
      <c r="G21" s="27"/>
      <c r="H21" s="27"/>
      <c r="I21" s="27"/>
      <c r="J21" s="27"/>
      <c r="K21" s="4" t="s">
        <v>823</v>
      </c>
      <c r="L21" s="2"/>
    </row>
    <row r="22">
      <c r="A22" s="2"/>
      <c r="B22" s="2" t="s">
        <v>838</v>
      </c>
      <c r="C22" s="27" t="s">
        <v>839</v>
      </c>
      <c r="D22" s="27"/>
      <c r="E22" s="27"/>
      <c r="F22" s="27"/>
      <c r="G22" s="27"/>
      <c r="H22" s="27"/>
      <c r="I22" s="27"/>
      <c r="J22" s="27"/>
      <c r="K22" s="4" t="s">
        <v>823</v>
      </c>
      <c r="L22" s="2"/>
    </row>
    <row r="23">
      <c r="A23" s="2"/>
      <c r="B23" s="2" t="s">
        <v>840</v>
      </c>
      <c r="C23" s="27" t="s">
        <v>841</v>
      </c>
      <c r="D23" s="27"/>
      <c r="E23" s="27"/>
      <c r="F23" s="27"/>
      <c r="G23" s="27"/>
      <c r="H23" s="27"/>
      <c r="I23" s="27"/>
      <c r="J23" s="27"/>
      <c r="K23" s="4" t="s">
        <v>823</v>
      </c>
      <c r="L23" s="2"/>
    </row>
    <row r="24">
      <c r="A24" s="2"/>
      <c r="B24" s="2" t="s">
        <v>842</v>
      </c>
      <c r="C24" s="27" t="s">
        <v>843</v>
      </c>
      <c r="D24" s="27"/>
      <c r="E24" s="27"/>
      <c r="F24" s="27"/>
      <c r="G24" s="27"/>
      <c r="H24" s="27"/>
      <c r="I24" s="27"/>
      <c r="J24" s="27"/>
      <c r="K24" s="4" t="s">
        <v>823</v>
      </c>
      <c r="L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A26" s="2"/>
      <c r="B26" s="43" t="s">
        <v>844</v>
      </c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A27" s="2"/>
      <c r="B27" s="2" t="s">
        <v>824</v>
      </c>
      <c r="C27" s="27" t="s">
        <v>825</v>
      </c>
      <c r="D27" s="27"/>
      <c r="E27" s="27"/>
      <c r="F27" s="27"/>
      <c r="G27" s="27"/>
      <c r="H27" s="27"/>
      <c r="I27" s="27"/>
      <c r="J27" s="27"/>
      <c r="K27" s="2"/>
      <c r="L27" s="2"/>
    </row>
    <row r="28">
      <c r="A28" s="2"/>
      <c r="B28" s="2" t="s">
        <v>845</v>
      </c>
      <c r="C28" s="27" t="s">
        <v>19</v>
      </c>
      <c r="D28" s="27"/>
      <c r="E28" s="27"/>
      <c r="F28" s="27"/>
      <c r="G28" s="27"/>
      <c r="H28" s="27"/>
      <c r="I28" s="27"/>
      <c r="J28" s="27"/>
      <c r="K28" s="2"/>
      <c r="L28" s="2"/>
    </row>
    <row r="29">
      <c r="A29" s="2"/>
      <c r="B29" s="2" t="s">
        <v>846</v>
      </c>
      <c r="C29" s="27" t="s">
        <v>847</v>
      </c>
      <c r="D29" s="27"/>
      <c r="E29" s="27"/>
      <c r="F29" s="27"/>
      <c r="G29" s="27"/>
      <c r="H29" s="27"/>
      <c r="I29" s="27"/>
      <c r="J29" s="27"/>
      <c r="K29" s="2"/>
      <c r="L29" s="2"/>
    </row>
    <row r="30">
      <c r="A30" s="2"/>
      <c r="B30" s="2" t="s">
        <v>848</v>
      </c>
      <c r="C30" s="72">
        <v>30773</v>
      </c>
      <c r="D30" s="27"/>
      <c r="E30" s="27"/>
      <c r="F30" s="27"/>
      <c r="G30" s="27"/>
      <c r="H30" s="27"/>
      <c r="I30" s="27"/>
      <c r="J30" s="27"/>
      <c r="K30" s="2"/>
      <c r="L30" s="2"/>
    </row>
    <row r="31">
      <c r="A31" s="2"/>
      <c r="B31" s="2" t="s">
        <v>849</v>
      </c>
      <c r="C31" s="27" t="s">
        <v>850</v>
      </c>
      <c r="D31" s="27"/>
      <c r="E31" s="27"/>
      <c r="F31" s="27"/>
      <c r="G31" s="27"/>
      <c r="H31" s="27"/>
      <c r="I31" s="27"/>
      <c r="J31" s="27"/>
      <c r="K31" s="2"/>
      <c r="L31" s="2"/>
    </row>
    <row r="32">
      <c r="A32" s="2"/>
      <c r="B32" s="2" t="s">
        <v>851</v>
      </c>
      <c r="C32" s="27"/>
      <c r="D32" s="27"/>
      <c r="E32" s="27"/>
      <c r="F32" s="27"/>
      <c r="G32" s="27"/>
      <c r="H32" s="27"/>
      <c r="I32" s="27"/>
      <c r="J32" s="27"/>
      <c r="K32" s="4" t="s">
        <v>852</v>
      </c>
      <c r="L32" s="2"/>
    </row>
    <row r="33">
      <c r="A33" s="2"/>
      <c r="B33" s="2" t="s">
        <v>853</v>
      </c>
      <c r="C33" s="27" t="s">
        <v>854</v>
      </c>
      <c r="D33" s="27"/>
      <c r="E33" s="27"/>
      <c r="F33" s="27"/>
      <c r="G33" s="27"/>
      <c r="H33" s="27"/>
      <c r="I33" s="27"/>
      <c r="J33" s="27"/>
      <c r="K33" s="2"/>
      <c r="L33" s="2"/>
    </row>
    <row r="34">
      <c r="A34" s="2"/>
      <c r="B34" s="2" t="s">
        <v>855</v>
      </c>
      <c r="C34" s="96" t="s">
        <v>779</v>
      </c>
      <c r="D34" s="27"/>
      <c r="E34" s="27"/>
      <c r="F34" s="27"/>
      <c r="G34" s="27"/>
      <c r="H34" s="27"/>
      <c r="I34" s="27"/>
      <c r="J34" s="27"/>
      <c r="K34" s="97" t="s">
        <v>856</v>
      </c>
      <c r="L34" s="2"/>
    </row>
    <row r="35">
      <c r="A35" s="2"/>
      <c r="B35" s="2" t="s">
        <v>857</v>
      </c>
      <c r="C35" s="96" t="s">
        <v>858</v>
      </c>
      <c r="D35" s="27"/>
      <c r="E35" s="27"/>
      <c r="F35" s="27"/>
      <c r="G35" s="27"/>
      <c r="H35" s="27"/>
      <c r="I35" s="27"/>
      <c r="J35" s="27"/>
      <c r="K35" s="97" t="s">
        <v>859</v>
      </c>
      <c r="L35" s="2"/>
    </row>
    <row r="36">
      <c r="A36" s="2"/>
      <c r="B36" s="2" t="s">
        <v>860</v>
      </c>
      <c r="C36" s="27" t="s">
        <v>861</v>
      </c>
      <c r="D36" s="27"/>
      <c r="E36" s="27"/>
      <c r="F36" s="27"/>
      <c r="G36" s="27"/>
      <c r="H36" s="27"/>
      <c r="I36" s="27"/>
      <c r="J36" s="27"/>
      <c r="K36" s="2"/>
      <c r="L36" s="2"/>
    </row>
    <row r="37">
      <c r="A37" s="2"/>
      <c r="B37" s="2" t="s">
        <v>862</v>
      </c>
      <c r="C37" s="72">
        <v>15</v>
      </c>
      <c r="D37" s="27"/>
      <c r="E37" s="27"/>
      <c r="F37" s="27"/>
      <c r="G37" s="27"/>
      <c r="H37" s="27"/>
      <c r="I37" s="27"/>
      <c r="J37" s="27"/>
      <c r="K37" s="2"/>
      <c r="L37" s="2"/>
    </row>
    <row r="38">
      <c r="A38" s="2"/>
      <c r="B38" s="2" t="s">
        <v>863</v>
      </c>
      <c r="C38" s="72">
        <v>0.36</v>
      </c>
      <c r="D38" s="27"/>
      <c r="E38" s="27"/>
      <c r="F38" s="27"/>
      <c r="G38" s="27"/>
      <c r="H38" s="27"/>
      <c r="I38" s="27"/>
      <c r="J38" s="27"/>
      <c r="K38" s="2"/>
      <c r="L38" s="2"/>
    </row>
    <row r="39">
      <c r="A39" s="2"/>
      <c r="B39" s="2" t="s">
        <v>864</v>
      </c>
      <c r="C39" s="72">
        <v>0.36</v>
      </c>
      <c r="D39" s="27"/>
      <c r="E39" s="27"/>
      <c r="F39" s="27"/>
      <c r="G39" s="27"/>
      <c r="H39" s="27"/>
      <c r="I39" s="27"/>
      <c r="J39" s="27"/>
      <c r="K39" s="2"/>
      <c r="L39" s="2"/>
    </row>
    <row r="40">
      <c r="A40" s="2"/>
      <c r="B40" s="2" t="s">
        <v>865</v>
      </c>
      <c r="C40" s="72">
        <v>0.37</v>
      </c>
      <c r="D40" s="27"/>
      <c r="E40" s="27"/>
      <c r="F40" s="27"/>
      <c r="G40" s="27"/>
      <c r="H40" s="27"/>
      <c r="I40" s="27"/>
      <c r="J40" s="27"/>
      <c r="K40" s="2"/>
      <c r="L40" s="2"/>
    </row>
    <row r="41">
      <c r="A41" s="2"/>
      <c r="B41" s="2" t="s">
        <v>866</v>
      </c>
      <c r="C41" s="72">
        <v>0.35</v>
      </c>
      <c r="D41" s="27"/>
      <c r="E41" s="27"/>
      <c r="F41" s="27"/>
      <c r="G41" s="27"/>
      <c r="H41" s="27"/>
      <c r="I41" s="27"/>
      <c r="J41" s="27"/>
      <c r="K41" s="2"/>
      <c r="L41" s="2"/>
    </row>
    <row r="42">
      <c r="A42" s="2"/>
      <c r="B42" s="2" t="s">
        <v>867</v>
      </c>
      <c r="C42" s="72">
        <v>0.01</v>
      </c>
      <c r="D42" s="27"/>
      <c r="E42" s="27"/>
      <c r="F42" s="27"/>
      <c r="G42" s="27"/>
      <c r="H42" s="27"/>
      <c r="I42" s="27"/>
      <c r="J42" s="27"/>
      <c r="K42" s="2"/>
      <c r="L42" s="2"/>
    </row>
    <row r="43">
      <c r="A43" s="2"/>
      <c r="B43" s="2" t="s">
        <v>868</v>
      </c>
      <c r="C43" s="72">
        <v>15</v>
      </c>
      <c r="D43" s="27"/>
      <c r="E43" s="27"/>
      <c r="F43" s="27"/>
      <c r="G43" s="27"/>
      <c r="H43" s="27"/>
      <c r="I43" s="27"/>
      <c r="J43" s="27"/>
      <c r="K43" s="2"/>
      <c r="L43" s="2"/>
    </row>
    <row r="44">
      <c r="A44" s="2"/>
      <c r="B44" s="2" t="s">
        <v>869</v>
      </c>
      <c r="C44" s="27"/>
      <c r="D44" s="27"/>
      <c r="E44" s="27"/>
      <c r="F44" s="27"/>
      <c r="G44" s="27"/>
      <c r="H44" s="27"/>
      <c r="I44" s="27"/>
      <c r="J44" s="27"/>
      <c r="K44" s="4" t="s">
        <v>852</v>
      </c>
      <c r="L44" s="2"/>
    </row>
    <row r="45">
      <c r="A45" s="2"/>
      <c r="B45" s="2" t="s">
        <v>870</v>
      </c>
      <c r="C45" s="72">
        <v>0.34</v>
      </c>
      <c r="D45" s="27"/>
      <c r="E45" s="27"/>
      <c r="F45" s="27"/>
      <c r="G45" s="27"/>
      <c r="H45" s="27"/>
      <c r="I45" s="27"/>
      <c r="J45" s="27"/>
      <c r="K45" s="2"/>
      <c r="L45" s="2"/>
    </row>
    <row r="46">
      <c r="A46" s="2"/>
      <c r="B46" s="2" t="s">
        <v>871</v>
      </c>
      <c r="C46" s="72">
        <v>0.36</v>
      </c>
      <c r="D46" s="27"/>
      <c r="E46" s="27"/>
      <c r="F46" s="27"/>
      <c r="G46" s="27"/>
      <c r="H46" s="27"/>
      <c r="I46" s="27"/>
      <c r="J46" s="27"/>
      <c r="K46" s="2"/>
      <c r="L46" s="2"/>
    </row>
    <row r="47">
      <c r="A47" s="2"/>
      <c r="B47" s="2" t="s">
        <v>872</v>
      </c>
      <c r="C47" s="72">
        <v>0.36</v>
      </c>
      <c r="D47" s="27"/>
      <c r="E47" s="27"/>
      <c r="F47" s="27"/>
      <c r="G47" s="27"/>
      <c r="H47" s="27"/>
      <c r="I47" s="27"/>
      <c r="J47" s="27"/>
      <c r="K47" s="2"/>
      <c r="L47" s="2"/>
    </row>
    <row r="48">
      <c r="A48" s="2"/>
      <c r="B48" s="2" t="s">
        <v>873</v>
      </c>
      <c r="C48" s="72">
        <v>0.36</v>
      </c>
      <c r="D48" s="27"/>
      <c r="E48" s="27"/>
      <c r="F48" s="27"/>
      <c r="G48" s="27"/>
      <c r="H48" s="27"/>
      <c r="I48" s="27"/>
      <c r="J48" s="27"/>
      <c r="K48" s="2"/>
      <c r="L48" s="2"/>
    </row>
    <row r="49">
      <c r="A49" s="2"/>
      <c r="B49" s="2" t="s">
        <v>874</v>
      </c>
      <c r="C49" s="72">
        <v>0.36</v>
      </c>
      <c r="D49" s="27"/>
      <c r="E49" s="27"/>
      <c r="F49" s="27"/>
      <c r="G49" s="27"/>
      <c r="H49" s="27"/>
      <c r="I49" s="27"/>
      <c r="J49" s="27"/>
      <c r="K49" s="2"/>
      <c r="L49" s="2"/>
    </row>
    <row r="50">
      <c r="A50" s="2"/>
      <c r="B50" s="2" t="s">
        <v>875</v>
      </c>
      <c r="C50" s="72">
        <v>0.35</v>
      </c>
      <c r="D50" s="27"/>
      <c r="E50" s="27"/>
      <c r="F50" s="27"/>
      <c r="G50" s="27"/>
      <c r="H50" s="27"/>
      <c r="I50" s="27"/>
      <c r="J50" s="27"/>
      <c r="K50" s="2"/>
      <c r="L50" s="2"/>
    </row>
    <row r="51">
      <c r="A51" s="2"/>
      <c r="B51" s="2" t="s">
        <v>876</v>
      </c>
      <c r="C51" s="72">
        <v>0</v>
      </c>
      <c r="D51" s="27"/>
      <c r="E51" s="27"/>
      <c r="F51" s="27"/>
      <c r="G51" s="27"/>
      <c r="H51" s="27"/>
      <c r="I51" s="27"/>
      <c r="J51" s="27"/>
      <c r="K51" s="2"/>
      <c r="L51" s="2"/>
    </row>
    <row r="52">
      <c r="A52" s="2"/>
      <c r="B52" s="2" t="s">
        <v>877</v>
      </c>
      <c r="C52" s="72">
        <v>5</v>
      </c>
      <c r="D52" s="27"/>
      <c r="E52" s="27"/>
      <c r="F52" s="27"/>
      <c r="G52" s="27"/>
      <c r="H52" s="27"/>
      <c r="I52" s="27"/>
      <c r="J52" s="27"/>
      <c r="K52" s="2"/>
      <c r="L52" s="2"/>
    </row>
    <row r="53">
      <c r="A53" s="2"/>
      <c r="B53" s="2" t="s">
        <v>878</v>
      </c>
      <c r="C53" s="27"/>
      <c r="D53" s="27"/>
      <c r="E53" s="27"/>
      <c r="F53" s="27"/>
      <c r="G53" s="27"/>
      <c r="H53" s="27"/>
      <c r="I53" s="27"/>
      <c r="J53" s="27"/>
      <c r="K53" s="4" t="s">
        <v>852</v>
      </c>
      <c r="L53" s="2"/>
    </row>
    <row r="54">
      <c r="A54" s="2"/>
      <c r="B54" s="2" t="s">
        <v>879</v>
      </c>
      <c r="C54" s="72">
        <v>1616.65</v>
      </c>
      <c r="D54" s="27"/>
      <c r="E54" s="27"/>
      <c r="F54" s="27"/>
      <c r="G54" s="27"/>
      <c r="H54" s="27"/>
      <c r="I54" s="27"/>
      <c r="J54" s="27"/>
      <c r="K54" s="2"/>
      <c r="L54" s="2"/>
    </row>
    <row r="55">
      <c r="A55" s="2"/>
      <c r="B55" s="2" t="s">
        <v>880</v>
      </c>
      <c r="C55" s="72">
        <v>1614</v>
      </c>
      <c r="D55" s="27"/>
      <c r="E55" s="27"/>
      <c r="F55" s="27"/>
      <c r="G55" s="27"/>
      <c r="H55" s="27"/>
      <c r="I55" s="27"/>
      <c r="J55" s="27"/>
      <c r="K55" s="2"/>
      <c r="L55" s="2"/>
    </row>
    <row r="56">
      <c r="A56" s="2"/>
      <c r="B56" s="2" t="s">
        <v>881</v>
      </c>
      <c r="C56" s="72">
        <v>1638</v>
      </c>
      <c r="D56" s="27"/>
      <c r="E56" s="27"/>
      <c r="F56" s="27"/>
      <c r="G56" s="27"/>
      <c r="H56" s="27"/>
      <c r="I56" s="27"/>
      <c r="J56" s="27"/>
      <c r="K56" s="2"/>
      <c r="L56" s="2"/>
    </row>
    <row r="57">
      <c r="A57" s="2"/>
      <c r="B57" s="2" t="s">
        <v>882</v>
      </c>
      <c r="C57" s="72">
        <v>1604.8</v>
      </c>
      <c r="D57" s="27"/>
      <c r="E57" s="27"/>
      <c r="F57" s="27"/>
      <c r="G57" s="27"/>
      <c r="H57" s="27"/>
      <c r="I57" s="27"/>
      <c r="J57" s="27"/>
      <c r="K57" s="2"/>
      <c r="L57" s="2"/>
    </row>
    <row r="58">
      <c r="A58" s="2"/>
      <c r="B58" s="2" t="s">
        <v>883</v>
      </c>
      <c r="C58" s="72">
        <v>8.54</v>
      </c>
      <c r="D58" s="27"/>
      <c r="E58" s="27"/>
      <c r="F58" s="27"/>
      <c r="G58" s="27"/>
      <c r="H58" s="27"/>
      <c r="I58" s="27"/>
      <c r="J58" s="27"/>
      <c r="K58" s="2"/>
      <c r="L58" s="2"/>
    </row>
    <row r="59">
      <c r="A59" s="2"/>
      <c r="B59" s="2" t="s">
        <v>884</v>
      </c>
      <c r="C59" s="72">
        <v>14</v>
      </c>
      <c r="D59" s="27"/>
      <c r="E59" s="27"/>
      <c r="F59" s="27"/>
      <c r="G59" s="27"/>
      <c r="H59" s="27"/>
      <c r="I59" s="27"/>
      <c r="J59" s="27"/>
      <c r="K59" s="2"/>
      <c r="L59" s="2"/>
    </row>
    <row r="60">
      <c r="A60" s="2"/>
      <c r="B60" s="2" t="s">
        <v>885</v>
      </c>
      <c r="C60" s="27"/>
      <c r="D60" s="27"/>
      <c r="E60" s="27"/>
      <c r="F60" s="27"/>
      <c r="G60" s="27"/>
      <c r="H60" s="27"/>
      <c r="I60" s="27"/>
      <c r="J60" s="27"/>
      <c r="K60" s="4" t="s">
        <v>852</v>
      </c>
      <c r="L60" s="2"/>
    </row>
    <row r="61">
      <c r="A61" s="2"/>
      <c r="B61" s="2" t="s">
        <v>886</v>
      </c>
      <c r="C61" s="72">
        <v>1605.14</v>
      </c>
      <c r="D61" s="27"/>
      <c r="E61" s="27"/>
      <c r="F61" s="27"/>
      <c r="G61" s="27"/>
      <c r="H61" s="27"/>
      <c r="I61" s="27"/>
      <c r="J61" s="27"/>
      <c r="K61" s="2"/>
      <c r="L61" s="2"/>
    </row>
    <row r="62">
      <c r="A62" s="2"/>
      <c r="B62" s="2" t="s">
        <v>887</v>
      </c>
      <c r="C62" s="72">
        <v>1620.57</v>
      </c>
      <c r="D62" s="27"/>
      <c r="E62" s="27"/>
      <c r="F62" s="27"/>
      <c r="G62" s="27"/>
      <c r="H62" s="27"/>
      <c r="I62" s="27"/>
      <c r="J62" s="27"/>
      <c r="K62" s="2"/>
      <c r="L62" s="2"/>
    </row>
    <row r="63">
      <c r="A63" s="2"/>
      <c r="B63" s="2" t="s">
        <v>888</v>
      </c>
      <c r="C63" s="72">
        <v>247.54</v>
      </c>
      <c r="D63" s="27"/>
      <c r="E63" s="27"/>
      <c r="F63" s="27"/>
      <c r="G63" s="27"/>
      <c r="H63" s="27"/>
      <c r="I63" s="27"/>
      <c r="J63" s="27"/>
      <c r="K63" s="2"/>
      <c r="L63" s="2"/>
    </row>
    <row r="64">
      <c r="A64" s="2"/>
      <c r="B64" s="2" t="s">
        <v>889</v>
      </c>
      <c r="C64" s="72">
        <v>194.24</v>
      </c>
      <c r="D64" s="27"/>
      <c r="E64" s="27"/>
      <c r="F64" s="27"/>
      <c r="G64" s="27"/>
      <c r="H64" s="27"/>
      <c r="I64" s="27"/>
      <c r="J64" s="27"/>
      <c r="K64" s="2"/>
      <c r="L64" s="2"/>
    </row>
    <row r="65">
      <c r="A65" s="2"/>
      <c r="B65" s="2" t="s">
        <v>890</v>
      </c>
      <c r="C65" s="27"/>
      <c r="D65" s="27"/>
      <c r="E65" s="27"/>
      <c r="F65" s="27"/>
      <c r="G65" s="27"/>
      <c r="H65" s="27"/>
      <c r="I65" s="27"/>
      <c r="J65" s="27"/>
      <c r="K65" s="4" t="s">
        <v>852</v>
      </c>
      <c r="L65" s="2"/>
    </row>
    <row r="66">
      <c r="A66" s="2"/>
      <c r="B66" s="2" t="s">
        <v>891</v>
      </c>
      <c r="C66" s="27"/>
      <c r="D66" s="27"/>
      <c r="E66" s="27"/>
      <c r="F66" s="27"/>
      <c r="G66" s="27"/>
      <c r="H66" s="27"/>
      <c r="I66" s="27"/>
      <c r="J66" s="27"/>
      <c r="K66" s="4" t="s">
        <v>852</v>
      </c>
      <c r="L66" s="2"/>
    </row>
    <row r="67">
      <c r="A67" s="2"/>
      <c r="B67" s="2" t="s">
        <v>892</v>
      </c>
      <c r="C67" s="72">
        <v>138.62</v>
      </c>
      <c r="D67" s="27"/>
      <c r="E67" s="27"/>
      <c r="F67" s="27"/>
      <c r="G67" s="27"/>
      <c r="H67" s="27"/>
      <c r="I67" s="27"/>
      <c r="J67" s="27"/>
      <c r="K67" s="2"/>
      <c r="L67" s="2"/>
    </row>
    <row r="68">
      <c r="A68" s="2"/>
      <c r="B68" s="2" t="s">
        <v>893</v>
      </c>
      <c r="C68" s="72">
        <v>139.1</v>
      </c>
      <c r="D68" s="27"/>
      <c r="E68" s="27"/>
      <c r="F68" s="27"/>
      <c r="G68" s="27"/>
      <c r="H68" s="27"/>
      <c r="I68" s="27"/>
      <c r="J68" s="27"/>
      <c r="K68" s="2"/>
      <c r="L68" s="2"/>
    </row>
    <row r="69">
      <c r="A69" s="2"/>
      <c r="B69" s="2" t="s">
        <v>894</v>
      </c>
      <c r="C69" s="72">
        <v>61.87</v>
      </c>
      <c r="D69" s="27"/>
      <c r="E69" s="27"/>
      <c r="F69" s="27"/>
      <c r="G69" s="27"/>
      <c r="H69" s="27"/>
      <c r="I69" s="27"/>
      <c r="J69" s="27"/>
      <c r="K69" s="2"/>
      <c r="L69" s="2"/>
    </row>
    <row r="70">
      <c r="A70" s="2"/>
      <c r="B70" s="2" t="s">
        <v>895</v>
      </c>
      <c r="C70" s="72">
        <v>23.78</v>
      </c>
      <c r="D70" s="27"/>
      <c r="E70" s="27"/>
      <c r="F70" s="27"/>
      <c r="G70" s="27"/>
      <c r="H70" s="27"/>
      <c r="I70" s="27"/>
      <c r="J70" s="27"/>
      <c r="K70" s="2"/>
      <c r="L70" s="2"/>
    </row>
    <row r="71">
      <c r="A71" s="2"/>
      <c r="B71" s="2" t="s">
        <v>896</v>
      </c>
      <c r="C71" s="72">
        <v>56.73</v>
      </c>
      <c r="D71" s="27"/>
      <c r="E71" s="27"/>
      <c r="F71" s="27"/>
      <c r="G71" s="27"/>
      <c r="H71" s="27"/>
      <c r="I71" s="27"/>
      <c r="J71" s="27"/>
      <c r="K71" s="2"/>
      <c r="L71" s="2"/>
    </row>
    <row r="72">
      <c r="A72" s="2"/>
      <c r="B72" s="2" t="s">
        <v>897</v>
      </c>
      <c r="C72" s="72">
        <v>-60.83</v>
      </c>
      <c r="D72" s="27"/>
      <c r="E72" s="27"/>
      <c r="F72" s="27"/>
      <c r="G72" s="27"/>
      <c r="H72" s="27"/>
      <c r="I72" s="27"/>
      <c r="J72" s="27"/>
      <c r="K72" s="2"/>
      <c r="L72" s="2"/>
    </row>
    <row r="73">
      <c r="A73" s="2"/>
      <c r="B73" s="2" t="s">
        <v>898</v>
      </c>
      <c r="C73" s="72">
        <v>-1.5</v>
      </c>
      <c r="D73" s="27"/>
      <c r="E73" s="27"/>
      <c r="F73" s="27"/>
      <c r="G73" s="27"/>
      <c r="H73" s="27"/>
      <c r="I73" s="27"/>
      <c r="J73" s="27"/>
      <c r="K73" s="2"/>
      <c r="L73" s="2"/>
    </row>
    <row r="74">
      <c r="A74" s="2"/>
      <c r="B74" s="2" t="s">
        <v>899</v>
      </c>
      <c r="C74" s="72">
        <v>-109</v>
      </c>
      <c r="D74" s="27"/>
      <c r="E74" s="27"/>
      <c r="F74" s="27"/>
      <c r="G74" s="27"/>
      <c r="H74" s="27"/>
      <c r="I74" s="27"/>
      <c r="J74" s="27"/>
      <c r="K74" s="2"/>
      <c r="L74" s="2"/>
    </row>
    <row r="75">
      <c r="A75" s="2"/>
      <c r="B75" s="2" t="s">
        <v>900</v>
      </c>
      <c r="C75" s="27"/>
      <c r="D75" s="27"/>
      <c r="E75" s="27"/>
      <c r="F75" s="27"/>
      <c r="G75" s="27"/>
      <c r="H75" s="27"/>
      <c r="I75" s="27"/>
      <c r="J75" s="27"/>
      <c r="K75" s="4" t="s">
        <v>852</v>
      </c>
      <c r="L75" s="2"/>
    </row>
    <row r="76">
      <c r="A76" s="2"/>
      <c r="B76" s="2" t="s">
        <v>901</v>
      </c>
      <c r="C76" s="27"/>
      <c r="D76" s="27"/>
      <c r="E76" s="27"/>
      <c r="F76" s="27"/>
      <c r="G76" s="27"/>
      <c r="H76" s="27"/>
      <c r="I76" s="27"/>
      <c r="J76" s="27"/>
      <c r="K76" s="4" t="s">
        <v>852</v>
      </c>
      <c r="L76" s="2"/>
    </row>
    <row r="77">
      <c r="A77" s="2"/>
      <c r="B77" s="2" t="s">
        <v>902</v>
      </c>
      <c r="C77" s="72">
        <v>-0.16</v>
      </c>
      <c r="D77" s="27"/>
      <c r="E77" s="27"/>
      <c r="F77" s="27"/>
      <c r="G77" s="27"/>
      <c r="H77" s="27"/>
      <c r="I77" s="27"/>
      <c r="J77" s="27"/>
      <c r="K77" s="2"/>
      <c r="L77" s="2"/>
    </row>
    <row r="78">
      <c r="A78" s="2"/>
      <c r="B78" s="2" t="s">
        <v>903</v>
      </c>
      <c r="C78" s="27"/>
      <c r="D78" s="27"/>
      <c r="E78" s="27"/>
      <c r="F78" s="27"/>
      <c r="G78" s="27"/>
      <c r="H78" s="27"/>
      <c r="I78" s="27"/>
      <c r="J78" s="27"/>
      <c r="K78" s="4" t="s">
        <v>852</v>
      </c>
      <c r="L78" s="2"/>
    </row>
    <row r="79">
      <c r="A79" s="2"/>
      <c r="B79" s="2" t="s">
        <v>904</v>
      </c>
      <c r="C79" s="72">
        <v>0.15</v>
      </c>
      <c r="D79" s="27"/>
      <c r="E79" s="27"/>
      <c r="F79" s="27"/>
      <c r="G79" s="27"/>
      <c r="H79" s="27"/>
      <c r="I79" s="27"/>
      <c r="J79" s="27"/>
      <c r="K79" s="2"/>
      <c r="L79" s="2"/>
    </row>
    <row r="80">
      <c r="A80" s="2"/>
      <c r="B80" s="2" t="s">
        <v>905</v>
      </c>
      <c r="C80" s="27"/>
      <c r="D80" s="27"/>
      <c r="E80" s="27"/>
      <c r="F80" s="27"/>
      <c r="G80" s="27"/>
      <c r="H80" s="27"/>
      <c r="I80" s="27"/>
      <c r="J80" s="27"/>
      <c r="K80" s="4" t="s">
        <v>852</v>
      </c>
      <c r="L80" s="2"/>
    </row>
    <row r="81">
      <c r="A81" s="2"/>
      <c r="B81" s="2" t="s">
        <v>906</v>
      </c>
      <c r="C81" s="27"/>
      <c r="D81" s="27"/>
      <c r="E81" s="27"/>
      <c r="F81" s="27"/>
      <c r="G81" s="27"/>
      <c r="H81" s="27"/>
      <c r="I81" s="27"/>
      <c r="J81" s="27"/>
      <c r="K81" s="4" t="s">
        <v>852</v>
      </c>
      <c r="L81" s="2"/>
    </row>
    <row r="82">
      <c r="A82" s="2"/>
      <c r="B82" s="2" t="s">
        <v>907</v>
      </c>
      <c r="C82" s="27"/>
      <c r="D82" s="27"/>
      <c r="E82" s="27"/>
      <c r="F82" s="27"/>
      <c r="G82" s="27"/>
      <c r="H82" s="27"/>
      <c r="I82" s="27"/>
      <c r="J82" s="27"/>
      <c r="K82" s="4" t="s">
        <v>852</v>
      </c>
      <c r="L82" s="2"/>
    </row>
    <row r="83">
      <c r="A83" s="2"/>
      <c r="B83" s="2" t="s">
        <v>908</v>
      </c>
      <c r="C83" s="27"/>
      <c r="D83" s="27"/>
      <c r="E83" s="27"/>
      <c r="F83" s="27"/>
      <c r="G83" s="27"/>
      <c r="H83" s="27"/>
      <c r="I83" s="27"/>
      <c r="J83" s="27"/>
      <c r="K83" s="4" t="s">
        <v>852</v>
      </c>
      <c r="L83" s="2"/>
    </row>
    <row r="84">
      <c r="A84" s="2"/>
      <c r="B84" s="2" t="s">
        <v>909</v>
      </c>
      <c r="C84" s="72">
        <v>27.53</v>
      </c>
      <c r="D84" s="27"/>
      <c r="E84" s="27"/>
      <c r="F84" s="27"/>
      <c r="G84" s="27"/>
      <c r="H84" s="27"/>
      <c r="I84" s="27"/>
      <c r="J84" s="27"/>
      <c r="K84" s="4" t="s">
        <v>910</v>
      </c>
      <c r="L84" s="2"/>
    </row>
    <row r="85">
      <c r="A85" s="2"/>
      <c r="B85" s="2" t="s">
        <v>911</v>
      </c>
      <c r="C85" s="72">
        <v>27</v>
      </c>
      <c r="D85" s="27"/>
      <c r="E85" s="27"/>
      <c r="F85" s="27"/>
      <c r="G85" s="27"/>
      <c r="H85" s="27"/>
      <c r="I85" s="27"/>
      <c r="J85" s="27"/>
      <c r="K85" s="4" t="s">
        <v>910</v>
      </c>
      <c r="L85" s="2"/>
    </row>
    <row r="86">
      <c r="A86" s="2"/>
      <c r="B86" s="2" t="s">
        <v>912</v>
      </c>
      <c r="C86" s="72">
        <v>34</v>
      </c>
      <c r="D86" s="27"/>
      <c r="E86" s="27"/>
      <c r="F86" s="27"/>
      <c r="G86" s="27"/>
      <c r="H86" s="27"/>
      <c r="I86" s="27"/>
      <c r="J86" s="27"/>
      <c r="K86" s="4" t="s">
        <v>910</v>
      </c>
      <c r="L86" s="2"/>
    </row>
    <row r="87">
      <c r="A87" s="2"/>
      <c r="B87" s="2" t="s">
        <v>913</v>
      </c>
      <c r="C87" s="72">
        <v>22</v>
      </c>
      <c r="D87" s="27"/>
      <c r="E87" s="27"/>
      <c r="F87" s="27"/>
      <c r="G87" s="27"/>
      <c r="H87" s="27"/>
      <c r="I87" s="27"/>
      <c r="J87" s="27"/>
      <c r="K87" s="4" t="s">
        <v>910</v>
      </c>
      <c r="L87" s="2"/>
    </row>
    <row r="88">
      <c r="A88" s="2"/>
      <c r="B88" s="2" t="s">
        <v>914</v>
      </c>
      <c r="C88" s="72">
        <v>3.54</v>
      </c>
      <c r="D88" s="27"/>
      <c r="E88" s="27"/>
      <c r="F88" s="27"/>
      <c r="G88" s="27"/>
      <c r="H88" s="27"/>
      <c r="I88" s="27"/>
      <c r="J88" s="27"/>
      <c r="K88" s="4" t="s">
        <v>910</v>
      </c>
      <c r="L88" s="2"/>
    </row>
    <row r="89">
      <c r="A89" s="2"/>
      <c r="B89" s="2" t="s">
        <v>915</v>
      </c>
      <c r="C89" s="72">
        <v>15</v>
      </c>
      <c r="D89" s="27"/>
      <c r="E89" s="27"/>
      <c r="F89" s="27"/>
      <c r="G89" s="27"/>
      <c r="H89" s="27"/>
      <c r="I89" s="27"/>
      <c r="J89" s="27"/>
      <c r="K89" s="4" t="s">
        <v>910</v>
      </c>
      <c r="L89" s="2"/>
    </row>
    <row r="90">
      <c r="A90" s="2"/>
      <c r="B90" s="2" t="s">
        <v>916</v>
      </c>
      <c r="C90" s="27" t="s">
        <v>917</v>
      </c>
      <c r="D90" s="27"/>
      <c r="E90" s="27"/>
      <c r="F90" s="27"/>
      <c r="G90" s="27"/>
      <c r="H90" s="27"/>
      <c r="I90" s="27"/>
      <c r="J90" s="27"/>
      <c r="K90" s="2"/>
      <c r="L90" s="2"/>
    </row>
    <row r="91">
      <c r="A91" s="2"/>
      <c r="B91" s="2" t="s">
        <v>918</v>
      </c>
      <c r="C91" s="72">
        <v>1.73</v>
      </c>
      <c r="D91" s="27"/>
      <c r="E91" s="27"/>
      <c r="F91" s="27"/>
      <c r="G91" s="27"/>
      <c r="H91" s="27"/>
      <c r="I91" s="27"/>
      <c r="J91" s="27"/>
      <c r="K91" s="2"/>
      <c r="L91" s="2"/>
    </row>
    <row r="92">
      <c r="A92" s="2"/>
      <c r="B92" s="2" t="s">
        <v>919</v>
      </c>
      <c r="C92" s="72">
        <v>19.87</v>
      </c>
      <c r="D92" s="27"/>
      <c r="E92" s="27"/>
      <c r="F92" s="27"/>
      <c r="G92" s="27"/>
      <c r="H92" s="27"/>
      <c r="I92" s="27"/>
      <c r="J92" s="27"/>
      <c r="K92" s="2"/>
      <c r="L92" s="2"/>
    </row>
    <row r="93">
      <c r="A93" s="2"/>
      <c r="B93" s="2" t="s">
        <v>920</v>
      </c>
      <c r="C93" s="27"/>
      <c r="D93" s="27"/>
      <c r="E93" s="27"/>
      <c r="F93" s="27"/>
      <c r="G93" s="27"/>
      <c r="H93" s="27"/>
      <c r="I93" s="27"/>
      <c r="J93" s="27"/>
      <c r="K93" s="4" t="s">
        <v>852</v>
      </c>
      <c r="L93" s="2"/>
    </row>
    <row r="94">
      <c r="A94" s="2"/>
      <c r="B94" s="2" t="s">
        <v>837</v>
      </c>
      <c r="C94" s="27" t="s">
        <v>25</v>
      </c>
      <c r="D94" s="27"/>
      <c r="E94" s="27"/>
      <c r="F94" s="27"/>
      <c r="G94" s="27"/>
      <c r="H94" s="27"/>
      <c r="I94" s="27"/>
      <c r="J94" s="27"/>
      <c r="K94" s="2"/>
      <c r="L94" s="2"/>
    </row>
    <row r="95">
      <c r="A95" s="2"/>
      <c r="B95" s="2" t="s">
        <v>921</v>
      </c>
      <c r="C95" s="27" t="s">
        <v>922</v>
      </c>
      <c r="D95" s="27"/>
      <c r="E95" s="27"/>
      <c r="F95" s="27"/>
      <c r="G95" s="27"/>
      <c r="H95" s="27"/>
      <c r="I95" s="27"/>
      <c r="J95" s="27"/>
      <c r="K95" s="2"/>
      <c r="L95" s="2"/>
    </row>
    <row r="96">
      <c r="A96" s="2"/>
      <c r="B96" s="2" t="s">
        <v>923</v>
      </c>
      <c r="C96" s="96" t="s">
        <v>651</v>
      </c>
      <c r="D96" s="27"/>
      <c r="E96" s="27"/>
      <c r="F96" s="27"/>
      <c r="G96" s="27"/>
      <c r="H96" s="27"/>
      <c r="I96" s="27"/>
      <c r="J96" s="27"/>
      <c r="K96" s="2"/>
      <c r="L96" s="2"/>
    </row>
    <row r="97">
      <c r="A97" s="2"/>
      <c r="B97" s="2" t="s">
        <v>924</v>
      </c>
      <c r="C97" s="27"/>
      <c r="D97" s="27"/>
      <c r="E97" s="27"/>
      <c r="F97" s="27"/>
      <c r="G97" s="27"/>
      <c r="H97" s="27"/>
      <c r="I97" s="27"/>
      <c r="J97" s="27"/>
      <c r="K97" s="4" t="s">
        <v>852</v>
      </c>
      <c r="L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A99" s="2"/>
      <c r="B99" s="43" t="s">
        <v>925</v>
      </c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ht="33.75">
      <c r="A100" s="2"/>
      <c r="B100" s="77" t="s">
        <v>829</v>
      </c>
      <c r="C100" s="75" t="s">
        <v>926</v>
      </c>
      <c r="D100" s="75" t="s">
        <v>927</v>
      </c>
      <c r="E100" s="75" t="s">
        <v>928</v>
      </c>
      <c r="F100" s="75" t="s">
        <v>929</v>
      </c>
      <c r="G100" s="75" t="s">
        <v>930</v>
      </c>
      <c r="H100" s="75" t="s">
        <v>931</v>
      </c>
      <c r="I100" s="75" t="s">
        <v>932</v>
      </c>
      <c r="J100" s="75"/>
      <c r="K100" s="77"/>
      <c r="L100" s="2"/>
    </row>
    <row r="101">
      <c r="A101" s="2"/>
      <c r="B101" s="2" t="s">
        <v>933</v>
      </c>
      <c r="C101" s="71" t="s">
        <v>700</v>
      </c>
      <c r="D101" s="71">
        <v>0.28</v>
      </c>
      <c r="E101" s="71">
        <v>0.38</v>
      </c>
      <c r="F101" s="71">
        <v>0.28</v>
      </c>
      <c r="G101" s="71">
        <v>0.34</v>
      </c>
      <c r="H101" s="71">
        <v>1539.09</v>
      </c>
      <c r="I101" s="71">
        <v>1526.8</v>
      </c>
      <c r="J101" s="73"/>
      <c r="K101" s="4" t="s">
        <v>934</v>
      </c>
      <c r="L101" s="2"/>
    </row>
    <row r="102">
      <c r="A102" s="2"/>
      <c r="B102" s="2" t="s">
        <v>935</v>
      </c>
      <c r="C102" s="71" t="s">
        <v>590</v>
      </c>
      <c r="D102" s="71">
        <v>0.13</v>
      </c>
      <c r="E102" s="71">
        <v>0.22</v>
      </c>
      <c r="F102" s="71">
        <v>0.14</v>
      </c>
      <c r="G102" s="71">
        <v>0.17</v>
      </c>
      <c r="H102" s="71">
        <v>1369.7</v>
      </c>
      <c r="I102" s="71">
        <v>1446</v>
      </c>
      <c r="J102" s="73"/>
      <c r="K102" s="4" t="s">
        <v>936</v>
      </c>
      <c r="L102" s="2"/>
    </row>
    <row r="103">
      <c r="A103" s="2"/>
      <c r="B103" s="2" t="s">
        <v>937</v>
      </c>
      <c r="C103" s="71" t="s">
        <v>595</v>
      </c>
      <c r="D103" s="71">
        <v>0.31</v>
      </c>
      <c r="E103" s="71">
        <v>0.34</v>
      </c>
      <c r="F103" s="71">
        <v>0.31</v>
      </c>
      <c r="G103" s="71">
        <v>0.55</v>
      </c>
      <c r="H103" s="71">
        <v>1498.66</v>
      </c>
      <c r="I103" s="71">
        <v>1543.4</v>
      </c>
      <c r="J103" s="73"/>
      <c r="K103" s="4" t="s">
        <v>938</v>
      </c>
      <c r="L103" s="2"/>
    </row>
    <row r="104">
      <c r="A104" s="2"/>
      <c r="B104" s="2" t="s">
        <v>939</v>
      </c>
      <c r="C104" s="71" t="s">
        <v>608</v>
      </c>
      <c r="D104" s="71">
        <v>0.39</v>
      </c>
      <c r="E104" s="71">
        <v>0.41</v>
      </c>
      <c r="F104" s="71">
        <v>0.39</v>
      </c>
      <c r="G104" s="71">
        <v>0.4</v>
      </c>
      <c r="H104" s="71">
        <v>1711.94</v>
      </c>
      <c r="I104" s="71">
        <v>1765.8</v>
      </c>
      <c r="J104" s="73"/>
      <c r="K104" s="4" t="s">
        <v>940</v>
      </c>
      <c r="L104" s="2"/>
    </row>
    <row r="105">
      <c r="A105" s="2"/>
      <c r="B105" s="2" t="s">
        <v>941</v>
      </c>
      <c r="C105" s="71" t="s">
        <v>614</v>
      </c>
      <c r="D105" s="71">
        <v>0.37</v>
      </c>
      <c r="E105" s="71">
        <v>0.42</v>
      </c>
      <c r="F105" s="71">
        <v>0.37</v>
      </c>
      <c r="G105" s="71">
        <v>0.45</v>
      </c>
      <c r="H105" s="71">
        <v>1650.6</v>
      </c>
      <c r="I105" s="71">
        <v>1742.5</v>
      </c>
      <c r="J105" s="73"/>
      <c r="K105" s="4" t="s">
        <v>942</v>
      </c>
      <c r="L105" s="2"/>
    </row>
    <row r="106">
      <c r="A106" s="2"/>
      <c r="B106" s="2" t="s">
        <v>943</v>
      </c>
      <c r="C106" s="71" t="s">
        <v>618</v>
      </c>
      <c r="D106" s="71">
        <v>0.24</v>
      </c>
      <c r="E106" s="71">
        <v>0.28</v>
      </c>
      <c r="F106" s="71">
        <v>0.24</v>
      </c>
      <c r="G106" s="71">
        <v>0.22</v>
      </c>
      <c r="H106" s="71">
        <v>1519.46</v>
      </c>
      <c r="I106" s="71">
        <v>1562</v>
      </c>
      <c r="J106" s="73"/>
      <c r="K106" s="4" t="s">
        <v>944</v>
      </c>
      <c r="L106" s="2"/>
    </row>
    <row r="107">
      <c r="A107" s="2"/>
      <c r="B107" s="2" t="s">
        <v>945</v>
      </c>
      <c r="C107" s="27" t="s">
        <v>946</v>
      </c>
      <c r="D107" s="27"/>
      <c r="E107" s="27"/>
      <c r="F107" s="27"/>
      <c r="G107" s="27"/>
      <c r="H107" s="27"/>
      <c r="I107" s="27"/>
      <c r="J107" s="27"/>
      <c r="K107" s="2"/>
      <c r="L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</sheetData>
</worksheet>
</file>