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Home &amp; Outdoor" sheetId="3" r:id="rId4"/>
    <sheet name="Segment - Beauty &amp; Wellness" sheetId="4" r:id="rId5"/>
    <sheet name="Income Statement" sheetId="5" r:id="rId6"/>
    <sheet name="Balance Sheet" sheetId="6" r:id="rId7"/>
    <sheet name="Cash Flow Statement" sheetId="7" r:id="rId8"/>
    <sheet name="Geo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25" authorId="0">
      <text>
        <t>Estimate rationale: guidance implies ~$0.525 for 2Q (15% of the $3.25-3.75 FY27 range); the company beat its own guidance midpoint in each of the last four guided quarters.
Upside skew: remaining Phase 1 tariff refunds (~$7m) are in guidance; Phase 2 refunds (up to ~$71m of duties paid) are excluded from guidance and could be recognised early, as peers did.
Downside: freight, commodity and yuan inflation, Middle East supply risk, Prime Day sell-in shifted into 1Q, volatile quarterly adjusted tax rate.</t>
      </text>
    </comment>
  </commentList>
</comments>
</file>

<file path=xl/sharedStrings.xml><?xml version="1.0" encoding="utf-8"?>
<sst xmlns="http://schemas.openxmlformats.org/spreadsheetml/2006/main" count="1452" uniqueCount="827">
  <si>
    <t>Helen of Troy Limited (NasdaqGS: HELE)</t>
  </si>
  <si>
    <t>Cover - Company Model — built by Shortcut</t>
  </si>
  <si>
    <t>$ millions, except per share</t>
  </si>
  <si>
    <t>Period</t>
  </si>
  <si>
    <t>2Q27E</t>
  </si>
  <si>
    <t>Period end</t>
  </si>
  <si>
    <t>Days in period</t>
  </si>
  <si>
    <t>Company Model — built by Shortcut</t>
  </si>
  <si>
    <t>Company</t>
  </si>
  <si>
    <t>Helen of Troy Limited</t>
  </si>
  <si>
    <t>Ticker</t>
  </si>
  <si>
    <t>HELE</t>
  </si>
  <si>
    <t>Exchange</t>
  </si>
  <si>
    <t>NasdaqGS</t>
  </si>
  <si>
    <t>Fiscal year end</t>
  </si>
  <si>
    <t>Last day of February (FY27 ends 28-Feb-27)</t>
  </si>
  <si>
    <t>Currency</t>
  </si>
  <si>
    <t>USD</t>
  </si>
  <si>
    <t>EPS basis</t>
  </si>
  <si>
    <t>Adjusted (non-GAAP) diluted EPS = CapIQ normalized diluted EPS</t>
  </si>
  <si>
    <t>Forecast period</t>
  </si>
  <si>
    <t>2Q27E (quarter ended 31-Aug-26)</t>
  </si>
  <si>
    <t>Information cutoff</t>
  </si>
  <si>
    <t>2026-10-04 22:22 UTC</t>
  </si>
  <si>
    <t>Expected report date</t>
  </si>
  <si>
    <t>2026-10-08, before market open (S15)</t>
  </si>
  <si>
    <t>Author</t>
  </si>
  <si>
    <t>Shortcut</t>
  </si>
  <si>
    <t>Market cap ($m) / size / S&amp;P 500</t>
  </si>
  <si>
    <t>Headline: 2Q27E</t>
  </si>
  <si>
    <t>Shortcut estimate</t>
  </si>
  <si>
    <t>Consensus at cutoff (CapIQ)</t>
  </si>
  <si>
    <t>Variance</t>
  </si>
  <si>
    <t>Variance %</t>
  </si>
  <si>
    <t>Guidance midpoint (implied)</t>
  </si>
  <si>
    <t>Estimate less guidance</t>
  </si>
  <si>
    <t>Notes</t>
  </si>
  <si>
    <t>Net sales revenue ($m)</t>
  </si>
  <si>
    <t>Guidance-implied: FY27 range less 1Q27A less 2H26A x (1 - 2.0% Shortcut reading of 'low single-digit decline')</t>
  </si>
  <si>
    <t>Adjusted net income ($m)</t>
  </si>
  <si>
    <t>CapIQ net_income_excl_excep_m</t>
  </si>
  <si>
    <t>Adjusted diluted EPS ($)</t>
  </si>
  <si>
    <t>Frozen 4-Oct-26 CapIQ mean (n=4, range $0.46-0.55); rationale in cell note on B25</t>
  </si>
  <si>
    <t>GAAP net income ($m)</t>
  </si>
  <si>
    <t>n.a.</t>
  </si>
  <si>
    <t>No GAAP quarterly guidance</t>
  </si>
  <si>
    <t>GAAP diluted EPS ($)</t>
  </si>
  <si>
    <t>No GAAP quarterly guidance. Ancillary: 2Q27E GAAP ETR 44.2% is mechanical (Income Statement J51); ~$0.24 if adjustments taxed at 25.5%</t>
  </si>
  <si>
    <t>P(beat consensus EPS)</t>
  </si>
  <si>
    <t>Equals estimate.json p_beat_consensus_eps; derivation on Inputs block E</t>
  </si>
  <si>
    <t>Confidence</t>
  </si>
  <si>
    <t>Check: Cover ties to statements</t>
  </si>
  <si>
    <t>C: revenue, D: adj. NI, E: adj. EPS, F: GAAP NI, G: GAAP EPS. Direct links - true by construction</t>
  </si>
  <si>
    <t>Historical &amp; rollforward checks</t>
  </si>
  <si>
    <t>Independent historical ties only (columns C:G of statement, segment, geo, FY-vs-quarter and retained-earnings roll checks); scalar SUMIF form with numeric guard (any error = FAIL). Does not test 2Q27E assumptions</t>
  </si>
  <si>
    <t>Identity checks (by construction)</t>
  </si>
  <si>
    <t>Arithmetic identities only: IS H34 (residual SG&amp;A), IS row 125 (algebraic bridge), Geo H35 (domestic plug), CF F63 (YTD differences telescope), Cover row 30 (direct links). TIES does not validate forecast assumptions</t>
  </si>
  <si>
    <t>Revenue summary - segments, total and growth decomposition</t>
  </si>
  <si>
    <t>2Q26A</t>
  </si>
  <si>
    <t>3Q26A</t>
  </si>
  <si>
    <t>4Q26A</t>
  </si>
  <si>
    <t>FY26A</t>
  </si>
  <si>
    <t>1Q27A</t>
  </si>
  <si>
    <t>Home &amp; Outdoor ($ millions)</t>
  </si>
  <si>
    <t>Home &amp; Outdoor net sales</t>
  </si>
  <si>
    <t xml:space="preserve">  PY net sales</t>
  </si>
  <si>
    <t xml:space="preserve">  % Y/Y</t>
  </si>
  <si>
    <t xml:space="preserve">  % Q/Q</t>
  </si>
  <si>
    <t xml:space="preserve">  % of total net sales revenue</t>
  </si>
  <si>
    <t xml:space="preserve">  Y/Y change ($)</t>
  </si>
  <si>
    <t xml:space="preserve">  Q/Q change ($)</t>
  </si>
  <si>
    <t xml:space="preserve">  Organic growth (%)</t>
  </si>
  <si>
    <t xml:space="preserve">  M&amp;A / scope (%)</t>
  </si>
  <si>
    <t xml:space="preserve">  FX impact (%)</t>
  </si>
  <si>
    <t xml:space="preserve">  Total Y/Y (%)</t>
  </si>
  <si>
    <t>Beauty &amp; Wellness ($ millions)</t>
  </si>
  <si>
    <t>Beauty &amp; Wellness net sales</t>
  </si>
  <si>
    <t>Total net sales revenue ($ millions)</t>
  </si>
  <si>
    <t>Total net sales revenue</t>
  </si>
  <si>
    <t xml:space="preserve">  Acquisition contribution ($)</t>
  </si>
  <si>
    <t xml:space="preserve">  FX impact ($)</t>
  </si>
  <si>
    <t>Checks and CapIQ tie-out</t>
  </si>
  <si>
    <t>Total net sales revenue, as reported</t>
  </si>
  <si>
    <t>S3-S7 consolidated statements of income</t>
  </si>
  <si>
    <t>Check: segments sum to total</t>
  </si>
  <si>
    <t>Check: FY26A vs sum of quarters</t>
  </si>
  <si>
    <t>CapIQ revenue actual</t>
  </si>
  <si>
    <t>Target-quarter actual intentionally absent</t>
  </si>
  <si>
    <t>CapIQ revenue consensus</t>
  </si>
  <si>
    <t>2Q27E: frozen 4-Oct-26 mean, 4 estimates</t>
  </si>
  <si>
    <t xml:space="preserve">  Less CapIQ consensus ($)</t>
  </si>
  <si>
    <t>Check: vs CapIQ actual (rounding)</t>
  </si>
  <si>
    <t>Geography: domestic (U.S. &amp; Canada) and international are disclosed - see Geo tab.</t>
  </si>
  <si>
    <t>Home &amp; Outdoor segment - revenue build and segment profit</t>
  </si>
  <si>
    <t>Forecast driver assumptions (2Q27E inputs)</t>
  </si>
  <si>
    <t xml:space="preserve">  Organic growth assumption</t>
  </si>
  <si>
    <t>1Q27A organic +8.8%; distribution gains; less Prime Day sell-in pulled into 1Q</t>
  </si>
  <si>
    <t xml:space="preserve">  FX impact assumption</t>
  </si>
  <si>
    <t>1Q27 FX +0.7%/+0.8%; June-26 rates held per guidance</t>
  </si>
  <si>
    <t xml:space="preserve">  Acquisition / scope assumption</t>
  </si>
  <si>
    <t>No acquisitions; Olive &amp; June anniversaried Dec-25 (S6)</t>
  </si>
  <si>
    <t xml:space="preserve">  Adjusted operating margin assumption</t>
  </si>
  <si>
    <t>2Q26A 9.6%; remaining Phase 1 tariff refund vs freight/commodity inflation</t>
  </si>
  <si>
    <t>Revenue bridge ladder: prior-year net sales to current net sales ($ millions)</t>
  </si>
  <si>
    <t>Opening: prior-year net sales</t>
  </si>
  <si>
    <t>S4-S7 prior-year columns; 1Q27 from Inputs 1Q26 memo</t>
  </si>
  <si>
    <t xml:space="preserve">  Organic change ($, as reported)</t>
  </si>
  <si>
    <t>Company bridge table (S1, S4-S6, S9)</t>
  </si>
  <si>
    <t xml:space="preserve">    % of opening net sales</t>
  </si>
  <si>
    <t xml:space="preserve">  FX impact ($, as reported)</t>
  </si>
  <si>
    <t xml:space="preserve">  Acquisition ($, as reported)</t>
  </si>
  <si>
    <t>No acquisitions in Home &amp; Outdoor (Olive &amp; June is in Beauty &amp; Wellness)</t>
  </si>
  <si>
    <t>Closing: net sales revenue</t>
  </si>
  <si>
    <t xml:space="preserve">  Net sales revenue, as reported</t>
  </si>
  <si>
    <t>S3-S7 segment tables</t>
  </si>
  <si>
    <t xml:space="preserve">  Check: ladder less reported</t>
  </si>
  <si>
    <t>Not meaningful for fiscal-year column</t>
  </si>
  <si>
    <t>Growth decomposition (organic = (1+Y/Y)/((1+M&amp;A)x(1+FX))-1)</t>
  </si>
  <si>
    <t xml:space="preserve">  M&amp;A / scope contribution (%)</t>
  </si>
  <si>
    <t xml:space="preserve">  Organic growth (%, company basis)</t>
  </si>
  <si>
    <t>Company reports organic $ / prior-year sales</t>
  </si>
  <si>
    <t>Disclosure coverage (unavailable items labelled, not zero-filled)</t>
  </si>
  <si>
    <t xml:space="preserve">  Brand / product-line net sales</t>
  </si>
  <si>
    <t>n.d.</t>
  </si>
  <si>
    <t>Not disclosed; brands (e.g. OXO, Hydro Flask, Osprey) discussed qualitatively only</t>
  </si>
  <si>
    <t xml:space="preserve">  Units, price/mix, customers</t>
  </si>
  <si>
    <t>Not disclosed by the company</t>
  </si>
  <si>
    <t xml:space="preserve">  Segment geographic split</t>
  </si>
  <si>
    <t>Only consolidated geography is disclosed (see Geo tab)</t>
  </si>
  <si>
    <t>Segment operating profit ($ millions)</t>
  </si>
  <si>
    <t>Operating income (loss), GAAP</t>
  </si>
  <si>
    <t>S3-S7 segment non-GAAP reconciliation tables</t>
  </si>
  <si>
    <t xml:space="preserve">  Asset impairment charges</t>
  </si>
  <si>
    <t>2Q27E: none announced (assumption = 0)</t>
  </si>
  <si>
    <t xml:space="preserve">  Restructuring charges</t>
  </si>
  <si>
    <t xml:space="preserve">  CEO succession costs</t>
  </si>
  <si>
    <t xml:space="preserve">  EPA compliance costs</t>
  </si>
  <si>
    <t xml:space="preserve">  Gain on sale of distribution facility</t>
  </si>
  <si>
    <t>Operating income excl. charges</t>
  </si>
  <si>
    <t xml:space="preserve">  Amortization of intangible assets</t>
  </si>
  <si>
    <t>2Q27E: held at 1Q27A run-rate</t>
  </si>
  <si>
    <t xml:space="preserve">  Share-based compensation</t>
  </si>
  <si>
    <t>2Q27E: (FY27 SBC guide midpoint less 1Q27A)/3, split by 1Q27A segment mix</t>
  </si>
  <si>
    <t>Adjusted operating income</t>
  </si>
  <si>
    <t>2Q27E = net sales x adjusted margin assumption</t>
  </si>
  <si>
    <t xml:space="preserve">  Adj. operating income, as reported</t>
  </si>
  <si>
    <t xml:space="preserve">  Check: computed less reported</t>
  </si>
  <si>
    <t xml:space="preserve">  PY adjusted operating income</t>
  </si>
  <si>
    <t xml:space="preserve">  Adjusted operating income % Y/Y</t>
  </si>
  <si>
    <t xml:space="preserve">  Adj. op. income Q/Q change ($)</t>
  </si>
  <si>
    <t xml:space="preserve">  PY GAAP operating income</t>
  </si>
  <si>
    <t xml:space="preserve">  GAAP op. income Y/Y change ($)</t>
  </si>
  <si>
    <t xml:space="preserve">  GAAP op. income Q/Q change ($)</t>
  </si>
  <si>
    <t xml:space="preserve">  GAAP operating margin</t>
  </si>
  <si>
    <t xml:space="preserve">    Change Y/Y (bp)</t>
  </si>
  <si>
    <t xml:space="preserve">    Change Q/Q (bp)</t>
  </si>
  <si>
    <t>2Q26A vs 1Q26A (= 1Q27A prior-year column)</t>
  </si>
  <si>
    <t xml:space="preserve">  Adjusted operating margin</t>
  </si>
  <si>
    <t xml:space="preserve">  Memo: IEEPA refund in COGS</t>
  </si>
  <si>
    <t>Memo only, not formula-linked (reflected judgmentally in H13 margin). 1Q27A: $1.9m receivable ($1.8m to COGS, $0.1m inventory); 2Q27E = $6.0m H&amp;O claims less $1.9m</t>
  </si>
  <si>
    <t>Adjusted EBITDA ($ millions)</t>
  </si>
  <si>
    <t xml:space="preserve">  Depreciation and amortization</t>
  </si>
  <si>
    <t>2Q27E: (FY27 D&amp;A guide midpoint less 1Q27A)/3, split by 1Q27A segment mix</t>
  </si>
  <si>
    <t xml:space="preserve">  Non-operating income, net</t>
  </si>
  <si>
    <t>Adjusted EBITDA (non-GAAP)</t>
  </si>
  <si>
    <t xml:space="preserve">  Adjusted EBITDA, as reported</t>
  </si>
  <si>
    <t xml:space="preserve">  PY adjusted EBITDA</t>
  </si>
  <si>
    <t xml:space="preserve">  Adjusted EBITDA % Y/Y</t>
  </si>
  <si>
    <t xml:space="preserve">  Adjusted EBITDA Q/Q change ($)</t>
  </si>
  <si>
    <t xml:space="preserve">  Adjusted EBITDA margin</t>
  </si>
  <si>
    <t>Cross-period reconciliation</t>
  </si>
  <si>
    <t>Beauty &amp; Wellness segment - revenue build and segment profit</t>
  </si>
  <si>
    <t>1Q27A organic +6.2% on easy compare; core beauty soft; FY guide implies decline</t>
  </si>
  <si>
    <t>2Q26A 3.1%; plus B&amp;W Phase 1 refund claims ($3.2m filed June-26)</t>
  </si>
  <si>
    <t>Olive &amp; June (acquired 16-Dec-24) until anniversary</t>
  </si>
  <si>
    <t>Not disclosed; brands (e.g. Braun, Vicks, Olive &amp; June) discussed qualitatively only</t>
  </si>
  <si>
    <t>Memo only, not formula-linked (reflected judgmentally in H13 margin). 1Q27A none in B&amp;W; 2Q27E = B&amp;W Phase 1 claims $3.2m submitted June-26</t>
  </si>
  <si>
    <t>Income statement - GAAP to adjusted (non-GAAP) bridge</t>
  </si>
  <si>
    <t>Income statement ($ millions, except per share)</t>
  </si>
  <si>
    <t>Net sales revenue</t>
  </si>
  <si>
    <t>Cost of goods sold</t>
  </si>
  <si>
    <t xml:space="preserve">  COGS % Y/Y</t>
  </si>
  <si>
    <t xml:space="preserve">  COGS Q/Q change ($)</t>
  </si>
  <si>
    <t>Gross profit</t>
  </si>
  <si>
    <t xml:space="preserve">  PY gross profit</t>
  </si>
  <si>
    <t xml:space="preserve">  Gross profit % Y/Y</t>
  </si>
  <si>
    <t xml:space="preserve">  Gross profit Q/Q change ($)</t>
  </si>
  <si>
    <t xml:space="preserve">  Gross margin</t>
  </si>
  <si>
    <t>SG&amp;A expense</t>
  </si>
  <si>
    <t>1Q27A includes $54.9m gain on facility sale; 2Q27E implied residual (plug) = gross profit less segment GAAP operating income, impairment and restructuring</t>
  </si>
  <si>
    <t xml:space="preserve">  PY SG&amp;A</t>
  </si>
  <si>
    <t xml:space="preserve">  SG&amp;A % of net sales</t>
  </si>
  <si>
    <t xml:space="preserve">  SG&amp;A % Y/Y</t>
  </si>
  <si>
    <t xml:space="preserve">  SG&amp;A Q/Q change ($)</t>
  </si>
  <si>
    <t>Asset impairment charges</t>
  </si>
  <si>
    <t>Sum of segment tabs</t>
  </si>
  <si>
    <t>Restructuring charges</t>
  </si>
  <si>
    <t>Operating income (loss)</t>
  </si>
  <si>
    <t>2Q27E = sum of segment GAAP operating income</t>
  </si>
  <si>
    <t xml:space="preserve">  Check: segment OI vs total</t>
  </si>
  <si>
    <t>2Q27E is true by construction (H33 = sum of segment GAAP OI); not an independent check</t>
  </si>
  <si>
    <t xml:space="preserve">  PY operating income</t>
  </si>
  <si>
    <t xml:space="preserve">  Operating income Y/Y change ($)</t>
  </si>
  <si>
    <t xml:space="preserve">  Operating income % Y/Y</t>
  </si>
  <si>
    <t>Not meaningful where either period is a loss</t>
  </si>
  <si>
    <t xml:space="preserve">  Operating income Q/Q change ($)</t>
  </si>
  <si>
    <t xml:space="preserve">  Operating margin</t>
  </si>
  <si>
    <t>Non-operating income, net</t>
  </si>
  <si>
    <t>Sum of segment tabs (allocated to B&amp;W)</t>
  </si>
  <si>
    <t>Interest expense</t>
  </si>
  <si>
    <t xml:space="preserve">  PY interest expense</t>
  </si>
  <si>
    <t xml:space="preserve">  Interest expense Y/Y change ($)</t>
  </si>
  <si>
    <t xml:space="preserve">  Interest expense Q/Q change ($)</t>
  </si>
  <si>
    <t>Income (loss) before income tax</t>
  </si>
  <si>
    <t>Income tax expense (benefit)</t>
  </si>
  <si>
    <t>2Q27E = adjusted tax less tax effect of adjustments</t>
  </si>
  <si>
    <t xml:space="preserve">  PY income before tax</t>
  </si>
  <si>
    <t xml:space="preserve">  PY income tax expense</t>
  </si>
  <si>
    <t xml:space="preserve">  Effective tax rate</t>
  </si>
  <si>
    <t>2Q27E GAAP ETR 44.2% is mechanical: adjusted tax at 25.5% (H161) less tax effects at 1Q27A rates (H162 16.2%, H163 6.6%; S1 $0.672m/$0.424m) vs FY27 GAAP ETR guide 27.2-29.7% (Guidance E80:F80). Retained as disclosed assumption; sensitivity: adjustments taxed at 25.5% -&gt; GAAP EPS ~$0.24 vs $0.18. Adjusted EPS H107 unaffected</t>
  </si>
  <si>
    <t>GAAP rates distorted by impairments / valuation allowances</t>
  </si>
  <si>
    <t>Net income (loss), GAAP</t>
  </si>
  <si>
    <t xml:space="preserve">  Net income (loss), as reported</t>
  </si>
  <si>
    <t>Reported net income as carried in the cash flow statements (S3-S7)</t>
  </si>
  <si>
    <t xml:space="preserve">  PY net income</t>
  </si>
  <si>
    <t xml:space="preserve">  Net income Y/Y change ($)</t>
  </si>
  <si>
    <t xml:space="preserve">  Net income % Y/Y</t>
  </si>
  <si>
    <t xml:space="preserve">  Net income Q/Q change ($)</t>
  </si>
  <si>
    <t xml:space="preserve">  Net margin</t>
  </si>
  <si>
    <t>Weighted average basic shares (m)</t>
  </si>
  <si>
    <t>Diluted shares, GAAP (m)</t>
  </si>
  <si>
    <t>Basic EPS, GAAP</t>
  </si>
  <si>
    <t>Diluted EPS, GAAP</t>
  </si>
  <si>
    <t xml:space="preserve">  Diluted EPS, GAAP as reported</t>
  </si>
  <si>
    <t xml:space="preserve">  PY diluted EPS, GAAP</t>
  </si>
  <si>
    <t>2Q25/3Q25/FY25 from S4-S6 prior-year columns; others CapIQ history</t>
  </si>
  <si>
    <t xml:space="preserve">  GAAP EPS Y/Y change ($)</t>
  </si>
  <si>
    <t xml:space="preserve">  GAAP EPS Q/Q change ($)</t>
  </si>
  <si>
    <t xml:space="preserve">  Check: EPS = NI / diluted shares</t>
  </si>
  <si>
    <t>GAAP to adjusted (non-GAAP) bridge - one row per adjustment ($ millions)</t>
  </si>
  <si>
    <t>Pre-tax income (loss), GAAP</t>
  </si>
  <si>
    <t xml:space="preserve">  Add: asset impairment charges</t>
  </si>
  <si>
    <t xml:space="preserve">  Add: CEO succession costs</t>
  </si>
  <si>
    <t xml:space="preserve">  Add: EPA compliance costs</t>
  </si>
  <si>
    <t xml:space="preserve">  Add: restructuring charges</t>
  </si>
  <si>
    <t xml:space="preserve">  Less: gain on facility sale</t>
  </si>
  <si>
    <t xml:space="preserve">  Add: amortization of intangibles</t>
  </si>
  <si>
    <t xml:space="preserve">  Add: share-based compensation</t>
  </si>
  <si>
    <t>Adjusted income before tax</t>
  </si>
  <si>
    <t>Income tax expense, GAAP</t>
  </si>
  <si>
    <t xml:space="preserve">  Tax effect: impairment charges</t>
  </si>
  <si>
    <t xml:space="preserve">  Tax effect: CEO succession costs</t>
  </si>
  <si>
    <t xml:space="preserve">  Tax effect: EPA compliance costs</t>
  </si>
  <si>
    <t xml:space="preserve">  Tax effect: restructuring charges</t>
  </si>
  <si>
    <t xml:space="preserve">  Tax effect: gain on facility sale</t>
  </si>
  <si>
    <t xml:space="preserve">  Tax effect: intangible reorganization</t>
  </si>
  <si>
    <t>Tax-only adjustment; no pre-tax amount</t>
  </si>
  <si>
    <t xml:space="preserve">  Tax effect: amortization</t>
  </si>
  <si>
    <t>2Q27E at 1Q27A effective rate</t>
  </si>
  <si>
    <t xml:space="preserve">  Tax effect: share-based comp.</t>
  </si>
  <si>
    <t>Adjusted income tax expense</t>
  </si>
  <si>
    <t xml:space="preserve">  PY adjusted income before tax</t>
  </si>
  <si>
    <t xml:space="preserve">  PY adjusted income tax</t>
  </si>
  <si>
    <t xml:space="preserve">  Adjusted effective tax rate</t>
  </si>
  <si>
    <t>Adjusted net income (non-GAAP)</t>
  </si>
  <si>
    <t xml:space="preserve">  PY adjusted net income</t>
  </si>
  <si>
    <t xml:space="preserve">  Adj. net income Y/Y change ($)</t>
  </si>
  <si>
    <t xml:space="preserve">  Adjusted net income % Y/Y</t>
  </si>
  <si>
    <t xml:space="preserve">  Adj. net income Q/Q change ($)</t>
  </si>
  <si>
    <t xml:space="preserve">  Adjusted net income, as reported</t>
  </si>
  <si>
    <t>Adjusted diluted shares (m)</t>
  </si>
  <si>
    <t>Adjusted diluted EPS</t>
  </si>
  <si>
    <t>Company adjusted EPS = CapIQ normalized EPS basis</t>
  </si>
  <si>
    <t xml:space="preserve">  Adjusted diluted EPS, as reported</t>
  </si>
  <si>
    <t xml:space="preserve">  Check: adj. EPS = adj. NI / shares</t>
  </si>
  <si>
    <t xml:space="preserve">  PY adjusted diluted EPS</t>
  </si>
  <si>
    <t>4Q26/1Q27 prior-year from CapIQ history rows</t>
  </si>
  <si>
    <t xml:space="preserve">  Adjusted EPS % Y/Y</t>
  </si>
  <si>
    <t xml:space="preserve">  Adjusted EPS Q/Q change ($)</t>
  </si>
  <si>
    <t>Per-share bridge (per adjusted diluted share)</t>
  </si>
  <si>
    <t>GAAP NI per adjusted diluted share</t>
  </si>
  <si>
    <t xml:space="preserve">  Impairment charges, net of tax</t>
  </si>
  <si>
    <t xml:space="preserve">  CEO succession costs, net of tax</t>
  </si>
  <si>
    <t xml:space="preserve">  EPA compliance costs, net of tax</t>
  </si>
  <si>
    <t xml:space="preserve">  Restructuring charges, net of tax</t>
  </si>
  <si>
    <t xml:space="preserve">  Gain on facility sale, net of tax</t>
  </si>
  <si>
    <t xml:space="preserve">  Intangible asset reorganization (tax)</t>
  </si>
  <si>
    <t xml:space="preserve">  Amortization, net of tax</t>
  </si>
  <si>
    <t xml:space="preserve">  Share-based comp., net of tax</t>
  </si>
  <si>
    <t>Adjusted EPS (sum of bridge)</t>
  </si>
  <si>
    <t xml:space="preserve">  Check: bridge less adjusted EPS</t>
  </si>
  <si>
    <t>Algebraic identity in all columns (bridge sums to adjusted NI / shares); shown on Cover row 32, excluded from historical PASS</t>
  </si>
  <si>
    <t>Adjusted operating metrics ($ millions)</t>
  </si>
  <si>
    <t>Adjusted EBITDA</t>
  </si>
  <si>
    <t>CapIQ tie-out (HELE_history.csv / HELE_consensus.json)</t>
  </si>
  <si>
    <t xml:space="preserve">  CapIQ normalized EPS, actual</t>
  </si>
  <si>
    <t xml:space="preserve">  CapIQ normalized EPS, consensus</t>
  </si>
  <si>
    <t>2Q27E: frozen 4-Oct-26 mean (n=4)</t>
  </si>
  <si>
    <t xml:space="preserve">  Adj. EPS less CapIQ consensus</t>
  </si>
  <si>
    <t xml:space="preserve">  Check: adj. EPS vs CapIQ actual</t>
  </si>
  <si>
    <t xml:space="preserve">  CapIQ GAAP EPS, actual</t>
  </si>
  <si>
    <t xml:space="preserve">  CapIQ GAAP EPS, consensus</t>
  </si>
  <si>
    <t>GAAP surprise not meaningful May-25 to Feb-26 (impairments)</t>
  </si>
  <si>
    <t>Cross-period reconciliation: FY26A vs 1Q26A (Inputs) + 2Q-4Q26A</t>
  </si>
  <si>
    <t xml:space="preserve">  Check: Net sales revenue</t>
  </si>
  <si>
    <t xml:space="preserve">  Check: Gross profit</t>
  </si>
  <si>
    <t xml:space="preserve">  Check: Operating income (loss)</t>
  </si>
  <si>
    <t xml:space="preserve">  Check: Net income (loss)</t>
  </si>
  <si>
    <t>Forecast assumptions (2Q27E inputs)</t>
  </si>
  <si>
    <t xml:space="preserve">  Gross margin assumption</t>
  </si>
  <si>
    <t>2Q27E COGS/SG&amp;A split assumption only: SG&amp;A is the residual, so this input does not change OI, NI or EPS. 2Q26A 44.2%; ~$7m Phase 1 refund (+160bp) less freight/commodity/yuan inflation</t>
  </si>
  <si>
    <t xml:space="preserve">  Adjusted effective tax rate assumption</t>
  </si>
  <si>
    <t>FY27 guide 24-26%; 1Q27A 2.7% implies higher rate in remaining quarters</t>
  </si>
  <si>
    <t xml:space="preserve">  Tax rate on amortization adjustment</t>
  </si>
  <si>
    <t>1Q27A effective</t>
  </si>
  <si>
    <t xml:space="preserve">  Tax rate on share-based compensation adjustment</t>
  </si>
  <si>
    <t xml:space="preserve">  Interest expense assumption</t>
  </si>
  <si>
    <t>FY27 guide midpoint less 1Q27A, spread evenly</t>
  </si>
  <si>
    <t>Balance sheet - as reported</t>
  </si>
  <si>
    <t>Assets ($ millions)</t>
  </si>
  <si>
    <t xml:space="preserve">  Cash and cash equivalents</t>
  </si>
  <si>
    <t>Equals reported ending cash in the cash flow statements (Inputs block G)</t>
  </si>
  <si>
    <t xml:space="preserve">  Receivables, net</t>
  </si>
  <si>
    <t xml:space="preserve">  Inventory</t>
  </si>
  <si>
    <t xml:space="preserve">  Prepaid and other current assets</t>
  </si>
  <si>
    <t xml:space="preserve">  Income taxes receivable</t>
  </si>
  <si>
    <t>Total current assets</t>
  </si>
  <si>
    <t xml:space="preserve">  Property and equipment, net</t>
  </si>
  <si>
    <t xml:space="preserve">  Goodwill</t>
  </si>
  <si>
    <t xml:space="preserve">  Other intangible assets, net</t>
  </si>
  <si>
    <t xml:space="preserve">  Operating lease assets</t>
  </si>
  <si>
    <t xml:space="preserve">  Deferred tax assets, net</t>
  </si>
  <si>
    <t xml:space="preserve">  Assets held for sale</t>
  </si>
  <si>
    <t xml:space="preserve">  Other assets</t>
  </si>
  <si>
    <t>Total assets</t>
  </si>
  <si>
    <t>Liabilities and stockholders' equity ($ millions)</t>
  </si>
  <si>
    <t xml:space="preserve">  Accounts payable</t>
  </si>
  <si>
    <t xml:space="preserve">  Accrued and other current liabilities</t>
  </si>
  <si>
    <t xml:space="preserve">  Income taxes payable</t>
  </si>
  <si>
    <t xml:space="preserve">  Long-term debt, current maturities</t>
  </si>
  <si>
    <t>Total current liabilities</t>
  </si>
  <si>
    <t xml:space="preserve">  Long-term debt, non-current</t>
  </si>
  <si>
    <t xml:space="preserve">  Lease liabilities, non-current</t>
  </si>
  <si>
    <t xml:space="preserve">  Deferred tax liabilities, net</t>
  </si>
  <si>
    <t xml:space="preserve">  Other liabilities, non-current</t>
  </si>
  <si>
    <t>Total liabilities</t>
  </si>
  <si>
    <t xml:space="preserve">  Common stock</t>
  </si>
  <si>
    <t xml:space="preserve">  Additional paid in capital</t>
  </si>
  <si>
    <t xml:space="preserve">  Accum. other compr. income</t>
  </si>
  <si>
    <t xml:space="preserve">  Retained earnings</t>
  </si>
  <si>
    <t>Total stockholders' equity</t>
  </si>
  <si>
    <t>Total liabilities and equity</t>
  </si>
  <si>
    <t>Check: assets - liabilities - equity</t>
  </si>
  <si>
    <t xml:space="preserve">  Total assets, as reported</t>
  </si>
  <si>
    <t xml:space="preserve">  Check: total assets vs reported</t>
  </si>
  <si>
    <t>Memo: debt and working capital</t>
  </si>
  <si>
    <t>Total debt</t>
  </si>
  <si>
    <t>Net debt (total debt less cash)</t>
  </si>
  <si>
    <t xml:space="preserve">  Total debt Q/Q change</t>
  </si>
  <si>
    <t>3Q26A debt roll residual: D49 (0.827) vs debt cash flows CF D45+D46+D48 (1.088) + financing-cost amortization CF D12 0.395 = (0.693), residual (0.134); incl. extinguishment loss CF D17 0.855 and financing costs paid CF D49 (0.958) = (0.796), residual (0.031). Cost allocation not in cached sources; historical only, no EPS effect. 4Q26A/1Q27A tie exactly</t>
  </si>
  <si>
    <t xml:space="preserve">  Inventory Q/Q change</t>
  </si>
  <si>
    <t xml:space="preserve">  Receivables Q/Q change</t>
  </si>
  <si>
    <t>Trade working capital</t>
  </si>
  <si>
    <t>Trade working capital (receivables + inventory - payables)</t>
  </si>
  <si>
    <t>2Q27E balance sheet not forecast: the EPS estimate does not depend on it (interest uses FY27 guidance).</t>
  </si>
  <si>
    <t>Check: retained earnings roll</t>
  </si>
  <si>
    <t>Independent rollforward: change in retained earnings less GAAP net income (no dividends). 2Q26A and FY26A n.a. - opening retained earnings (31-May-25, 28-Feb-25) not in workbook; 1Q27A rolls from 4Q26A</t>
  </si>
  <si>
    <t>Cash flow statement - quarters derived from reported year-to-date figures</t>
  </si>
  <si>
    <t>Operating activities ($ millions)</t>
  </si>
  <si>
    <t xml:space="preserve">  Net income (loss)</t>
  </si>
  <si>
    <t xml:space="preserve">  Amortization of financing costs</t>
  </si>
  <si>
    <t xml:space="preserve">  Non-cash operating lease expense</t>
  </si>
  <si>
    <t xml:space="preserve">  Provision for credit losses</t>
  </si>
  <si>
    <t xml:space="preserve">  Loss on extinguishment of debt</t>
  </si>
  <si>
    <t xml:space="preserve">  Gain on disposal of PP&amp;E</t>
  </si>
  <si>
    <t xml:space="preserve">  Deferred income taxes and credits</t>
  </si>
  <si>
    <t xml:space="preserve">  Change in receivables</t>
  </si>
  <si>
    <t xml:space="preserve">  Change in inventory</t>
  </si>
  <si>
    <t xml:space="preserve">  Change in prepaid and other assets</t>
  </si>
  <si>
    <t xml:space="preserve">  Change in other assets &amp; liabilities</t>
  </si>
  <si>
    <t xml:space="preserve">  Change in accounts payable</t>
  </si>
  <si>
    <t xml:space="preserve">  Change in accrued and other liabs.</t>
  </si>
  <si>
    <t xml:space="preserve">  Change in accrued income taxes</t>
  </si>
  <si>
    <t>Net cash from operating activities</t>
  </si>
  <si>
    <t xml:space="preserve">  Operating cash flow, as reported</t>
  </si>
  <si>
    <t>Investing activities ($ millions)</t>
  </si>
  <si>
    <t xml:space="preserve">  Capital &amp; intangible asset spend</t>
  </si>
  <si>
    <t xml:space="preserve">  Net proceeds, business acquired</t>
  </si>
  <si>
    <t xml:space="preserve">  Purchases of U.S. Treasury Bills</t>
  </si>
  <si>
    <t xml:space="preserve">  Maturities of U.S. Treasury Bills</t>
  </si>
  <si>
    <t xml:space="preserve">  Proceeds from facility sale</t>
  </si>
  <si>
    <t xml:space="preserve">  Proceeds from sale of PP&amp;E</t>
  </si>
  <si>
    <t xml:space="preserve">  Proceeds from promissory note</t>
  </si>
  <si>
    <t>Net cash from investing activities</t>
  </si>
  <si>
    <t xml:space="preserve">  Investing cash flow, as reported</t>
  </si>
  <si>
    <t>Financing activities ($ millions)</t>
  </si>
  <si>
    <t xml:space="preserve">  Proceeds from revolving loans</t>
  </si>
  <si>
    <t xml:space="preserve">  Repayment of revolving loans</t>
  </si>
  <si>
    <t xml:space="preserve">  Proceeds from term loans</t>
  </si>
  <si>
    <t xml:space="preserve">  Repayment of long-term debt</t>
  </si>
  <si>
    <t xml:space="preserve">  Payment of financing costs</t>
  </si>
  <si>
    <t xml:space="preserve">  Contingent consideration paid</t>
  </si>
  <si>
    <t xml:space="preserve">  Share-plan issuance proceeds</t>
  </si>
  <si>
    <t xml:space="preserve">  Repurchases of common stock</t>
  </si>
  <si>
    <t>Net cash from financing activities</t>
  </si>
  <si>
    <t xml:space="preserve">  Financing cash flow, as reported</t>
  </si>
  <si>
    <t>Cash reconciliation ($ millions)</t>
  </si>
  <si>
    <t>Net change in cash</t>
  </si>
  <si>
    <t xml:space="preserve">  Cash, beginning of period</t>
  </si>
  <si>
    <t>2Q26A: 31-May-25 cash from 1Q26 cash flow statement</t>
  </si>
  <si>
    <t>Cash, end of period</t>
  </si>
  <si>
    <t xml:space="preserve">  Cash per Balance Sheet</t>
  </si>
  <si>
    <t>Check: cash ties to Balance Sheet</t>
  </si>
  <si>
    <t>Check: FY26A vs quarters (CFO)</t>
  </si>
  <si>
    <t>Identity: quarters are YTD differences, so FY = 1Q26 + 2Q-4Q26 by construction; shown on Cover row 32, excluded from historical PASS</t>
  </si>
  <si>
    <t>Memo: free cash flow ($ millions)</t>
  </si>
  <si>
    <t>Free cash flow (CFO less capex)</t>
  </si>
  <si>
    <t xml:space="preserve">  Free cash flow % of net sales</t>
  </si>
  <si>
    <t>2Q27E cash flow not forecast: the EPS estimate does not depend on it.</t>
  </si>
  <si>
    <t>Geography - domestic (U.S. &amp; Canada) and international net sales</t>
  </si>
  <si>
    <t>Driver assumption (2Q27E input)</t>
  </si>
  <si>
    <t xml:space="preserve">  International net sales growth assumption</t>
  </si>
  <si>
    <t>1Q27A international +1.1%</t>
  </si>
  <si>
    <t>International net sales ($ millions)</t>
  </si>
  <si>
    <t>International net sales</t>
  </si>
  <si>
    <t>S3-S7 geographic tables</t>
  </si>
  <si>
    <t>Organic / FX / M&amp;A split not disclosed by geography</t>
  </si>
  <si>
    <t>Domestic (U.S. &amp; Canada) net sales ($ millions)</t>
  </si>
  <si>
    <t>Domestic net sales</t>
  </si>
  <si>
    <t>2Q27E domestic = total less international</t>
  </si>
  <si>
    <t>Total and check ($ millions)</t>
  </si>
  <si>
    <t>Total net sales (geographic sum)</t>
  </si>
  <si>
    <t xml:space="preserve">  Total net sales (Revenue summary)</t>
  </si>
  <si>
    <t>Check: Geo sums to total revenue</t>
  </si>
  <si>
    <t>2Q27E is true by construction (domestic = total less international); not an independent check</t>
  </si>
  <si>
    <t>Check: FY26A vs quarters (intl.)</t>
  </si>
  <si>
    <t>Share count - weighted shares, buybacks and issuance</t>
  </si>
  <si>
    <t>Shares in millions; $ millions where stated</t>
  </si>
  <si>
    <t>Weighted average shares (millions)</t>
  </si>
  <si>
    <t>Weighted average basic shares</t>
  </si>
  <si>
    <t>2Q27E: 1Q27A basic plus vesting</t>
  </si>
  <si>
    <t>Wtd. avg. diluted shares, GAAP</t>
  </si>
  <si>
    <t>Loss periods: diluted = basic. 2Q27E vs FY27 guide 23.8m</t>
  </si>
  <si>
    <t xml:space="preserve">  Dilutive securities</t>
  </si>
  <si>
    <t xml:space="preserve">  PY diluted shares, GAAP</t>
  </si>
  <si>
    <t xml:space="preserve">  Diluted shares Y/Y change (m)</t>
  </si>
  <si>
    <t xml:space="preserve">  Diluted shares Q/Q change (m)</t>
  </si>
  <si>
    <t>Adjusted diluted shares</t>
  </si>
  <si>
    <t>Company uses dilutive count for adjusted EPS when GAAP is a loss</t>
  </si>
  <si>
    <t xml:space="preserve">  Adjusted less GAAP shares (m)</t>
  </si>
  <si>
    <t>Shares outstanding and capital returns</t>
  </si>
  <si>
    <t>Shares outstanding, period end (m)</t>
  </si>
  <si>
    <t>Balance sheet share counts (S3-S5); 2Q27E not forecast</t>
  </si>
  <si>
    <t>Share repurchase payments ($m)</t>
  </si>
  <si>
    <t>Mostly share withholding for tax; no open-market program in model</t>
  </si>
  <si>
    <t>Share-plan issuance proceeds ($m)</t>
  </si>
  <si>
    <t xml:space="preserve">  Shares repurchased (count)</t>
  </si>
  <si>
    <t>Unavailable in sources fetched for this model</t>
  </si>
  <si>
    <t>Share count behind the forecast EPS</t>
  </si>
  <si>
    <t>Shares behind 2Q27E EPS (m)</t>
  </si>
  <si>
    <t xml:space="preserve">  FY27 guide: diluted shares (m)</t>
  </si>
  <si>
    <t>Guidance - company outlook history and implied 2Q27 targets</t>
  </si>
  <si>
    <t>$ millions, except per share; % and x as labelled</t>
  </si>
  <si>
    <t>Metric</t>
  </si>
  <si>
    <t>Date issued</t>
  </si>
  <si>
    <t>Low</t>
  </si>
  <si>
    <t>High</t>
  </si>
  <si>
    <t>Midpoint</t>
  </si>
  <si>
    <t>Actual</t>
  </si>
  <si>
    <t>Beat / miss vs midpoint</t>
  </si>
  <si>
    <t>Source / note</t>
  </si>
  <si>
    <t>Net sales ($m)</t>
  </si>
  <si>
    <t>2Q26</t>
  </si>
  <si>
    <t>S9: 1Q26 release</t>
  </si>
  <si>
    <t>S9</t>
  </si>
  <si>
    <t>H&amp;O net sales growth Y/Y</t>
  </si>
  <si>
    <t>B&amp;W net sales growth Y/Y</t>
  </si>
  <si>
    <t>S9 (incl. $26-27m Olive &amp; June)</t>
  </si>
  <si>
    <t>S9; actual includes $326m impairment</t>
  </si>
  <si>
    <t>Interest expense ($m)</t>
  </si>
  <si>
    <t>Diluted shares (m)</t>
  </si>
  <si>
    <t>S9; actual = adjusted diluted shares</t>
  </si>
  <si>
    <t>Olive &amp; June contribution ($m)</t>
  </si>
  <si>
    <t>S9; actual = B&amp;W acquisition line</t>
  </si>
  <si>
    <t>GAAP effective tax rate</t>
  </si>
  <si>
    <t>S9; range quoted by the company as (84.9)% to (287.3)% - columns are from/to, not ordered low/high</t>
  </si>
  <si>
    <t>Adjusted effective tax rate</t>
  </si>
  <si>
    <t>3Q26</t>
  </si>
  <si>
    <t>S4: 2Q26 release</t>
  </si>
  <si>
    <t>S4</t>
  </si>
  <si>
    <t>FY26</t>
  </si>
  <si>
    <t>S4; actual includes impairment and tax valuation allowance</t>
  </si>
  <si>
    <t>S4; range quoted as (10.0)% to (16.0)% - columns are from/to, not ordered low/high</t>
  </si>
  <si>
    <t>S4; actual = adjusted diluted shares</t>
  </si>
  <si>
    <t>S5: 3Q26 release (updated)</t>
  </si>
  <si>
    <t>H&amp;O net sales ($m)</t>
  </si>
  <si>
    <t>S5</t>
  </si>
  <si>
    <t>B&amp;W net sales ($m)</t>
  </si>
  <si>
    <t>S5; actual = adjusted diluted shares</t>
  </si>
  <si>
    <t>S5 (cut)</t>
  </si>
  <si>
    <t>Adj. EPS, implied 4Q ($)</t>
  </si>
  <si>
    <t>4Q26</t>
  </si>
  <si>
    <t>Adjusted diluted EPS, implied balance of year ($) | S5 three-month outlook</t>
  </si>
  <si>
    <t>FY27</t>
  </si>
  <si>
    <t>Pending</t>
  </si>
  <si>
    <t>S6: 4Q26 release</t>
  </si>
  <si>
    <t>S6</t>
  </si>
  <si>
    <t>Adjusted EBITDA ($m)</t>
  </si>
  <si>
    <t>Operating cash flow ($m)</t>
  </si>
  <si>
    <t>Free cash flow ($m)</t>
  </si>
  <si>
    <t>Capital expenditures ($m)</t>
  </si>
  <si>
    <t>Depreciation and amortization ($m)</t>
  </si>
  <si>
    <t>S6 outlook EBITDA reconciliation</t>
  </si>
  <si>
    <t>Non-cash share-based comp. ($m)</t>
  </si>
  <si>
    <t>Net leverage ratio, year-end (x)</t>
  </si>
  <si>
    <t>S6: approx. 3.2x or lower (one-sided target; G shows the ceiling, not a midpoint)</t>
  </si>
  <si>
    <t>Adj. EPS, ~breakeven ($)</t>
  </si>
  <si>
    <t>1Q27</t>
  </si>
  <si>
    <t>~breakeven</t>
  </si>
  <si>
    <t>S11: 4Q26 call (~breakeven 1Q; ~15% of FY in 1H). Qualitative, not a numeric target: not scored and excluded from C93:D93</t>
  </si>
  <si>
    <t>S1: 1Q27 release (raised)</t>
  </si>
  <si>
    <t>Home &amp; Outdoor net sales ($m)</t>
  </si>
  <si>
    <t>S1</t>
  </si>
  <si>
    <t>Beauty &amp; Wellness net sales ($m)</t>
  </si>
  <si>
    <t>S1 (maintained)</t>
  </si>
  <si>
    <t>Weighted average diluted shares (m)</t>
  </si>
  <si>
    <t>S1 outlook EBITDA reconciliation</t>
  </si>
  <si>
    <t>S1: approx. 3.2x or lower (one-sided target; G shows the ceiling, not a midpoint)</t>
  </si>
  <si>
    <t>2Q share of FY27 adj. EPS</t>
  </si>
  <si>
    <t>2Q27</t>
  </si>
  <si>
    <t>Mgmt cadence: 2Q share of FY27 adjusted EPS | S2: 1Q27 call (~20% in 1H, ~15% in 2Q)</t>
  </si>
  <si>
    <t>2H net sales growth (midpoint)</t>
  </si>
  <si>
    <t>2H27</t>
  </si>
  <si>
    <t>Mgmt cadence: 2H net sales growth at midpoint (low-single-digit decline) | S2; -2.0% is a Shortcut reading of "low single-digit decline"</t>
  </si>
  <si>
    <t>Implied 2Q27 targets (derived from guidance above)</t>
  </si>
  <si>
    <t>Implied 2Q27 adj. EPS ($)</t>
  </si>
  <si>
    <t>15% x FY27 adjusted EPS range</t>
  </si>
  <si>
    <t>Implied 2Q27 net sales ($m)</t>
  </si>
  <si>
    <t>FY27 range less 1Q27A less 2H26A x (1 + 2H growth)</t>
  </si>
  <si>
    <t>Implied 2Q27 adj. net income ($m)</t>
  </si>
  <si>
    <t>Implied EPS x guided 23.8m diluted shares</t>
  </si>
  <si>
    <t>Track record: reported vs own guidance midpoint</t>
  </si>
  <si>
    <t>Beats vs midpoint (C) / items (D)</t>
  </si>
  <si>
    <t>Count of beats (C) out of items with actuals (D). Descriptive only: repeats actuals across guidance vintages and includes impairment-driven GAAP misses; not used in p(beat)</t>
  </si>
  <si>
    <t>Sources - publication dates, retrieval timestamps and model destinations</t>
  </si>
  <si>
    <t>Source register (no monetary data)</t>
  </si>
  <si>
    <t>ID</t>
  </si>
  <si>
    <t>Published</t>
  </si>
  <si>
    <t>Retrieved (UTC)</t>
  </si>
  <si>
    <t>Publisher</t>
  </si>
  <si>
    <t>URL or file</t>
  </si>
  <si>
    <t>What it feeds</t>
  </si>
  <si>
    <t>2026-10-05</t>
  </si>
  <si>
    <t>Helen of Troy / SEC (8-K Ex. 99.1)</t>
  </si>
  <si>
    <t>https://www.sec.gov/Archives/edgar/data/916789/000091678926000094/fy27_q1xex-991.htm</t>
  </si>
  <si>
    <t>1Q27A P&amp;L, segments, bridge, geography, FY27 outlook (Guidance, IS, segments, Geo)</t>
  </si>
  <si>
    <t>S2</t>
  </si>
  <si>
    <t>The Motley Fool (1Q27 call transcript, held 2026-07-08)</t>
  </si>
  <si>
    <t>https://www.fool.com/earnings/call-transcripts/2026/07/09/helen-of-troy-hele-q1-2027-earnings-call-transcript/</t>
  </si>
  <si>
    <t>2Q ~15% of FY adj. EPS; Prime Day pull-forward $4-5m; $15m supply risk; tariff refund cadence</t>
  </si>
  <si>
    <t>S3</t>
  </si>
  <si>
    <t>Helen of Troy / SEC (10-Q, quarter ended 2026-05-31)</t>
  </si>
  <si>
    <t>https://www.sec.gov/Archives/edgar/data/916789/000091678926000096/ (R1, R2, R4, R7, R15)</t>
  </si>
  <si>
    <t>Balance sheet May-26 and Feb-26, cash flow 3M FY27 and 3M FY26, share count, tariff refund note ($80.5m paid; $9.2m Phase 1)</t>
  </si>
  <si>
    <t>Helen of Troy / SEC (2Q26 release Ex. 99.1 and 10-Q)</t>
  </si>
  <si>
    <t>https://www.sec.gov/Archives/edgar/data/916789/000091678925000096/fy26_q2xex-991.htm ; https://www.sec.gov/Archives/edgar/data/916789/000091678925000097/</t>
  </si>
  <si>
    <t>2Q26A P&amp;L, segments, bridge, BS Aug-25, 6M cash flow, 3Q26/FY26 guidance</t>
  </si>
  <si>
    <t>Helen of Troy / SEC (3Q26 release Ex. 99.1 and 10-Q)</t>
  </si>
  <si>
    <t>https://www.sec.gov/Archives/edgar/data/916789/000091678926000007/fy26_q3xex-991.htm ; https://www.sec.gov/Archives/edgar/data/916789/000091678926000009/</t>
  </si>
  <si>
    <t>3Q26A P&amp;L, segments, bridge, BS Nov-25, 9M cash flow, updated FY26 guidance</t>
  </si>
  <si>
    <t>Helen of Troy / SEC (4Q26 release Ex. 99.1)</t>
  </si>
  <si>
    <t>https://www.sec.gov/Archives/edgar/data/916789/000091678926000047/fy26_q4xex-991.htm</t>
  </si>
  <si>
    <t>4Q26A and FY26A P&amp;L, segments, bridge, geography; initial FY27 outlook</t>
  </si>
  <si>
    <t>S7</t>
  </si>
  <si>
    <t>Helen of Troy / SEC (10-K FY26)</t>
  </si>
  <si>
    <t>https://www.sec.gov/Archives/edgar/data/916789/000091678926000048/ (R5, R8)</t>
  </si>
  <si>
    <t>FY26 income statement and full-year cash flow</t>
  </si>
  <si>
    <t>S8</t>
  </si>
  <si>
    <t>Earnings Whispers (preview)</t>
  </si>
  <si>
    <t>https://secure.earningswhispers.com/article/HELE/20304</t>
  </si>
  <si>
    <t>Sentiment cooling; whisper $0.55; FY consensus $3.43 (context only, not the scoring comparator)</t>
  </si>
  <si>
    <t>Helen of Troy / SEC (1Q26 release Ex. 99.1)</t>
  </si>
  <si>
    <t>https://www.sec.gov/Archives/edgar/data/916789/000091678925000038/fy26_q1xex-991.htm</t>
  </si>
  <si>
    <t>2Q26 guidance ($408-432m; $0.45-0.60); 1Q26 bridge</t>
  </si>
  <si>
    <t>S10</t>
  </si>
  <si>
    <t>Supplied file</t>
  </si>
  <si>
    <t>S&amp;P Capital IQ (supplied files)</t>
  </si>
  <si>
    <t>HELE_consensus.json (SHA256 bdf77796...); HELE_history.csv (SHA256 60140448...)</t>
  </si>
  <si>
    <t>Frozen consensus ($0.50 EPS, $443.21m revenue), six historical actual/consensus pairs (Inputs)</t>
  </si>
  <si>
    <t>S11</t>
  </si>
  <si>
    <t>The Motley Fool (4Q26 call transcript)</t>
  </si>
  <si>
    <t>https://www.fool.com/earnings/call-transcripts/2026/04/23/helen-of-troy-hele-q4-2026-earnings-transcript/</t>
  </si>
  <si>
    <t>1Q27 ~breakeven adj. EPS; ~15% of FY adj. EPS in 1H (original cadence)</t>
  </si>
  <si>
    <t>S12</t>
  </si>
  <si>
    <t>Newell Brands / SEC (2Q26 release)</t>
  </si>
  <si>
    <t>https://www.sec.gov/Archives/edgar/data/814453/000081445326000024/exhibit991_q2xjunex2026.htm</t>
  </si>
  <si>
    <t>Peer: ~$126m IEEPA refund benefit included in normalized results</t>
  </si>
  <si>
    <t>S13</t>
  </si>
  <si>
    <t>Lifetime Brands / SEC (2Q26 release and 10-Q)</t>
  </si>
  <si>
    <t>https://www.sec.gov/Archives/edgar/data/874396/000087439626000039/ex99108062026.htm</t>
  </si>
  <si>
    <t>Peer: $40.1m IEEPA refund credited to cost of sales; housewares sales +7.4%</t>
  </si>
  <si>
    <t>S14</t>
  </si>
  <si>
    <t>Amazon (press release) / Reuters</t>
  </si>
  <si>
    <t>https://press.aboutamazon.com/2026/6/mark-your-calendars-amazon-announces-prime-day-event-from-june-23-26-with-millions-of-exclusive-deals-for-prime-members</t>
  </si>
  <si>
    <t>Prime Day moved to 23-26 June 2026 (sell-in shifts from 2Q into 1Q)</t>
  </si>
  <si>
    <t>S15</t>
  </si>
  <si>
    <t>Helen of Troy (Business Wire)</t>
  </si>
  <si>
    <t>https://investor.helenoftroy.com/press-releases/press-release-details/2026/Helen-of-Troy-Limited-Announces-Earnings-Release-Date-Conference-Call-and-Webcast-for-Second-Quarter-Fiscal-Year-2027-Results/default.aspx</t>
  </si>
  <si>
    <t>Report date 8-Oct-26 before market open</t>
  </si>
  <si>
    <t>S16</t>
  </si>
  <si>
    <t>Cherry Bekaert / Corporate INTL (CBP CAPE status)</t>
  </si>
  <si>
    <t>https://www.cbh.com/insights/alerts/ieepa-tariff-refund-update-cape-phase-iii-set-for-october-6/</t>
  </si>
  <si>
    <t>Phase 2 (reconciliation entries) open since 29-Jun-26; Phase 3 delayed to 6-Oct-26</t>
  </si>
  <si>
    <t>S17</t>
  </si>
  <si>
    <t>Investing.com (UBS note)</t>
  </si>
  <si>
    <t>https://www.investing.com/news/analyst-ratings/ubs-reiterates-helen-of-troy-stock-rating-citing-mixed-sentiment-93CH-4922964</t>
  </si>
  <si>
    <t>UBS Neutral, $28 PT; FY27 a reinvestment year (sentiment only)</t>
  </si>
  <si>
    <t>S18</t>
  </si>
  <si>
    <t>Trend and Ticker (preview)</t>
  </si>
  <si>
    <t>https://trendandticker.com/markets/retail/helen-of-troy-earnings-preview-hele-q2-fiscal-2027-october-8</t>
  </si>
  <si>
    <t>Share price $27.64 on 30-Sep-26 (market-cap cross-check)</t>
  </si>
  <si>
    <t>Tab coverage notes</t>
  </si>
  <si>
    <t>All standard tabs are included: two reported segments (Home &amp; Outdoor, Beauty &amp; Wellness) and two disclosed geographies (domestic, international).</t>
  </si>
  <si>
    <t>Brand, unit, price and segment-by-geography data are not disclosed in the 10-Q/10-K (S3, S7); those rows are labelled n.d. rather than zero-filled.</t>
  </si>
  <si>
    <t>All web sources were published before the 2026-10-04 22:22 UTC information cutoff. No 2Q27 actual results were seen.</t>
  </si>
  <si>
    <t>Retrieval timestamps: web pages fetched 2026-10-05 between 02:20 and 03:12 UTC during this session (after the cutoff; no as-of-cutoff archive snapshots exist, so later page edits cannot be ruled out). CapIQ capture is 2026-10-04 date precision only.</t>
  </si>
  <si>
    <t>Inputs - S&amp;P Capital IQ raw data, reported YTD cash flow, 1Q26 memo and prior calibration</t>
  </si>
  <si>
    <t>A. HELE_consensus.json - top-level fields (raw, as supplied)</t>
  </si>
  <si>
    <t>Field</t>
  </si>
  <si>
    <t>Value</t>
  </si>
  <si>
    <t>source</t>
  </si>
  <si>
    <t>S&amp;P Capital IQ</t>
  </si>
  <si>
    <t>ticker</t>
  </si>
  <si>
    <t>company</t>
  </si>
  <si>
    <t>fiscal_period</t>
  </si>
  <si>
    <t>Q2 FY2027</t>
  </si>
  <si>
    <t>period_end_date</t>
  </si>
  <si>
    <t>2026-08-31</t>
  </si>
  <si>
    <t>as_of_date</t>
  </si>
  <si>
    <t>2026-10-04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</si>
  <si>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</si>
  <si>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</si>
  <si>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</si>
  <si>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</si>
  <si>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</si>
  <si>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</si>
  <si>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summary_sha256</t>
  </si>
  <si>
    <t>dcd0ceefcbfabc05b4b93dc4d870480edb653ec275c18d538b8e064442f96004</t>
  </si>
  <si>
    <t>captured_precision</t>
  </si>
  <si>
    <t>date only, user confirmed</t>
  </si>
  <si>
    <t>currency_units_status</t>
  </si>
  <si>
    <t>USD per common share inferred; verify filings</t>
  </si>
  <si>
    <t>B. HELE_consensus.json - summary_row (full raw row; empty source cells left blank)</t>
  </si>
  <si>
    <t>Value (as supplied)</t>
  </si>
  <si>
    <t>company_name</t>
  </si>
  <si>
    <t>exchange_ticker</t>
  </si>
  <si>
    <t>NasdaqGS:HELE</t>
  </si>
  <si>
    <t>capiq_company_id</t>
  </si>
  <si>
    <t>277500</t>
  </si>
  <si>
    <t>sp500_member</t>
  </si>
  <si>
    <t>N</t>
  </si>
  <si>
    <t>market_cap_usd_m</t>
  </si>
  <si>
    <t>fiscal_quarter</t>
  </si>
  <si>
    <t>FQ2 2027 - Aug 2026</t>
  </si>
  <si>
    <t>quarter_end_date</t>
  </si>
  <si>
    <t>expected_report_date</t>
  </si>
  <si>
    <t>2026-10-07</t>
  </si>
  <si>
    <t>Raw CapIQ field. Company-announced date 2026-10-08 before market open (S15, published 17-Sep-26) governs; Cover C18</t>
  </si>
  <si>
    <t>fiscal_year_end</t>
  </si>
  <si>
    <t>Feb-28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</si>
  <si>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</si>
  <si>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</si>
  <si>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</si>
  <si>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</si>
  <si>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</si>
  <si>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</si>
  <si>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</si>
  <si>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</si>
  <si>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</si>
  <si>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</si>
  <si>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</si>
  <si>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</si>
  <si>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</si>
  <si>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</si>
  <si>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</si>
  <si>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</si>
  <si>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</si>
  <si>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</si>
  <si>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</si>
  <si>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</si>
  <si>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</si>
  <si>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</si>
  <si>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</si>
  <si>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</si>
  <si>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</si>
  <si>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</si>
  <si>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</si>
  <si>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</si>
  <si>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</si>
  <si>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</si>
  <si>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</si>
  <si>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</si>
  <si>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</si>
  <si>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</si>
  <si>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</si>
  <si>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</si>
  <si>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</si>
  <si>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</si>
  <si>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</si>
  <si>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</si>
  <si>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</si>
  <si>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</si>
  <si>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</si>
  <si>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</si>
  <si>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</si>
  <si>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</si>
  <si>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adj_nii_per_share_consensus</t>
  </si>
  <si>
    <t>target_price_mean</t>
  </si>
  <si>
    <t>Not used (target-price columns excluded per task)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</si>
  <si>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</si>
  <si>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</si>
  <si>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</si>
  <si>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</si>
  <si>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</si>
  <si>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</si>
  <si>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</si>
  <si>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</si>
  <si>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</si>
  <si>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</si>
  <si>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units</t>
  </si>
  <si>
    <t>per-share in USD; revenue and income in USD millions</t>
  </si>
  <si>
    <t>estimates_captured_at</t>
  </si>
  <si>
    <t>notes</t>
  </si>
  <si>
    <t>Only 4 contributors. GAAP actuals for May-2025 through Feb-2026 carry very large impairment charges, so GAAP surprise is not meaningful in those quarters.</t>
  </si>
  <si>
    <t>C. HELE_history.csv - six historical rows (raw, as supplied)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</si>
  <si>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</si>
  <si>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</si>
  <si>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</si>
  <si>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</si>
  <si>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</si>
  <si>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</si>
  <si>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</si>
  <si>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D. Historical normalized EPS surprises vs CapIQ consensus (derived from block C)</t>
  </si>
  <si>
    <t>Consensus</t>
  </si>
  <si>
    <t>Surprise ($)</t>
  </si>
  <si>
    <t>Strict beat (1/0)</t>
  </si>
  <si>
    <t>Valid pair (1/0)</t>
  </si>
  <si>
    <t>E. Size-aware prior calibration (forecasting playbook v2)</t>
  </si>
  <si>
    <t>Share price at cutoff (CapIQ, $)</t>
  </si>
  <si>
    <t>CapIQ snapshot 2026-10-04 (frozen, date precision only). S18 cites $27.64 on 30-Sep-26 (Sources G27; different date/source), not used; size bucket small at either price ($643.8m)</t>
  </si>
  <si>
    <t>Shares outstanding (m), 29-Jun-26</t>
  </si>
  <si>
    <t>S3: 1Q27 10-Q cover page (23,292,061 shares)</t>
  </si>
  <si>
    <t>Market capitalization at cutoff ($m)</t>
  </si>
  <si>
    <t>Export left market_cap blank; computed price x shares</t>
  </si>
  <si>
    <t>Size bucket</t>
  </si>
  <si>
    <t>Size bucket (small $0.3-2bn / mid $2-10bn / large &gt;$10bn)</t>
  </si>
  <si>
    <t>S&amp;P 500 member (CapIQ)</t>
  </si>
  <si>
    <t>Membership is separate from size</t>
  </si>
  <si>
    <t>Cohort prior</t>
  </si>
  <si>
    <t>Cohort prior (0.60 small / 0.70 mid / 0.78 large or S&amp;P 500)</t>
  </si>
  <si>
    <t>b = strict beats in six CapIQ pairs</t>
  </si>
  <si>
    <t>n = valid pairs</t>
  </si>
  <si>
    <t>Pseudo-count (fixed weight)</t>
  </si>
  <si>
    <t>Starting p = (k x prior + b) / (k + n)</t>
  </si>
  <si>
    <t>Update 1: guidance vs consensus</t>
  </si>
  <si>
    <t>Update: guidance-implied 2Q27 adj. EPS ($0.525) above consensus (beat history already in b) | S1, S2, Guidance tab</t>
  </si>
  <si>
    <t>Update 2: tariff refund timing</t>
  </si>
  <si>
    <t>Update: remaining Phase 1 tariff refund lands in 2Q; Phase 2 optionality (peers booked refunds) | S3, S12, S13</t>
  </si>
  <si>
    <t>Update 3: cost inflation, sentiment</t>
  </si>
  <si>
    <t>Update: cost inflation, Middle East supply risk, yuan; sentiment cooled into print | S2, S8</t>
  </si>
  <si>
    <t>Update 4: thin coverage (no tilt)</t>
  </si>
  <si>
    <t>Update: thin coverage (4 estimates) - widens uncertainty, no directional adjustment | CapIQ n_est = 4; dispersion not inferred</t>
  </si>
  <si>
    <t>Final P(beat consensus EPS)</t>
  </si>
  <si>
    <t>medium</t>
  </si>
  <si>
    <t>F. 1Q26A reported (quarter ended 31-May-25) - memo for Q/Q and FY26 reconciliation</t>
  </si>
  <si>
    <t>S3: 1Q27 press release / 10-Q prior-year column</t>
  </si>
  <si>
    <t>H&amp;O adjusted operating income</t>
  </si>
  <si>
    <t>B&amp;W adjusted operating income</t>
  </si>
  <si>
    <t>Net income (loss)</t>
  </si>
  <si>
    <t>Income tax expense</t>
  </si>
  <si>
    <t>Adjusted net income</t>
  </si>
  <si>
    <t>G. Reported cash flow statement, fiscal year-to-date (as reported; quarters derived on Cash Flow Statement)</t>
  </si>
  <si>
    <t>Line item</t>
  </si>
  <si>
    <t>3M FY26 (May-25)</t>
  </si>
  <si>
    <t>6M FY26 (Aug-25)</t>
  </si>
  <si>
    <t>9M FY26 (Nov-25)</t>
  </si>
  <si>
    <t>FY26 (Feb-26)</t>
  </si>
  <si>
    <t>3M FY27 (May-26)</t>
  </si>
  <si>
    <t>S3 (3M), S4 (6M), S5 (9M), S7 (FY), S3 (3M FY27)</t>
  </si>
  <si>
    <t>Depreciation and amortization</t>
  </si>
  <si>
    <t>Amortization of financing costs</t>
  </si>
  <si>
    <t>Non-cash operating lease expense</t>
  </si>
  <si>
    <t>Provision for credit losses</t>
  </si>
  <si>
    <t>Share-based compensation</t>
  </si>
  <si>
    <t>Loss on extinguishment of debt</t>
  </si>
  <si>
    <t>Line not presented in 3M/6M statements = nil activity</t>
  </si>
  <si>
    <t>Gain on sale of distribution facility</t>
  </si>
  <si>
    <t>Gain on disposal of PP&amp;E</t>
  </si>
  <si>
    <t>Deferred income taxes and credits</t>
  </si>
  <si>
    <t>Change in receivables</t>
  </si>
  <si>
    <t>Change in inventory</t>
  </si>
  <si>
    <t>Change in prepaid and other assets</t>
  </si>
  <si>
    <t>Change in other assets &amp; liabilities</t>
  </si>
  <si>
    <t>Change in accounts payable</t>
  </si>
  <si>
    <t>Change in accrued and other liabs.</t>
  </si>
  <si>
    <t>Change in accrued income taxes</t>
  </si>
  <si>
    <t>Capital &amp; intangible asset spend</t>
  </si>
  <si>
    <t>Net proceeds, business acquired</t>
  </si>
  <si>
    <t>Purchases of U.S. Treasury Bills</t>
  </si>
  <si>
    <t>Maturities of U.S. Treasury Bills</t>
  </si>
  <si>
    <t>Proceeds from facility sale</t>
  </si>
  <si>
    <t>Proceeds from sale of PP&amp;E</t>
  </si>
  <si>
    <t>Proceeds from promissory note</t>
  </si>
  <si>
    <t>Proceeds from revolving loans</t>
  </si>
  <si>
    <t>Repayment of revolving loans</t>
  </si>
  <si>
    <t>Proceeds from term loans</t>
  </si>
  <si>
    <t>Repayment of long-term debt</t>
  </si>
  <si>
    <t>Payment of financing costs</t>
  </si>
  <si>
    <t>Contingent consideration paid</t>
  </si>
  <si>
    <t>Share-plan issuance proceeds</t>
  </si>
  <si>
    <t>Repurchases of common stock</t>
  </si>
  <si>
    <t>Operating cash flow (reported)</t>
  </si>
  <si>
    <t>Investing cash flow (reported)</t>
  </si>
  <si>
    <t>Financing cash flow (reported)</t>
  </si>
  <si>
    <t>Net change in cash (reported)</t>
  </si>
  <si>
    <t>Cash, beginning of period (reported)</t>
  </si>
  <si>
    <t>Cash, end of period (reported)</t>
  </si>
</sst>
</file>

<file path=xl/styles.xml><?xml version="1.0" encoding="utf-8"?>
<styleSheet xmlns="http://schemas.openxmlformats.org/spreadsheetml/2006/main">
  <numFmts count="12">
    <numFmt numFmtId="164" formatCode="0.0%_);(0.0%);–_)"/>
    <numFmt numFmtId="165" formatCode="$0.00_);($0.00);–_)"/>
    <numFmt numFmtId="166" formatCode="#,##0.0_);(#,##0.0);–_)"/>
    <numFmt numFmtId="167" formatCode="0"/>
    <numFmt numFmtId="168" formatCode="#,##0.00_);(#,##0.00);–_)"/>
    <numFmt numFmtId="169" formatCode="dd-mmm-yy"/>
    <numFmt numFmtId="170" formatCode="0.0%"/>
    <numFmt numFmtId="171" formatCode="#,##0&quot; bp&quot;_);(#,##0&quot; bp&quot;);–_)"/>
    <numFmt numFmtId="172" formatCode="0.0x"/>
    <numFmt numFmtId="173" formatCode="0.00"/>
    <numFmt numFmtId="174" formatCode="yyyy-mm-dd"/>
    <numFmt numFmtId="175" formatCode="General"/>
  </numFmts>
  <fonts count="23">
    <font>
      <sz val="11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0" borderId="1" xfId="0" applyFont="1" applyFill="1" applyBorder="1" applyAlignment="1" applyProtection="1">
      <alignment horizontal="right" vertical="bottom" wrapText="1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0" fontId="2" fillId="2" borderId="2" xfId="0" applyFont="1" applyFill="1" applyBorder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7" fontId="1" fillId="2" borderId="1" xfId="0" applyNumberFormat="1" applyFont="1" applyFill="1" applyBorder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7" fontId="5" fillId="3" borderId="1" xfId="0" applyNumberFormat="1" applyFont="1" applyFill="1" applyBorder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7" fontId="5" fillId="2" borderId="1" xfId="0" applyNumberFormat="1" applyFont="1" applyFill="1" applyBorder="1" applyAlignment="1" applyProtection="1">
      <alignment horizontal="right" vertical="bottom"/>
      <protection locked="1" hidden="0"/>
    </xf>
    <xf numFmtId="0" fontId="2" fillId="3" borderId="2" xfId="0" applyFont="1" applyFill="1" applyBorder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9" fontId="5" fillId="2" borderId="0" xfId="0" applyNumberFormat="1" applyFont="1" applyFill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68" fontId="2" fillId="0" borderId="2" xfId="0" applyNumberFormat="1" applyFont="1" applyFill="1" applyBorder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8" fontId="2" fillId="3" borderId="2" xfId="0" applyNumberFormat="1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0" fontId="2" fillId="0" borderId="1" xfId="0" applyFont="1" applyFill="1" applyBorder="1" applyAlignment="1" applyProtection="1">
      <alignment horizontal="left" vertical="bottom"/>
      <protection locked="1" hidden="0"/>
    </xf>
    <xf numFmtId="168" fontId="5" fillId="3" borderId="0" xfId="0" applyNumberFormat="1" applyFont="1" applyFill="1" applyAlignment="1" applyProtection="1">
      <alignment horizontal="right" vertical="bottom"/>
      <protection locked="1" hidden="0"/>
    </xf>
    <xf numFmtId="170" fontId="9" fillId="0" borderId="0" xfId="0" applyNumberFormat="1" applyFont="1" applyFill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0" fontId="2" fillId="2" borderId="2" xfId="0" applyFont="1" applyFill="1" applyBorder="1" applyAlignment="1" applyProtection="1">
      <alignment horizontal="general" vertical="bottom"/>
      <protection locked="1" hidden="0"/>
    </xf>
    <xf numFmtId="166" fontId="2" fillId="0" borderId="2" xfId="0" applyNumberFormat="1" applyFont="1" applyFill="1" applyBorder="1" applyAlignment="1" applyProtection="1">
      <alignment horizontal="right" vertical="bottom"/>
      <protection locked="1" hidden="0"/>
    </xf>
    <xf numFmtId="169" fontId="5" fillId="3" borderId="0" xfId="0" applyNumberFormat="1" applyFont="1" applyFill="1" applyAlignment="1" applyProtection="1">
      <alignment horizontal="right" vertical="bottom"/>
      <protection locked="1" hidden="0"/>
    </xf>
    <xf numFmtId="166" fontId="2" fillId="3" borderId="2" xfId="0" applyNumberFormat="1" applyFont="1" applyFill="1" applyBorder="1" applyAlignment="1" applyProtection="1">
      <alignment horizontal="right" vertical="bottom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166" fontId="6" fillId="0" borderId="2" xfId="0" applyNumberFormat="1" applyFont="1" applyFill="1" applyBorder="1" applyAlignment="1" applyProtection="1">
      <alignment horizontal="right" vertical="bottom"/>
      <protection locked="1" hidden="0"/>
    </xf>
    <xf numFmtId="168" fontId="4" fillId="3" borderId="0" xfId="0" applyNumberFormat="1" applyFont="1" applyFill="1" applyAlignment="1" applyProtection="1">
      <alignment horizontal="right" vertical="bottom"/>
      <protection locked="1" hidden="0"/>
    </xf>
    <xf numFmtId="164" fontId="11" fillId="0" borderId="0" xfId="0" applyNumberFormat="1" applyFont="1" applyFill="1" applyAlignment="1" applyProtection="1">
      <alignment horizontal="right" vertical="bottom"/>
      <protection locked="1" hidden="0"/>
    </xf>
    <xf numFmtId="166" fontId="6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4" fillId="3" borderId="0" xfId="0" applyNumberFormat="1" applyFont="1" applyFill="1" applyAlignment="1" applyProtection="1">
      <alignment horizontal="right" vertical="bottom"/>
      <protection locked="1" hidden="0"/>
    </xf>
    <xf numFmtId="164" fontId="11" fillId="3" borderId="0" xfId="0" applyNumberFormat="1" applyFont="1" applyFill="1" applyAlignment="1" applyProtection="1">
      <alignment horizontal="right" vertical="bottom"/>
      <protection locked="1" hidden="0"/>
    </xf>
    <xf numFmtId="166" fontId="5" fillId="3" borderId="0" xfId="0" applyNumberFormat="1" applyFont="1" applyFill="1" applyAlignment="1" applyProtection="1">
      <alignment horizontal="right" vertical="bottom"/>
      <protection locked="1" hidden="0"/>
    </xf>
    <xf numFmtId="171" fontId="3" fillId="0" borderId="0" xfId="0" applyNumberFormat="1" applyFont="1" applyFill="1" applyAlignment="1" applyProtection="1">
      <alignment horizontal="right" vertical="bottom"/>
      <protection locked="1" hidden="0"/>
    </xf>
    <xf numFmtId="171" fontId="3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0" fontId="1" fillId="0" borderId="0" xfId="0" applyFont="1" applyFill="1" applyAlignment="1" applyProtection="1">
      <alignment horizontal="general" vertical="top"/>
      <protection locked="1" hidden="0"/>
    </xf>
    <xf numFmtId="169" fontId="5" fillId="0" borderId="0" xfId="0" applyNumberFormat="1" applyFont="1" applyFill="1" applyAlignment="1" applyProtection="1">
      <alignment horizontal="right" vertical="top"/>
      <protection locked="1" hidden="0"/>
    </xf>
    <xf numFmtId="169" fontId="1" fillId="0" borderId="0" xfId="0" applyNumberFormat="1" applyFont="1" applyFill="1" applyAlignment="1" applyProtection="1">
      <alignment horizontal="right" vertical="top"/>
      <protection locked="1" hidden="0"/>
    </xf>
    <xf numFmtId="164" fontId="12" fillId="3" borderId="0" xfId="0" applyNumberFormat="1" applyFont="1" applyFill="1" applyAlignment="1" applyProtection="1">
      <alignment horizontal="right" vertical="bottom"/>
      <protection locked="1" hidden="0"/>
    </xf>
    <xf numFmtId="164" fontId="12" fillId="0" borderId="0" xfId="0" applyNumberFormat="1" applyFont="1" applyFill="1" applyAlignment="1" applyProtection="1">
      <alignment horizontal="right" vertical="bottom"/>
      <protection locked="1" hidden="0"/>
    </xf>
    <xf numFmtId="169" fontId="5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9" fontId="12" fillId="0" borderId="0" xfId="0" applyNumberFormat="1" applyFont="1" applyFill="1" applyAlignment="1" applyProtection="1">
      <alignment horizontal="right" vertical="bottom"/>
      <protection locked="1" hidden="0"/>
    </xf>
    <xf numFmtId="166" fontId="13" fillId="0" borderId="2" xfId="0" applyNumberFormat="1" applyFont="1" applyFill="1" applyBorder="1" applyAlignment="1" applyProtection="1">
      <alignment horizontal="right" vertical="bottom"/>
      <protection locked="1" hidden="0"/>
    </xf>
    <xf numFmtId="172" fontId="5" fillId="0" borderId="0" xfId="0" applyNumberFormat="1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5" fontId="2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73" fontId="5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74" fontId="1" fillId="0" borderId="0" xfId="0" applyNumberFormat="1" applyFont="1" applyFill="1" applyAlignment="1" applyProtection="1">
      <alignment horizontal="left" vertical="bottom"/>
      <protection locked="1" hidden="0"/>
    </xf>
    <xf numFmtId="0" fontId="5" fillId="0" borderId="0" xfId="0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5" fontId="2" fillId="3" borderId="2" xfId="0" applyNumberFormat="1" applyFont="1" applyFill="1" applyBorder="1" applyAlignment="1" applyProtection="1">
      <alignment horizontal="right" vertical="bottom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174" fontId="5" fillId="0" borderId="0" xfId="0" applyNumberFormat="1" applyFont="1" applyFill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64" fontId="10" fillId="0" borderId="2" xfId="0" applyNumberFormat="1" applyFont="1" applyFill="1" applyBorder="1" applyAlignment="1" applyProtection="1">
      <alignment horizontal="right" vertical="bottom"/>
      <protection locked="1" hidden="0"/>
    </xf>
    <xf numFmtId="164" fontId="10" fillId="0" borderId="2" xfId="0" applyNumberFormat="1" applyFont="1" applyFill="1" applyBorder="1" applyAlignment="1" applyProtection="1">
      <alignment horizontal="general" vertical="bottom"/>
      <protection locked="1" hidden="0"/>
    </xf>
    <xf numFmtId="175" fontId="14" fillId="0" borderId="1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75" fontId="15" fillId="0" borderId="0" xfId="0" applyNumberFormat="1" applyFont="1" applyFill="1" applyAlignment="1" applyProtection="1">
      <alignment horizontal="center" vertical="bottom" textRotation="0" indent="0" readingOrder="0"/>
      <protection locked="1" hidden="0"/>
    </xf>
    <xf numFmtId="175" fontId="14" fillId="0" borderId="1" xfId="0" applyNumberFormat="1" applyFont="1" applyFill="1" applyBorder="1" applyAlignment="1" applyProtection="1">
      <alignment horizontal="center" vertical="bottom" textRotation="0" wrapText="1" indent="0" readingOrder="0"/>
      <protection locked="1" hidden="0"/>
    </xf>
    <xf numFmtId="174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5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center" vertical="bottom" textRotation="0" indent="0" readingOrder="0"/>
      <protection locked="1" hidden="0"/>
    </xf>
    <xf numFmtId="165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workbookViewId="0"/>
  </sheetViews>
  <sheetFormatPr defaultRowHeight="15"/>
  <cols>
    <col min="1" max="1" width="10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1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4</v>
      </c>
      <c r="D5" s="5"/>
      <c r="E5" s="5"/>
      <c r="F5" s="5"/>
      <c r="G5" s="5"/>
      <c r="H5" s="5"/>
      <c r="I5" s="1"/>
      <c r="J5" s="1"/>
    </row>
    <row r="6">
      <c r="A6" s="1"/>
      <c r="B6" s="14" t="s">
        <v>5</v>
      </c>
      <c r="C6" s="25">
        <v>46265</v>
      </c>
      <c r="D6" s="22"/>
      <c r="E6" s="22"/>
      <c r="F6" s="22"/>
      <c r="G6" s="22"/>
      <c r="H6" s="22"/>
      <c r="I6" s="1"/>
      <c r="J6" s="1"/>
    </row>
    <row r="7">
      <c r="A7" s="1"/>
      <c r="B7" s="33" t="s">
        <v>6</v>
      </c>
      <c r="C7" s="17">
        <v>92</v>
      </c>
      <c r="D7" s="7"/>
      <c r="E7" s="7"/>
      <c r="F7" s="7"/>
      <c r="G7" s="7"/>
      <c r="H7" s="7"/>
      <c r="I7" s="1"/>
      <c r="J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30" t="s">
        <v>7</v>
      </c>
      <c r="C9" s="1"/>
      <c r="D9" s="1"/>
      <c r="E9" s="1"/>
      <c r="F9" s="1"/>
      <c r="G9" s="1"/>
      <c r="H9" s="1"/>
      <c r="I9" s="1"/>
      <c r="J9" s="1"/>
    </row>
    <row r="10">
      <c r="A10" s="1"/>
      <c r="B10" s="1" t="s">
        <v>8</v>
      </c>
      <c r="C10" s="1" t="s">
        <v>9</v>
      </c>
      <c r="D10" s="1"/>
      <c r="E10" s="1"/>
      <c r="F10" s="1"/>
      <c r="G10" s="1"/>
      <c r="H10" s="1"/>
      <c r="I10" s="1"/>
      <c r="J10" s="1"/>
    </row>
    <row r="11">
      <c r="A11" s="1"/>
      <c r="B11" s="1" t="s">
        <v>10</v>
      </c>
      <c r="C11" s="1" t="s">
        <v>11</v>
      </c>
      <c r="D11" s="1"/>
      <c r="E11" s="1"/>
      <c r="F11" s="1"/>
      <c r="G11" s="1"/>
      <c r="H11" s="1"/>
      <c r="I11" s="1"/>
      <c r="J11" s="1"/>
    </row>
    <row r="12">
      <c r="A12" s="1"/>
      <c r="B12" s="1" t="s">
        <v>12</v>
      </c>
      <c r="C12" s="1" t="s">
        <v>13</v>
      </c>
      <c r="D12" s="1"/>
      <c r="E12" s="1"/>
      <c r="F12" s="1"/>
      <c r="G12" s="1"/>
      <c r="H12" s="1"/>
      <c r="I12" s="1"/>
      <c r="J12" s="1"/>
    </row>
    <row r="13">
      <c r="A13" s="1"/>
      <c r="B13" s="1" t="s">
        <v>14</v>
      </c>
      <c r="C13" s="1" t="s">
        <v>15</v>
      </c>
      <c r="D13" s="1"/>
      <c r="E13" s="1"/>
      <c r="F13" s="1"/>
      <c r="G13" s="1"/>
      <c r="H13" s="1"/>
      <c r="I13" s="1"/>
      <c r="J13" s="1"/>
    </row>
    <row r="14">
      <c r="A14" s="1"/>
      <c r="B14" s="1" t="s">
        <v>16</v>
      </c>
      <c r="C14" s="1" t="s">
        <v>17</v>
      </c>
      <c r="D14" s="1"/>
      <c r="E14" s="1"/>
      <c r="F14" s="1"/>
      <c r="G14" s="1"/>
      <c r="H14" s="1"/>
      <c r="I14" s="1"/>
      <c r="J14" s="1"/>
    </row>
    <row r="15">
      <c r="A15" s="1"/>
      <c r="B15" s="1" t="s">
        <v>18</v>
      </c>
      <c r="C15" s="1" t="s">
        <v>19</v>
      </c>
      <c r="D15" s="1"/>
      <c r="E15" s="1"/>
      <c r="F15" s="1"/>
      <c r="G15" s="1"/>
      <c r="H15" s="1"/>
      <c r="I15" s="1"/>
      <c r="J15" s="1"/>
    </row>
    <row r="16">
      <c r="A16" s="1"/>
      <c r="B16" s="1" t="s">
        <v>20</v>
      </c>
      <c r="C16" s="1" t="s">
        <v>21</v>
      </c>
      <c r="D16" s="1"/>
      <c r="E16" s="1"/>
      <c r="F16" s="1"/>
      <c r="G16" s="1"/>
      <c r="H16" s="1"/>
      <c r="I16" s="1"/>
      <c r="J16" s="1"/>
    </row>
    <row r="17">
      <c r="A17" s="1"/>
      <c r="B17" s="1" t="s">
        <v>22</v>
      </c>
      <c r="C17" s="1" t="s">
        <v>23</v>
      </c>
      <c r="D17" s="1"/>
      <c r="E17" s="1"/>
      <c r="F17" s="1"/>
      <c r="G17" s="1"/>
      <c r="H17" s="1"/>
      <c r="I17" s="1"/>
      <c r="J17" s="1"/>
    </row>
    <row r="18">
      <c r="A18" s="1"/>
      <c r="B18" s="1" t="s">
        <v>24</v>
      </c>
      <c r="C18" s="1" t="s">
        <v>25</v>
      </c>
      <c r="D18" s="1"/>
      <c r="E18" s="1"/>
      <c r="F18" s="1"/>
      <c r="G18" s="1"/>
      <c r="H18" s="1"/>
      <c r="I18" s="1"/>
      <c r="J18" s="1"/>
    </row>
    <row r="19">
      <c r="A19" s="1"/>
      <c r="B19" s="1" t="s">
        <v>26</v>
      </c>
      <c r="C19" s="1" t="s">
        <v>27</v>
      </c>
      <c r="D19" s="1"/>
      <c r="E19" s="1"/>
      <c r="F19" s="1"/>
      <c r="G19" s="1"/>
      <c r="H19" s="1"/>
      <c r="I19" s="1"/>
      <c r="J19" s="1"/>
    </row>
    <row r="20">
      <c r="A20" s="1"/>
      <c r="B20" s="1" t="s">
        <v>28</v>
      </c>
      <c r="C20" s="6">
        <f>Inputs!C121</f>
        <v>622.82971114</v>
      </c>
      <c r="D20" s="15" t="str">
        <f>Inputs!C122</f>
        <v>small</v>
      </c>
      <c r="E20" s="15" t="str">
        <f>"S&amp;P 500: "&amp;Inputs!C123</f>
        <v>S&amp;P 500: N</v>
      </c>
      <c r="F20" s="1"/>
      <c r="G20" s="1"/>
      <c r="H20" s="1"/>
      <c r="I20" s="1"/>
      <c r="J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ht="42">
      <c r="A22" s="1"/>
      <c r="B22" s="34" t="s">
        <v>29</v>
      </c>
      <c r="C22" s="2" t="s">
        <v>30</v>
      </c>
      <c r="D22" s="2" t="s">
        <v>31</v>
      </c>
      <c r="E22" s="2" t="s">
        <v>32</v>
      </c>
      <c r="F22" s="2" t="s">
        <v>33</v>
      </c>
      <c r="G22" s="2" t="s">
        <v>34</v>
      </c>
      <c r="H22" s="2" t="s">
        <v>35</v>
      </c>
      <c r="I22" s="2"/>
      <c r="J22" s="1" t="s">
        <v>36</v>
      </c>
    </row>
    <row r="23">
      <c r="A23" s="1"/>
      <c r="B23" s="1" t="s">
        <v>37</v>
      </c>
      <c r="C23" s="6">
        <f>'Income Statement'!H10</f>
        <v>442.28874499999995</v>
      </c>
      <c r="D23" s="6">
        <f>Inputs!C55</f>
        <v>443.21</v>
      </c>
      <c r="E23" s="8">
        <f>C23-D23</f>
        <v>-0.9212550000000306</v>
      </c>
      <c r="F23" s="3">
        <f>C23/D23-1</f>
        <v>-0.0020785970533157005</v>
      </c>
      <c r="G23" s="6">
        <f>Guidance!G89</f>
        <v>429.68808</v>
      </c>
      <c r="H23" s="8">
        <f>C23-G23</f>
        <v>12.600664999999935</v>
      </c>
      <c r="I23" s="1"/>
      <c r="J23" s="1" t="s">
        <v>38</v>
      </c>
    </row>
    <row r="24">
      <c r="A24" s="1"/>
      <c r="B24" s="1" t="s">
        <v>39</v>
      </c>
      <c r="C24" s="6">
        <f>'Income Statement'!H99</f>
        <v>12.924195017374998</v>
      </c>
      <c r="D24" s="6">
        <f>Inputs!C68</f>
        <v>11.97</v>
      </c>
      <c r="E24" s="8">
        <f>C24-D24</f>
        <v>0.9541950173749978</v>
      </c>
      <c r="F24" s="3">
        <f>C24/D24-1</f>
        <v>0.07971554029866312</v>
      </c>
      <c r="G24" s="6">
        <f>Guidance!G90</f>
        <v>12.495000000000001</v>
      </c>
      <c r="H24" s="8">
        <f>C24-G24</f>
        <v>0.42919501737499743</v>
      </c>
      <c r="I24" s="1"/>
      <c r="J24" s="1" t="s">
        <v>40</v>
      </c>
    </row>
    <row r="25">
      <c r="A25" s="1"/>
      <c r="B25" s="1" t="s">
        <v>41</v>
      </c>
      <c r="C25" s="4">
        <f>'Income Statement'!H107</f>
        <v>0.5418949692819706</v>
      </c>
      <c r="D25" s="4">
        <f>Inputs!C39</f>
        <v>0.5</v>
      </c>
      <c r="E25" s="9">
        <f>C25-D25</f>
        <v>0.04189496928197056</v>
      </c>
      <c r="F25" s="3">
        <f>C25/D25-1</f>
        <v>0.08378993856394112</v>
      </c>
      <c r="G25" s="4">
        <f>Guidance!G88</f>
        <v>0.525</v>
      </c>
      <c r="H25" s="9">
        <f>C25-G25</f>
        <v>0.01689496928197054</v>
      </c>
      <c r="I25" s="1"/>
      <c r="J25" s="1" t="s">
        <v>42</v>
      </c>
    </row>
    <row r="26">
      <c r="A26" s="1"/>
      <c r="B26" s="1" t="s">
        <v>43</v>
      </c>
      <c r="C26" s="6">
        <f>'Income Statement'!H54</f>
        <v>4.283858835924012</v>
      </c>
      <c r="D26" s="6">
        <f>Inputs!C69</f>
        <v>5.97</v>
      </c>
      <c r="E26" s="8">
        <f>C26-D26</f>
        <v>-1.6861411640759876</v>
      </c>
      <c r="F26" s="3">
        <f>C26/D26-1</f>
        <v>-0.2824357058753748</v>
      </c>
      <c r="G26" s="8" t="s">
        <v>44</v>
      </c>
      <c r="H26" s="8"/>
      <c r="I26" s="1"/>
      <c r="J26" s="1" t="s">
        <v>45</v>
      </c>
    </row>
    <row r="27">
      <c r="A27" s="1"/>
      <c r="B27" s="1" t="s">
        <v>46</v>
      </c>
      <c r="C27" s="4">
        <f>'Income Statement'!H67</f>
        <v>0.17961672268025208</v>
      </c>
      <c r="D27" s="4">
        <f>Inputs!C48</f>
        <v>0.25</v>
      </c>
      <c r="E27" s="9">
        <f>C27-D27</f>
        <v>-0.07038327731974792</v>
      </c>
      <c r="F27" s="3">
        <f>C27/D27-1</f>
        <v>-0.28153310927899167</v>
      </c>
      <c r="G27" s="9" t="s">
        <v>44</v>
      </c>
      <c r="H27" s="9"/>
      <c r="I27" s="1"/>
      <c r="J27" s="1" t="s">
        <v>47</v>
      </c>
    </row>
    <row r="28">
      <c r="A28" s="1"/>
      <c r="B28" s="42" t="s">
        <v>48</v>
      </c>
      <c r="C28" s="36">
        <f>Inputs!C133</f>
        <v>0.68</v>
      </c>
      <c r="D28" s="1"/>
      <c r="E28" s="1"/>
      <c r="F28" s="1"/>
      <c r="G28" s="1"/>
      <c r="H28" s="1"/>
      <c r="I28" s="1"/>
      <c r="J28" s="1" t="s">
        <v>49</v>
      </c>
    </row>
    <row r="29">
      <c r="A29" s="1"/>
      <c r="B29" s="1" t="s">
        <v>50</v>
      </c>
      <c r="C29" s="11" t="str">
        <f>Inputs!C134</f>
        <v>medium</v>
      </c>
      <c r="D29" s="1"/>
      <c r="E29" s="1"/>
      <c r="F29" s="1"/>
      <c r="G29" s="1"/>
      <c r="H29" s="1"/>
      <c r="I29" s="1"/>
      <c r="J29" s="1"/>
    </row>
    <row r="30">
      <c r="A30" s="1"/>
      <c r="B30" s="19" t="s">
        <v>51</v>
      </c>
      <c r="C30" s="6">
        <f>ROUND(C23-'Income Statement'!H10,6)</f>
        <v>0</v>
      </c>
      <c r="D30" s="6">
        <f>ROUND(C24-'Income Statement'!H99,6)</f>
        <v>0</v>
      </c>
      <c r="E30" s="6">
        <f>ROUND(C25-'Income Statement'!H107,6)</f>
        <v>0</v>
      </c>
      <c r="F30" s="6">
        <f>ROUND(C26-'Income Statement'!H54,6)</f>
        <v>0</v>
      </c>
      <c r="G30" s="6">
        <f>ROUND(C27-'Income Statement'!H67,6)</f>
        <v>0</v>
      </c>
      <c r="H30" s="8"/>
      <c r="I30" s="1"/>
      <c r="J30" s="1" t="s">
        <v>52</v>
      </c>
    </row>
    <row r="31">
      <c r="A31" s="1"/>
      <c r="B31" s="16" t="s">
        <v>53</v>
      </c>
      <c r="C31" s="11" t="str">
        <f>IF(ISNUMBER(SUM('Segment - Home &amp; Outdoor'!C25:G25,'Segment - Home &amp; Outdoor'!C56:G56,'Segment - Home &amp; Outdoor'!C76:G76,'Segment - Home &amp; Outdoor'!C85:G85,'Segment - Beauty &amp; Wellness'!C25:G25,'Segment - Beauty &amp; Wellness'!C56:G56,'Segment - Beauty &amp; Wellness'!C76:G76,'Segment - Beauty &amp; Wellness'!C85:G85,'Revenue summary'!C52:G52,'Revenue summary'!C53:G53,'Revenue summary'!C57:G57,'Balance Sheet'!C42:G42,'Balance Sheet'!C44:G44,'Balance Sheet'!C55:G55,'Cash Flow Statement'!C30:G30,'Cash Flow Statement'!C42:G42,'Cash Flow Statement'!C55:G55,'Cash Flow Statement'!C62:G62,'Income Statement'!C34:G34,'Income Statement'!C56:G56,'Income Statement'!C72:G72,'Income Statement'!C105:G105,'Income Statement'!C109:G109,'Income Statement'!C143:G143,'Income Statement'!C149:G149,'Income Statement'!C154:G154,'Income Statement'!C155:G155,'Income Statement'!C156:G156,'Income Statement'!C157:G157,Geo!C35:G35,Geo!C36:G36)),IF(AND((SUMIF('Segment - Home &amp; Outdoor'!C25:G25,"&gt;0")-SUMIF('Segment - Home &amp; Outdoor'!C25:G25,"&lt;0"))&lt;0.0015,(SUMIF('Segment - Home &amp; Outdoor'!C56:G56,"&gt;0")-SUMIF('Segment - Home &amp; Outdoor'!C56:G56,"&lt;0"))&lt;0.0015,(SUMIF('Segment - Home &amp; Outdoor'!C76:G76,"&gt;0")-SUMIF('Segment - Home &amp; Outdoor'!C76:G76,"&lt;0"))&lt;0.0015,(SUMIF('Segment - Home &amp; Outdoor'!C85:G85,"&gt;0")-SUMIF('Segment - Home &amp; Outdoor'!C85:G85,"&lt;0"))&lt;0.0015,(SUMIF('Segment - Beauty &amp; Wellness'!C25:G25,"&gt;0")-SUMIF('Segment - Beauty &amp; Wellness'!C25:G25,"&lt;0"))&lt;0.0015,(SUMIF('Segment - Beauty &amp; Wellness'!C56:G56,"&gt;0")-SUMIF('Segment - Beauty &amp; Wellness'!C56:G56,"&lt;0"))&lt;0.0015,(SUMIF('Segment - Beauty &amp; Wellness'!C76:G76,"&gt;0")-SUMIF('Segment - Beauty &amp; Wellness'!C76:G76,"&lt;0"))&lt;0.0015,(SUMIF('Segment - Beauty &amp; Wellness'!C85:G85,"&gt;0")-SUMIF('Segment - Beauty &amp; Wellness'!C85:G85,"&lt;0"))&lt;0.0015,(SUMIF('Revenue summary'!C52:G52,"&gt;0")-SUMIF('Revenue summary'!C52:G52,"&lt;0"))&lt;0.0015,(SUMIF('Revenue summary'!C53:G53,"&gt;0")-SUMIF('Revenue summary'!C53:G53,"&lt;0"))&lt;0.0015,(SUMIF('Revenue summary'!C57:G57,"&gt;0")-SUMIF('Revenue summary'!C57:G57,"&lt;0"))&lt;0.0015,(SUMIF('Balance Sheet'!C42:G42,"&gt;0")-SUMIF('Balance Sheet'!C42:G42,"&lt;0"))&lt;0.0015,(SUMIF('Balance Sheet'!C44:G44,"&gt;0")-SUMIF('Balance Sheet'!C44:G44,"&lt;0"))&lt;0.0015,(SUMIF('Balance Sheet'!C55:G55,"&gt;0")-SUMIF('Balance Sheet'!C55:G55,"&lt;0"))&lt;0.0015,(SUMIF('Cash Flow Statement'!C30:G30,"&gt;0")-SUMIF('Cash Flow Statement'!C30:G30,"&lt;0"))&lt;0.0015,(SUMIF('Cash Flow Statement'!C42:G42,"&gt;0")-SUMIF('Cash Flow Statement'!C42:G42,"&lt;0"))&lt;0.0015,(SUMIF('Cash Flow Statement'!C55:G55,"&gt;0")-SUMIF('Cash Flow Statement'!C55:G55,"&lt;0"))&lt;0.0015,(SUMIF('Cash Flow Statement'!C62:G62,"&gt;0")-SUMIF('Cash Flow Statement'!C62:G62,"&lt;0"))&lt;0.0015,(SUMIF('Income Statement'!C34:G34,"&gt;0")-SUMIF('Income Statement'!C34:G34,"&lt;0"))&lt;0.0015,(SUMIF('Income Statement'!C56:G56,"&gt;0")-SUMIF('Income Statement'!C56:G56,"&lt;0"))&lt;0.0015,(SUMIF('Income Statement'!C72:G72,"&gt;0")-SUMIF('Income Statement'!C72:G72,"&lt;0"))&lt;0.0015,(SUMIF('Income Statement'!C105:G105,"&gt;0")-SUMIF('Income Statement'!C105:G105,"&lt;0"))&lt;0.0015,(SUMIF('Income Statement'!C109:G109,"&gt;0")-SUMIF('Income Statement'!C109:G109,"&lt;0"))&lt;0.0015,(SUMIF('Income Statement'!C143:G143,"&gt;0")-SUMIF('Income Statement'!C143:G143,"&lt;0"))&lt;0.0015,(SUMIF('Income Statement'!C149:G149,"&gt;0")-SUMIF('Income Statement'!C149:G149,"&lt;0"))&lt;0.0015,(SUMIF('Income Statement'!C154:G154,"&gt;0")-SUMIF('Income Statement'!C154:G154,"&lt;0"))&lt;0.0015,(SUMIF('Income Statement'!C155:G155,"&gt;0")-SUMIF('Income Statement'!C155:G155,"&lt;0"))&lt;0.0015,(SUMIF('Income Statement'!C156:G156,"&gt;0")-SUMIF('Income Statement'!C156:G156,"&lt;0"))&lt;0.0015,(SUMIF('Income Statement'!C157:G157,"&gt;0")-SUMIF('Income Statement'!C157:G157,"&lt;0"))&lt;0.0015,(SUMIF(Geo!C35:G35,"&gt;0")-SUMIF(Geo!C35:G35,"&lt;0"))&lt;0.0015,(SUMIF(Geo!C36:G36,"&gt;0")-SUMIF(Geo!C36:G36,"&lt;0"))&lt;0.0015),"PASS","FAIL"),"FAIL")</f>
        <v>PASS</v>
      </c>
      <c r="D31" s="1"/>
      <c r="E31" s="1"/>
      <c r="F31" s="1"/>
      <c r="G31" s="1"/>
      <c r="H31" s="1"/>
      <c r="I31" s="1"/>
      <c r="J31" s="1" t="s">
        <v>54</v>
      </c>
    </row>
    <row r="32">
      <c r="A32" s="1"/>
      <c r="B32" s="87" t="s">
        <v>55</v>
      </c>
      <c r="C32" s="86" t="str">
        <f>IF(ISNUMBER(SUM('Income Statement'!H34,'Income Statement'!C125:H125,Geo!H35,'Cash Flow Statement'!F63,C30:G30)),IF(AND(ABS('Income Statement'!H34)&lt;0.0015,(SUMIF('Income Statement'!C125:H125,"&gt;0")-SUMIF('Income Statement'!C125:H125,"&lt;0"))&lt;0.0015,ABS(Geo!H35)&lt;0.0015,ABS('Cash Flow Statement'!F63)&lt;0.0015,(SUMIF(C30:G30,"&gt;0")-SUMIF(C30:G30,"&lt;0"))&lt;0.0015),"TIES","BREAK"),"BREAK")</f>
        <v>TIES</v>
      </c>
      <c r="D32" s="85"/>
      <c r="E32" s="85"/>
      <c r="F32" s="85"/>
      <c r="G32" s="85"/>
      <c r="H32" s="85"/>
      <c r="I32" s="85"/>
      <c r="J32" s="85" t="s">
        <v>56</v>
      </c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57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18" t="s">
        <v>4</v>
      </c>
      <c r="I5" s="1"/>
      <c r="J5" s="16" t="s">
        <v>36</v>
      </c>
    </row>
    <row r="6">
      <c r="A6" s="1"/>
      <c r="B6" s="14" t="s">
        <v>5</v>
      </c>
      <c r="C6" s="25">
        <v>45900</v>
      </c>
      <c r="D6" s="25">
        <v>45991</v>
      </c>
      <c r="E6" s="25">
        <v>46081</v>
      </c>
      <c r="F6" s="25">
        <v>46081</v>
      </c>
      <c r="G6" s="25">
        <v>46173</v>
      </c>
      <c r="H6" s="40">
        <v>46265</v>
      </c>
      <c r="I6" s="1"/>
      <c r="J6" s="1"/>
    </row>
    <row r="7">
      <c r="A7" s="1"/>
      <c r="B7" s="33" t="s">
        <v>6</v>
      </c>
      <c r="C7" s="17">
        <v>92</v>
      </c>
      <c r="D7" s="17">
        <v>91</v>
      </c>
      <c r="E7" s="17">
        <v>90</v>
      </c>
      <c r="F7" s="17">
        <v>365</v>
      </c>
      <c r="G7" s="17">
        <v>92</v>
      </c>
      <c r="H7" s="10">
        <v>92</v>
      </c>
      <c r="I7" s="1"/>
      <c r="J7" s="1"/>
    </row>
    <row r="8">
      <c r="A8" s="1"/>
      <c r="B8" s="1"/>
      <c r="C8" s="1"/>
      <c r="D8" s="1"/>
      <c r="E8" s="1"/>
      <c r="F8" s="1"/>
      <c r="G8" s="1"/>
      <c r="H8" s="32"/>
      <c r="I8" s="1"/>
      <c r="J8" s="1"/>
    </row>
    <row r="9">
      <c r="A9" s="1"/>
      <c r="B9" s="16" t="s">
        <v>63</v>
      </c>
      <c r="C9" s="1"/>
      <c r="D9" s="1"/>
      <c r="E9" s="1"/>
      <c r="F9" s="1"/>
      <c r="G9" s="1"/>
      <c r="H9" s="32"/>
      <c r="I9" s="1"/>
      <c r="J9" s="1"/>
    </row>
    <row r="10">
      <c r="A10" s="1"/>
      <c r="B10" s="16" t="s">
        <v>64</v>
      </c>
      <c r="C10" s="43">
        <f>'Segment - Home &amp; Outdoor'!C23</f>
        <v>208.72099999999998</v>
      </c>
      <c r="D10" s="43">
        <f>'Segment - Home &amp; Outdoor'!D23</f>
        <v>229.63700000000003</v>
      </c>
      <c r="E10" s="43">
        <f>'Segment - Home &amp; Outdoor'!E23</f>
        <v>216.52899999999997</v>
      </c>
      <c r="F10" s="43">
        <f>'Segment - Home &amp; Outdoor'!F23</f>
        <v>832.87</v>
      </c>
      <c r="G10" s="43">
        <f>'Segment - Home &amp; Outdoor'!G23</f>
        <v>194.923</v>
      </c>
      <c r="H10" s="46">
        <f>'Segment - Home &amp; Outdoor'!H23</f>
        <v>218.11344499999998</v>
      </c>
      <c r="I10" s="1"/>
      <c r="J10" s="1"/>
    </row>
    <row r="11">
      <c r="A11" s="1"/>
      <c r="B11" s="1" t="s">
        <v>65</v>
      </c>
      <c r="C11" s="6">
        <f>'Segment - Home &amp; Outdoor'!C16</f>
        <v>241.944</v>
      </c>
      <c r="D11" s="6">
        <f>'Segment - Home &amp; Outdoor'!D16</f>
        <v>246.109</v>
      </c>
      <c r="E11" s="6">
        <f>'Segment - Home &amp; Outdoor'!E16</f>
        <v>219.819</v>
      </c>
      <c r="F11" s="6">
        <f>'Segment - Home &amp; Outdoor'!F16</f>
        <v>906.331</v>
      </c>
      <c r="G11" s="6">
        <f>'Segment - Home &amp; Outdoor'!G16</f>
        <v>177.983</v>
      </c>
      <c r="H11" s="47">
        <f>'Segment - Home &amp; Outdoor'!H16</f>
        <v>208.72099999999998</v>
      </c>
      <c r="I11" s="1"/>
      <c r="J11" s="1"/>
    </row>
    <row r="12">
      <c r="A12" s="1"/>
      <c r="B12" s="19" t="s">
        <v>66</v>
      </c>
      <c r="C12" s="3">
        <f>C10/C11-1</f>
        <v>-0.13731689977846118</v>
      </c>
      <c r="D12" s="3">
        <f>D10/D11-1</f>
        <v>-0.0669296937535806</v>
      </c>
      <c r="E12" s="3">
        <f>E10/E11-1</f>
        <v>-0.014966859097712337</v>
      </c>
      <c r="F12" s="3">
        <f>F10/F11-1</f>
        <v>-0.08105316931672868</v>
      </c>
      <c r="G12" s="3">
        <f>G10/G11-1</f>
        <v>0.09517762932414886</v>
      </c>
      <c r="H12" s="20">
        <f>H10/H11-1</f>
        <v>0.04500000000000015</v>
      </c>
      <c r="I12" s="1"/>
      <c r="J12" s="1"/>
    </row>
    <row r="13">
      <c r="A13" s="1"/>
      <c r="B13" s="19" t="s">
        <v>67</v>
      </c>
      <c r="C13" s="45">
        <f>'Segment - Home &amp; Outdoor'!C29</f>
        <v>0.17270188725889524</v>
      </c>
      <c r="D13" s="45">
        <f>'Segment - Home &amp; Outdoor'!D29</f>
        <v>0.10021032862050316</v>
      </c>
      <c r="E13" s="45">
        <f>'Segment - Home &amp; Outdoor'!E29</f>
        <v>-0.05708139367784837</v>
      </c>
      <c r="F13" s="3"/>
      <c r="G13" s="45">
        <f>'Segment - Home &amp; Outdoor'!G29</f>
        <v>-0.09978340083776294</v>
      </c>
      <c r="H13" s="48">
        <f>'Segment - Home &amp; Outdoor'!H29</f>
        <v>0.11897233779492411</v>
      </c>
      <c r="I13" s="1"/>
      <c r="J13" s="1"/>
    </row>
    <row r="14">
      <c r="A14" s="1"/>
      <c r="B14" s="19" t="s">
        <v>68</v>
      </c>
      <c r="C14" s="3">
        <f>C10/C36</f>
        <v>0.4833955176350974</v>
      </c>
      <c r="D14" s="3">
        <f>D10/D36</f>
        <v>0.44778473916256684</v>
      </c>
      <c r="E14" s="3">
        <f>E10/E36</f>
        <v>0.4606754959842561</v>
      </c>
      <c r="F14" s="3">
        <f>F10/F36</f>
        <v>0.4662568787822806</v>
      </c>
      <c r="G14" s="3">
        <f>G10/G36</f>
        <v>0.48474441391144324</v>
      </c>
      <c r="H14" s="20">
        <f>H10/H36</f>
        <v>0.49314717470371083</v>
      </c>
      <c r="I14" s="1"/>
      <c r="J14" s="1"/>
    </row>
    <row r="15">
      <c r="A15" s="1"/>
      <c r="B15" s="1" t="s">
        <v>69</v>
      </c>
      <c r="C15" s="8">
        <f>C10-C11</f>
        <v>-33.22300000000001</v>
      </c>
      <c r="D15" s="8">
        <f>D10-D11</f>
        <v>-16.47199999999998</v>
      </c>
      <c r="E15" s="8">
        <f>E10-E11</f>
        <v>-3.2900000000000205</v>
      </c>
      <c r="F15" s="8">
        <f>F10-F11</f>
        <v>-73.46100000000001</v>
      </c>
      <c r="G15" s="8">
        <f>G10-G11</f>
        <v>16.939999999999998</v>
      </c>
      <c r="H15" s="21">
        <f>H10-H11</f>
        <v>9.39244500000001</v>
      </c>
      <c r="I15" s="1"/>
      <c r="J15" s="1"/>
    </row>
    <row r="16">
      <c r="A16" s="1"/>
      <c r="B16" s="1" t="s">
        <v>70</v>
      </c>
      <c r="C16" s="6">
        <f>'Segment - Home &amp; Outdoor'!C28</f>
        <v>30.73799999999997</v>
      </c>
      <c r="D16" s="6">
        <f>'Segment - Home &amp; Outdoor'!D28</f>
        <v>20.916000000000054</v>
      </c>
      <c r="E16" s="6">
        <f>'Segment - Home &amp; Outdoor'!E28</f>
        <v>-13.108000000000061</v>
      </c>
      <c r="F16" s="8"/>
      <c r="G16" s="6">
        <f>'Segment - Home &amp; Outdoor'!G28</f>
        <v>-21.605999999999966</v>
      </c>
      <c r="H16" s="47">
        <f>'Segment - Home &amp; Outdoor'!H28</f>
        <v>23.190444999999983</v>
      </c>
      <c r="I16" s="1"/>
      <c r="J16" s="1"/>
    </row>
    <row r="17">
      <c r="A17" s="1"/>
      <c r="B17" s="19" t="s">
        <v>71</v>
      </c>
      <c r="C17" s="45">
        <f>'Segment - Home &amp; Outdoor'!C36</f>
        <v>-0.13972241510432168</v>
      </c>
      <c r="D17" s="45">
        <f>'Segment - Home &amp; Outdoor'!D36</f>
        <v>-0.07097668106408137</v>
      </c>
      <c r="E17" s="45">
        <f>'Segment - Home &amp; Outdoor'!E36</f>
        <v>-0.026248868387173083</v>
      </c>
      <c r="F17" s="45">
        <f>'Segment - Home &amp; Outdoor'!F36</f>
        <v>-0.08573026852220657</v>
      </c>
      <c r="G17" s="45">
        <f>'Segment - Home &amp; Outdoor'!G36</f>
        <v>0.08777804621789721</v>
      </c>
      <c r="H17" s="48">
        <f>'Segment - Home &amp; Outdoor'!H36</f>
        <v>0.04</v>
      </c>
      <c r="I17" s="1"/>
      <c r="J17" s="1"/>
    </row>
    <row r="18">
      <c r="A18" s="1"/>
      <c r="B18" s="19" t="s">
        <v>72</v>
      </c>
      <c r="C18" s="45">
        <f>'Segment - Home &amp; Outdoor'!C33</f>
        <v>0</v>
      </c>
      <c r="D18" s="45">
        <f>'Segment - Home &amp; Outdoor'!D33</f>
        <v>0</v>
      </c>
      <c r="E18" s="45">
        <f>'Segment - Home &amp; Outdoor'!E33</f>
        <v>0</v>
      </c>
      <c r="F18" s="45">
        <f>'Segment - Home &amp; Outdoor'!F33</f>
        <v>0</v>
      </c>
      <c r="G18" s="45">
        <f>'Segment - Home &amp; Outdoor'!G33</f>
        <v>0</v>
      </c>
      <c r="H18" s="48">
        <f>'Segment - Home &amp; Outdoor'!H33</f>
        <v>0</v>
      </c>
      <c r="I18" s="1"/>
      <c r="J18" s="1"/>
    </row>
    <row r="19">
      <c r="A19" s="1"/>
      <c r="B19" s="19" t="s">
        <v>73</v>
      </c>
      <c r="C19" s="45">
        <f>'Segment - Home &amp; Outdoor'!C34</f>
        <v>0.0024055153258605295</v>
      </c>
      <c r="D19" s="45">
        <f>'Segment - Home &amp; Outdoor'!D34</f>
        <v>0.0040469873105006314</v>
      </c>
      <c r="E19" s="45">
        <f>'Segment - Home &amp; Outdoor'!E34</f>
        <v>0.011282009289460875</v>
      </c>
      <c r="F19" s="45">
        <f>'Segment - Home &amp; Outdoor'!F34</f>
        <v>0.00467709920547791</v>
      </c>
      <c r="G19" s="45">
        <f>'Segment - Home &amp; Outdoor'!G34</f>
        <v>0.0073995831062517205</v>
      </c>
      <c r="H19" s="48">
        <f>'Segment - Home &amp; Outdoor'!H34</f>
        <v>0.005</v>
      </c>
      <c r="I19" s="1"/>
      <c r="J19" s="1"/>
    </row>
    <row r="20">
      <c r="A20" s="1"/>
      <c r="B20" s="19" t="s">
        <v>74</v>
      </c>
      <c r="C20" s="3">
        <f>C12</f>
        <v>-0.13731689977846118</v>
      </c>
      <c r="D20" s="3">
        <f>D12</f>
        <v>-0.0669296937535806</v>
      </c>
      <c r="E20" s="3">
        <f>E12</f>
        <v>-0.014966859097712337</v>
      </c>
      <c r="F20" s="3">
        <f>F12</f>
        <v>-0.08105316931672868</v>
      </c>
      <c r="G20" s="3">
        <f>G12</f>
        <v>0.09517762932414886</v>
      </c>
      <c r="H20" s="20">
        <f>H12</f>
        <v>0.04500000000000015</v>
      </c>
      <c r="I20" s="1"/>
      <c r="J20" s="1"/>
    </row>
    <row r="21">
      <c r="A21" s="1"/>
      <c r="B21" s="1"/>
      <c r="C21" s="1"/>
      <c r="D21" s="1"/>
      <c r="E21" s="1"/>
      <c r="F21" s="1"/>
      <c r="G21" s="1"/>
      <c r="H21" s="32"/>
      <c r="I21" s="1"/>
      <c r="J21" s="1"/>
    </row>
    <row r="22">
      <c r="A22" s="1"/>
      <c r="B22" s="16" t="s">
        <v>75</v>
      </c>
      <c r="C22" s="1"/>
      <c r="D22" s="1"/>
      <c r="E22" s="1"/>
      <c r="F22" s="1"/>
      <c r="G22" s="1"/>
      <c r="H22" s="32"/>
      <c r="I22" s="1"/>
      <c r="J22" s="1"/>
    </row>
    <row r="23">
      <c r="A23" s="1"/>
      <c r="B23" s="16" t="s">
        <v>76</v>
      </c>
      <c r="C23" s="43">
        <f>'Segment - Beauty &amp; Wellness'!C23</f>
        <v>223.05999999999997</v>
      </c>
      <c r="D23" s="43">
        <f>'Segment - Beauty &amp; Wellness'!D23</f>
        <v>283.192</v>
      </c>
      <c r="E23" s="43">
        <f>'Segment - Beauty &amp; Wellness'!E23</f>
        <v>253.496</v>
      </c>
      <c r="F23" s="43">
        <f>'Segment - Beauty &amp; Wellness'!F23</f>
        <v>953.42</v>
      </c>
      <c r="G23" s="43">
        <f>'Segment - Beauty &amp; Wellness'!G23</f>
        <v>207.19199999999998</v>
      </c>
      <c r="H23" s="46">
        <f>'Segment - Beauty &amp; Wellness'!H23</f>
        <v>224.17529999999996</v>
      </c>
      <c r="I23" s="1"/>
      <c r="J23" s="1"/>
    </row>
    <row r="24">
      <c r="A24" s="1"/>
      <c r="B24" s="1" t="s">
        <v>65</v>
      </c>
      <c r="C24" s="6">
        <f>'Segment - Beauty &amp; Wellness'!C16</f>
        <v>232.277</v>
      </c>
      <c r="D24" s="6">
        <f>'Segment - Beauty &amp; Wellness'!D16</f>
        <v>284.597</v>
      </c>
      <c r="E24" s="6">
        <f>'Segment - Beauty &amp; Wellness'!E16</f>
        <v>266.072</v>
      </c>
      <c r="F24" s="6">
        <f>'Segment - Beauty &amp; Wellness'!F16</f>
        <v>1001.334</v>
      </c>
      <c r="G24" s="6">
        <f>'Segment - Beauty &amp; Wellness'!G16</f>
        <v>193.672</v>
      </c>
      <c r="H24" s="47">
        <f>'Segment - Beauty &amp; Wellness'!H16</f>
        <v>223.05999999999997</v>
      </c>
      <c r="I24" s="1"/>
      <c r="J24" s="1"/>
    </row>
    <row r="25">
      <c r="A25" s="1"/>
      <c r="B25" s="19" t="s">
        <v>66</v>
      </c>
      <c r="C25" s="3">
        <f>C23/C24-1</f>
        <v>-0.03968107044606228</v>
      </c>
      <c r="D25" s="3">
        <f>D23/D24-1</f>
        <v>-0.004936805377428355</v>
      </c>
      <c r="E25" s="3">
        <f>E23/E24-1</f>
        <v>-0.04726540184611683</v>
      </c>
      <c r="F25" s="3">
        <f>F23/F24-1</f>
        <v>-0.04785016787605334</v>
      </c>
      <c r="G25" s="3">
        <f>G23/G24-1</f>
        <v>0.06980874881242505</v>
      </c>
      <c r="H25" s="20">
        <f>H23/H24-1</f>
        <v>0.004999999999999893</v>
      </c>
      <c r="I25" s="1"/>
      <c r="J25" s="1"/>
    </row>
    <row r="26">
      <c r="A26" s="1"/>
      <c r="B26" s="19" t="s">
        <v>67</v>
      </c>
      <c r="C26" s="45">
        <f>'Segment - Beauty &amp; Wellness'!C29</f>
        <v>0.15174108802511443</v>
      </c>
      <c r="D26" s="45">
        <f>'Segment - Beauty &amp; Wellness'!D29</f>
        <v>0.2695776921007802</v>
      </c>
      <c r="E26" s="45">
        <f>'Segment - Beauty &amp; Wellness'!E29</f>
        <v>-0.10486171925760612</v>
      </c>
      <c r="F26" s="3"/>
      <c r="G26" s="45">
        <f>'Segment - Beauty &amp; Wellness'!G29</f>
        <v>-0.18266165935557177</v>
      </c>
      <c r="H26" s="48">
        <f>'Segment - Beauty &amp; Wellness'!H29</f>
        <v>0.08196889841306598</v>
      </c>
      <c r="I26" s="1"/>
      <c r="J26" s="1"/>
    </row>
    <row r="27">
      <c r="A27" s="1"/>
      <c r="B27" s="19" t="s">
        <v>68</v>
      </c>
      <c r="C27" s="3">
        <f>C23/C36</f>
        <v>0.5166044823649025</v>
      </c>
      <c r="D27" s="3">
        <f>D23/D36</f>
        <v>0.5522152608374331</v>
      </c>
      <c r="E27" s="3">
        <f>E23/E36</f>
        <v>0.5393245040157439</v>
      </c>
      <c r="F27" s="3">
        <f>F23/F36</f>
        <v>0.5337431212177194</v>
      </c>
      <c r="G27" s="3">
        <f>G23/G36</f>
        <v>0.5152555860885567</v>
      </c>
      <c r="H27" s="20">
        <f>H23/H36</f>
        <v>0.5068528252962892</v>
      </c>
      <c r="I27" s="1"/>
      <c r="J27" s="1"/>
    </row>
    <row r="28">
      <c r="A28" s="1"/>
      <c r="B28" s="1" t="s">
        <v>69</v>
      </c>
      <c r="C28" s="8">
        <f>C23-C24</f>
        <v>-9.217000000000013</v>
      </c>
      <c r="D28" s="8">
        <f>D23-D24</f>
        <v>-1.4049999999999727</v>
      </c>
      <c r="E28" s="8">
        <f>E23-E24</f>
        <v>-12.575999999999993</v>
      </c>
      <c r="F28" s="8">
        <f>F23-F24</f>
        <v>-47.91399999999999</v>
      </c>
      <c r="G28" s="8">
        <f>G23-G24</f>
        <v>13.519999999999982</v>
      </c>
      <c r="H28" s="21">
        <f>H23-H24</f>
        <v>1.1152999999999906</v>
      </c>
      <c r="I28" s="1"/>
      <c r="J28" s="1"/>
    </row>
    <row r="29">
      <c r="A29" s="1"/>
      <c r="B29" s="1" t="s">
        <v>70</v>
      </c>
      <c r="C29" s="6">
        <f>'Segment - Beauty &amp; Wellness'!C28</f>
        <v>29.387999999999977</v>
      </c>
      <c r="D29" s="6">
        <f>'Segment - Beauty &amp; Wellness'!D28</f>
        <v>60.13200000000003</v>
      </c>
      <c r="E29" s="6">
        <f>'Segment - Beauty &amp; Wellness'!E28</f>
        <v>-29.695999999999998</v>
      </c>
      <c r="F29" s="8"/>
      <c r="G29" s="6">
        <f>'Segment - Beauty &amp; Wellness'!G28</f>
        <v>-46.30400000000003</v>
      </c>
      <c r="H29" s="47">
        <f>'Segment - Beauty &amp; Wellness'!H28</f>
        <v>16.983299999999986</v>
      </c>
      <c r="I29" s="1"/>
      <c r="J29" s="1"/>
    </row>
    <row r="30">
      <c r="A30" s="1"/>
      <c r="B30" s="19" t="s">
        <v>71</v>
      </c>
      <c r="C30" s="45">
        <f>'Segment - Beauty &amp; Wellness'!C36</f>
        <v>-0.18196808121337887</v>
      </c>
      <c r="D30" s="45">
        <f>'Segment - Beauty &amp; Wellness'!D36</f>
        <v>-0.13940062614855395</v>
      </c>
      <c r="E30" s="45">
        <f>'Segment - Beauty &amp; Wellness'!E36</f>
        <v>-0.0890435671547551</v>
      </c>
      <c r="F30" s="45">
        <f>'Segment - Beauty &amp; Wellness'!F36</f>
        <v>-0.15575921720424954</v>
      </c>
      <c r="G30" s="45">
        <f>'Segment - Beauty &amp; Wellness'!G36</f>
        <v>0.061769383287207234</v>
      </c>
      <c r="H30" s="48">
        <f>'Segment - Beauty &amp; Wellness'!H36</f>
        <v>0</v>
      </c>
      <c r="I30" s="1"/>
      <c r="J30" s="1"/>
    </row>
    <row r="31">
      <c r="A31" s="1"/>
      <c r="B31" s="19" t="s">
        <v>72</v>
      </c>
      <c r="C31" s="45">
        <f>'Segment - Beauty &amp; Wellness'!C33</f>
        <v>0.14383688440956272</v>
      </c>
      <c r="D31" s="45">
        <f>'Segment - Beauty &amp; Wellness'!D33</f>
        <v>0.13236963144376082</v>
      </c>
      <c r="E31" s="45">
        <f>'Segment - Beauty &amp; Wellness'!E33</f>
        <v>0.032983553323912326</v>
      </c>
      <c r="F31" s="45">
        <f>'Segment - Beauty &amp; Wellness'!F33</f>
        <v>0.1065558544901102</v>
      </c>
      <c r="G31" s="45">
        <f>'Segment - Beauty &amp; Wellness'!G33</f>
        <v>0</v>
      </c>
      <c r="H31" s="48">
        <f>'Segment - Beauty &amp; Wellness'!H33</f>
        <v>0</v>
      </c>
      <c r="I31" s="1"/>
      <c r="J31" s="1"/>
    </row>
    <row r="32">
      <c r="A32" s="1"/>
      <c r="B32" s="19" t="s">
        <v>73</v>
      </c>
      <c r="C32" s="45">
        <f>'Segment - Beauty &amp; Wellness'!C34</f>
        <v>-0.0015498736422461113</v>
      </c>
      <c r="D32" s="45">
        <f>'Segment - Beauty &amp; Wellness'!D34</f>
        <v>0.0020941893273646595</v>
      </c>
      <c r="E32" s="45">
        <f>'Segment - Beauty &amp; Wellness'!E34</f>
        <v>0.008794611984725939</v>
      </c>
      <c r="F32" s="45">
        <f>'Segment - Beauty &amp; Wellness'!F34</f>
        <v>0.0013531948380859932</v>
      </c>
      <c r="G32" s="45">
        <f>'Segment - Beauty &amp; Wellness'!G34</f>
        <v>0.008039365525217893</v>
      </c>
      <c r="H32" s="48">
        <f>'Segment - Beauty &amp; Wellness'!H34</f>
        <v>0.005</v>
      </c>
      <c r="I32" s="1"/>
      <c r="J32" s="1"/>
    </row>
    <row r="33">
      <c r="A33" s="1"/>
      <c r="B33" s="19" t="s">
        <v>74</v>
      </c>
      <c r="C33" s="3">
        <f>C25</f>
        <v>-0.03968107044606228</v>
      </c>
      <c r="D33" s="3">
        <f>D25</f>
        <v>-0.004936805377428355</v>
      </c>
      <c r="E33" s="3">
        <f>E25</f>
        <v>-0.04726540184611683</v>
      </c>
      <c r="F33" s="3">
        <f>F25</f>
        <v>-0.04785016787605334</v>
      </c>
      <c r="G33" s="3">
        <f>G25</f>
        <v>0.06980874881242505</v>
      </c>
      <c r="H33" s="20">
        <f>H25</f>
        <v>0.004999999999999893</v>
      </c>
      <c r="I33" s="1"/>
      <c r="J33" s="1"/>
    </row>
    <row r="34">
      <c r="A34" s="1"/>
      <c r="B34" s="1"/>
      <c r="C34" s="1"/>
      <c r="D34" s="1"/>
      <c r="E34" s="1"/>
      <c r="F34" s="1"/>
      <c r="G34" s="1"/>
      <c r="H34" s="32"/>
      <c r="I34" s="1"/>
      <c r="J34" s="1"/>
    </row>
    <row r="35">
      <c r="A35" s="1"/>
      <c r="B35" s="16" t="s">
        <v>77</v>
      </c>
      <c r="C35" s="1"/>
      <c r="D35" s="1"/>
      <c r="E35" s="1"/>
      <c r="F35" s="1"/>
      <c r="G35" s="1"/>
      <c r="H35" s="32"/>
      <c r="I35" s="1"/>
      <c r="J35" s="1"/>
    </row>
    <row r="36">
      <c r="A36" s="1"/>
      <c r="B36" s="16" t="s">
        <v>78</v>
      </c>
      <c r="C36" s="39">
        <f>C10+C23</f>
        <v>431.78099999999995</v>
      </c>
      <c r="D36" s="39">
        <f>D10+D23</f>
        <v>512.8290000000001</v>
      </c>
      <c r="E36" s="39">
        <f>E10+E23</f>
        <v>470.025</v>
      </c>
      <c r="F36" s="39">
        <f>F10+F23</f>
        <v>1786.29</v>
      </c>
      <c r="G36" s="39">
        <f>G10+G23</f>
        <v>402.115</v>
      </c>
      <c r="H36" s="41">
        <f>H10+H23</f>
        <v>442.28874499999995</v>
      </c>
      <c r="I36" s="1"/>
      <c r="J36" s="1"/>
    </row>
    <row r="37">
      <c r="A37" s="1"/>
      <c r="B37" s="1" t="s">
        <v>65</v>
      </c>
      <c r="C37" s="8">
        <f>C11+C24</f>
        <v>474.221</v>
      </c>
      <c r="D37" s="8">
        <f>D11+D24</f>
        <v>530.706</v>
      </c>
      <c r="E37" s="8">
        <f>E11+E24</f>
        <v>485.89099999999996</v>
      </c>
      <c r="F37" s="8">
        <f>F11+F24</f>
        <v>1907.665</v>
      </c>
      <c r="G37" s="8">
        <f>G11+G24</f>
        <v>371.655</v>
      </c>
      <c r="H37" s="21">
        <f>H11+H24</f>
        <v>431.78099999999995</v>
      </c>
      <c r="I37" s="1"/>
      <c r="J37" s="1"/>
    </row>
    <row r="38">
      <c r="A38" s="1"/>
      <c r="B38" s="19" t="s">
        <v>66</v>
      </c>
      <c r="C38" s="3">
        <f>C36/C37-1</f>
        <v>-0.08949413880869905</v>
      </c>
      <c r="D38" s="3">
        <f>D36/D37-1</f>
        <v>-0.033685317294321004</v>
      </c>
      <c r="E38" s="3">
        <f>E36/E37-1</f>
        <v>-0.032653414037304596</v>
      </c>
      <c r="F38" s="3">
        <f>F36/F37-1</f>
        <v>-0.06362490269517973</v>
      </c>
      <c r="G38" s="3">
        <f>G36/G37-1</f>
        <v>0.08195772961483105</v>
      </c>
      <c r="H38" s="20">
        <f>H36/H37-1</f>
        <v>0.024335820705403854</v>
      </c>
      <c r="I38" s="1"/>
      <c r="J38" s="1"/>
    </row>
    <row r="39">
      <c r="A39" s="1"/>
      <c r="B39" s="19" t="s">
        <v>67</v>
      </c>
      <c r="C39" s="45">
        <f>C36/Inputs!C139-1</f>
        <v>0.16177906929813934</v>
      </c>
      <c r="D39" s="3">
        <f>D36/C36-1</f>
        <v>0.18770626776074018</v>
      </c>
      <c r="E39" s="3">
        <f>E36/D36-1</f>
        <v>-0.08346641863077187</v>
      </c>
      <c r="F39" s="3"/>
      <c r="G39" s="3">
        <f>G36/E36-1</f>
        <v>-0.14448167650656873</v>
      </c>
      <c r="H39" s="20">
        <f>H36/G36-1</f>
        <v>0.09990610894893237</v>
      </c>
      <c r="I39" s="1"/>
      <c r="J39" s="1"/>
    </row>
    <row r="40">
      <c r="A40" s="1"/>
      <c r="B40" s="19" t="s">
        <v>68</v>
      </c>
      <c r="C40" s="3">
        <f>C36/C36</f>
        <v>1</v>
      </c>
      <c r="D40" s="3">
        <f>D36/D36</f>
        <v>1</v>
      </c>
      <c r="E40" s="3">
        <f>E36/E36</f>
        <v>1</v>
      </c>
      <c r="F40" s="3">
        <f>F36/F36</f>
        <v>1</v>
      </c>
      <c r="G40" s="3">
        <f>G36/G36</f>
        <v>1</v>
      </c>
      <c r="H40" s="20">
        <f>H36/H36</f>
        <v>1</v>
      </c>
      <c r="I40" s="1"/>
      <c r="J40" s="1"/>
    </row>
    <row r="41">
      <c r="A41" s="1"/>
      <c r="B41" s="1" t="s">
        <v>69</v>
      </c>
      <c r="C41" s="8">
        <f>C36-C37</f>
        <v>-42.440000000000055</v>
      </c>
      <c r="D41" s="8">
        <f>D36-D37</f>
        <v>-17.876999999999953</v>
      </c>
      <c r="E41" s="8">
        <f>E36-E37</f>
        <v>-15.865999999999985</v>
      </c>
      <c r="F41" s="8">
        <f>F36-F37</f>
        <v>-121.375</v>
      </c>
      <c r="G41" s="8">
        <f>G36-G37</f>
        <v>30.460000000000036</v>
      </c>
      <c r="H41" s="21">
        <f>H36-H37</f>
        <v>10.507745</v>
      </c>
      <c r="I41" s="1"/>
      <c r="J41" s="1"/>
    </row>
    <row r="42">
      <c r="A42" s="1"/>
      <c r="B42" s="1" t="s">
        <v>70</v>
      </c>
      <c r="C42" s="6">
        <f>C36-Inputs!C139</f>
        <v>60.125999999999976</v>
      </c>
      <c r="D42" s="8">
        <f>D36-C36</f>
        <v>81.04800000000012</v>
      </c>
      <c r="E42" s="8">
        <f>E36-D36</f>
        <v>-42.80400000000009</v>
      </c>
      <c r="F42" s="8"/>
      <c r="G42" s="8">
        <f>G36-E36</f>
        <v>-67.90999999999997</v>
      </c>
      <c r="H42" s="21">
        <f>H36-G36</f>
        <v>40.17374499999994</v>
      </c>
      <c r="I42" s="1"/>
      <c r="J42" s="1"/>
    </row>
    <row r="43">
      <c r="A43" s="1"/>
      <c r="B43" s="1" t="s">
        <v>79</v>
      </c>
      <c r="C43" s="6">
        <f>'Segment - Home &amp; Outdoor'!C21+'Segment - Beauty &amp; Wellness'!C21</f>
        <v>33.41</v>
      </c>
      <c r="D43" s="6">
        <f>'Segment - Home &amp; Outdoor'!D21+'Segment - Beauty &amp; Wellness'!D21</f>
        <v>37.672</v>
      </c>
      <c r="E43" s="6">
        <f>'Segment - Home &amp; Outdoor'!E21+'Segment - Beauty &amp; Wellness'!E21</f>
        <v>8.776</v>
      </c>
      <c r="F43" s="6">
        <f>'Segment - Home &amp; Outdoor'!F21+'Segment - Beauty &amp; Wellness'!F21</f>
        <v>106.698</v>
      </c>
      <c r="G43" s="6">
        <f>'Segment - Home &amp; Outdoor'!G21+'Segment - Beauty &amp; Wellness'!G21</f>
        <v>0</v>
      </c>
      <c r="H43" s="47">
        <f>'Segment - Home &amp; Outdoor'!H21+'Segment - Beauty &amp; Wellness'!H21</f>
        <v>0</v>
      </c>
      <c r="I43" s="1"/>
      <c r="J43" s="1"/>
    </row>
    <row r="44">
      <c r="A44" s="1"/>
      <c r="B44" s="1" t="s">
        <v>80</v>
      </c>
      <c r="C44" s="6">
        <f>'Segment - Home &amp; Outdoor'!C19+'Segment - Beauty &amp; Wellness'!C19</f>
        <v>0.22199999999999998</v>
      </c>
      <c r="D44" s="6">
        <f>'Segment - Home &amp; Outdoor'!D19+'Segment - Beauty &amp; Wellness'!D19</f>
        <v>1.592</v>
      </c>
      <c r="E44" s="6">
        <f>'Segment - Home &amp; Outdoor'!E19+'Segment - Beauty &amp; Wellness'!E19</f>
        <v>4.82</v>
      </c>
      <c r="F44" s="6">
        <f>'Segment - Home &amp; Outdoor'!F19+'Segment - Beauty &amp; Wellness'!F19</f>
        <v>5.593999999999999</v>
      </c>
      <c r="G44" s="6">
        <f>'Segment - Home &amp; Outdoor'!G19+'Segment - Beauty &amp; Wellness'!G19</f>
        <v>2.8739999999999997</v>
      </c>
      <c r="H44" s="47">
        <f>'Segment - Home &amp; Outdoor'!H19+'Segment - Beauty &amp; Wellness'!H19</f>
        <v>2.158905</v>
      </c>
      <c r="I44" s="1"/>
      <c r="J44" s="1"/>
    </row>
    <row r="45">
      <c r="A45" s="1"/>
      <c r="B45" s="19" t="s">
        <v>72</v>
      </c>
      <c r="C45" s="3">
        <f>C43/C37</f>
        <v>0.07045238401504783</v>
      </c>
      <c r="D45" s="3">
        <f>D43/D37</f>
        <v>0.07098468832084054</v>
      </c>
      <c r="E45" s="3">
        <f>E43/E37</f>
        <v>0.018061664035761107</v>
      </c>
      <c r="F45" s="3">
        <f>F43/F37</f>
        <v>0.05593120385392613</v>
      </c>
      <c r="G45" s="3">
        <f>G43/G37</f>
        <v>0</v>
      </c>
      <c r="H45" s="20">
        <f>H43/H37</f>
        <v>0</v>
      </c>
      <c r="I45" s="1"/>
      <c r="J45" s="1"/>
    </row>
    <row r="46">
      <c r="A46" s="1"/>
      <c r="B46" s="19" t="s">
        <v>73</v>
      </c>
      <c r="C46" s="3">
        <f>C44/C37</f>
        <v>0.0004681361643621855</v>
      </c>
      <c r="D46" s="3">
        <f>D44/D37</f>
        <v>0.002999777654671325</v>
      </c>
      <c r="E46" s="3">
        <f>E44/E37</f>
        <v>0.00991992031134555</v>
      </c>
      <c r="F46" s="3">
        <f>F44/F37</f>
        <v>0.002932380685288035</v>
      </c>
      <c r="G46" s="3">
        <f>G44/G37</f>
        <v>0.007732978165233886</v>
      </c>
      <c r="H46" s="20">
        <f>H44/H37</f>
        <v>0.005</v>
      </c>
      <c r="I46" s="1"/>
      <c r="J46" s="1"/>
    </row>
    <row r="47">
      <c r="A47" s="1"/>
      <c r="B47" s="19" t="s">
        <v>71</v>
      </c>
      <c r="C47" s="3">
        <f>('Segment - Home &amp; Outdoor'!C17+'Segment - Beauty &amp; Wellness'!C17)/C37</f>
        <v>-0.16041465898810892</v>
      </c>
      <c r="D47" s="3">
        <f>('Segment - Home &amp; Outdoor'!D17+'Segment - Beauty &amp; Wellness'!D17)/D37</f>
        <v>-0.10766978326983302</v>
      </c>
      <c r="E47" s="3">
        <f>('Segment - Home &amp; Outdoor'!E17+'Segment - Beauty &amp; Wellness'!E17)/E37</f>
        <v>-0.060634998384411325</v>
      </c>
      <c r="F47" s="3">
        <f>('Segment - Home &amp; Outdoor'!F17+'Segment - Beauty &amp; Wellness'!F17)/F37</f>
        <v>-0.1224884872343939</v>
      </c>
      <c r="G47" s="3">
        <f>('Segment - Home &amp; Outdoor'!G17+'Segment - Beauty &amp; Wellness'!G17)/G37</f>
        <v>0.07422475144959707</v>
      </c>
      <c r="H47" s="20">
        <f>('Segment - Home &amp; Outdoor'!H17+'Segment - Beauty &amp; Wellness'!H17)/H37</f>
        <v>0.0193358207054039</v>
      </c>
      <c r="I47" s="1"/>
      <c r="J47" s="1"/>
    </row>
    <row r="48">
      <c r="A48" s="1"/>
      <c r="B48" s="19" t="s">
        <v>74</v>
      </c>
      <c r="C48" s="3">
        <f>C38</f>
        <v>-0.08949413880869905</v>
      </c>
      <c r="D48" s="3">
        <f>D38</f>
        <v>-0.033685317294321004</v>
      </c>
      <c r="E48" s="3">
        <f>E38</f>
        <v>-0.032653414037304596</v>
      </c>
      <c r="F48" s="3">
        <f>F38</f>
        <v>-0.06362490269517973</v>
      </c>
      <c r="G48" s="3">
        <f>G38</f>
        <v>0.08195772961483105</v>
      </c>
      <c r="H48" s="20">
        <f>H38</f>
        <v>0.024335820705403854</v>
      </c>
      <c r="I48" s="1"/>
      <c r="J48" s="1"/>
    </row>
    <row r="49">
      <c r="A49" s="1"/>
      <c r="B49" s="1"/>
      <c r="C49" s="1"/>
      <c r="D49" s="1"/>
      <c r="E49" s="1"/>
      <c r="F49" s="1"/>
      <c r="G49" s="1"/>
      <c r="H49" s="32"/>
      <c r="I49" s="1"/>
      <c r="J49" s="1"/>
    </row>
    <row r="50">
      <c r="A50" s="1"/>
      <c r="B50" s="16" t="s">
        <v>81</v>
      </c>
      <c r="C50" s="1"/>
      <c r="D50" s="1"/>
      <c r="E50" s="1"/>
      <c r="F50" s="1"/>
      <c r="G50" s="1"/>
      <c r="H50" s="32"/>
      <c r="I50" s="1"/>
      <c r="J50" s="1"/>
    </row>
    <row r="51">
      <c r="A51" s="1"/>
      <c r="B51" s="1" t="s">
        <v>82</v>
      </c>
      <c r="C51" s="37">
        <v>431.781</v>
      </c>
      <c r="D51" s="37">
        <v>512.829</v>
      </c>
      <c r="E51" s="37">
        <v>470.025</v>
      </c>
      <c r="F51" s="37">
        <v>1786.29</v>
      </c>
      <c r="G51" s="37">
        <v>402.115</v>
      </c>
      <c r="H51" s="21"/>
      <c r="I51" s="1"/>
      <c r="J51" s="1" t="s">
        <v>83</v>
      </c>
    </row>
    <row r="52">
      <c r="A52" s="1"/>
      <c r="B52" s="19" t="s">
        <v>84</v>
      </c>
      <c r="C52" s="8">
        <f>ROUND(C36-C51,3)</f>
        <v>0</v>
      </c>
      <c r="D52" s="8">
        <f>ROUND(D36-D51,3)</f>
        <v>0</v>
      </c>
      <c r="E52" s="8">
        <f>ROUND(E36-E51,3)</f>
        <v>0</v>
      </c>
      <c r="F52" s="8">
        <f>ROUND(F36-F51,3)</f>
        <v>0</v>
      </c>
      <c r="G52" s="8">
        <f>ROUND(G36-G51,3)</f>
        <v>0</v>
      </c>
      <c r="H52" s="21"/>
      <c r="I52" s="1"/>
      <c r="J52" s="1"/>
    </row>
    <row r="53">
      <c r="A53" s="1"/>
      <c r="B53" s="19" t="s">
        <v>85</v>
      </c>
      <c r="C53" s="8"/>
      <c r="D53" s="8"/>
      <c r="E53" s="8"/>
      <c r="F53" s="6">
        <f>ROUND(F36-(Inputs!C139+C36+D36+E36),3)</f>
        <v>0</v>
      </c>
      <c r="G53" s="8"/>
      <c r="H53" s="21"/>
      <c r="I53" s="1"/>
      <c r="J53" s="1"/>
    </row>
    <row r="54">
      <c r="A54" s="1"/>
      <c r="B54" s="1" t="s">
        <v>86</v>
      </c>
      <c r="C54" s="6">
        <f>Inputs!I104</f>
        <v>431.78</v>
      </c>
      <c r="D54" s="6">
        <f>Inputs!I105</f>
        <v>512.83</v>
      </c>
      <c r="E54" s="6">
        <f>Inputs!I106</f>
        <v>470.03</v>
      </c>
      <c r="F54" s="8"/>
      <c r="G54" s="6">
        <f>Inputs!I107</f>
        <v>402.12</v>
      </c>
      <c r="H54" s="21"/>
      <c r="I54" s="1"/>
      <c r="J54" s="1" t="s">
        <v>87</v>
      </c>
    </row>
    <row r="55">
      <c r="A55" s="1"/>
      <c r="B55" s="1" t="s">
        <v>88</v>
      </c>
      <c r="C55" s="6">
        <f>Inputs!H104</f>
        <v>417.7</v>
      </c>
      <c r="D55" s="6">
        <f>Inputs!H105</f>
        <v>502.17</v>
      </c>
      <c r="E55" s="6">
        <f>Inputs!H106</f>
        <v>450.38</v>
      </c>
      <c r="F55" s="8"/>
      <c r="G55" s="6">
        <f>Inputs!H107</f>
        <v>374.55</v>
      </c>
      <c r="H55" s="47">
        <f>Inputs!C55</f>
        <v>443.21</v>
      </c>
      <c r="I55" s="1"/>
      <c r="J55" s="1" t="s">
        <v>89</v>
      </c>
    </row>
    <row r="56">
      <c r="A56" s="1"/>
      <c r="B56" s="1" t="s">
        <v>90</v>
      </c>
      <c r="C56" s="8">
        <f>C36-C55</f>
        <v>14.08099999999996</v>
      </c>
      <c r="D56" s="8">
        <f>D36-D55</f>
        <v>10.659000000000049</v>
      </c>
      <c r="E56" s="8">
        <f>E36-E55</f>
        <v>19.644999999999982</v>
      </c>
      <c r="F56" s="8"/>
      <c r="G56" s="8">
        <f>G36-G55</f>
        <v>27.564999999999998</v>
      </c>
      <c r="H56" s="21">
        <f>H36-H55</f>
        <v>-0.9212550000000306</v>
      </c>
      <c r="I56" s="1"/>
      <c r="J56" s="1"/>
    </row>
    <row r="57">
      <c r="A57" s="1"/>
      <c r="B57" s="19" t="s">
        <v>91</v>
      </c>
      <c r="C57" s="8">
        <f>IF(ABS(C36-C54)&lt;0.01,0,C36-C54)</f>
        <v>0</v>
      </c>
      <c r="D57" s="8">
        <f>IF(ABS(D36-D54)&lt;0.01,0,D36-D54)</f>
        <v>0</v>
      </c>
      <c r="E57" s="8">
        <f>IF(ABS(E36-E54)&lt;0.01,0,E36-E54)</f>
        <v>0</v>
      </c>
      <c r="F57" s="8"/>
      <c r="G57" s="8">
        <f>IF(ABS(G36-G54)&lt;0.01,0,G36-G54)</f>
        <v>0</v>
      </c>
      <c r="H57" s="21"/>
      <c r="I57" s="1"/>
      <c r="J57" s="1"/>
    </row>
    <row r="58">
      <c r="A58" s="1"/>
      <c r="B58" s="1" t="s">
        <v>92</v>
      </c>
      <c r="C58" s="1"/>
      <c r="D58" s="1"/>
      <c r="E58" s="1"/>
      <c r="F58" s="1"/>
      <c r="G58" s="1"/>
      <c r="H58" s="32"/>
      <c r="I58" s="1"/>
      <c r="J58" s="1"/>
    </row>
    <row r="59">
      <c r="A59" s="1"/>
      <c r="B59" s="1"/>
      <c r="C59" s="1"/>
      <c r="D59" s="1"/>
      <c r="E59" s="1"/>
      <c r="F59" s="1"/>
      <c r="G59" s="1"/>
      <c r="H59" s="32"/>
      <c r="I59" s="1"/>
      <c r="J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J8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93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18" t="s">
        <v>4</v>
      </c>
      <c r="I5" s="1"/>
      <c r="J5" s="16" t="s">
        <v>36</v>
      </c>
    </row>
    <row r="6">
      <c r="A6" s="1"/>
      <c r="B6" s="14" t="s">
        <v>5</v>
      </c>
      <c r="C6" s="25">
        <v>45900</v>
      </c>
      <c r="D6" s="25">
        <v>45991</v>
      </c>
      <c r="E6" s="25">
        <v>46081</v>
      </c>
      <c r="F6" s="25">
        <v>46081</v>
      </c>
      <c r="G6" s="25">
        <v>46173</v>
      </c>
      <c r="H6" s="40">
        <v>46265</v>
      </c>
      <c r="I6" s="1"/>
      <c r="J6" s="1"/>
    </row>
    <row r="7">
      <c r="A7" s="1"/>
      <c r="B7" s="33" t="s">
        <v>6</v>
      </c>
      <c r="C7" s="17">
        <v>92</v>
      </c>
      <c r="D7" s="17">
        <v>91</v>
      </c>
      <c r="E7" s="17">
        <v>90</v>
      </c>
      <c r="F7" s="17">
        <v>365</v>
      </c>
      <c r="G7" s="17">
        <v>92</v>
      </c>
      <c r="H7" s="10">
        <v>92</v>
      </c>
      <c r="I7" s="1"/>
      <c r="J7" s="1"/>
    </row>
    <row r="8">
      <c r="A8" s="1"/>
      <c r="B8" s="1"/>
      <c r="C8" s="1"/>
      <c r="D8" s="1"/>
      <c r="E8" s="1"/>
      <c r="F8" s="1"/>
      <c r="G8" s="1"/>
      <c r="H8" s="32"/>
      <c r="I8" s="1"/>
      <c r="J8" s="1"/>
    </row>
    <row r="9">
      <c r="A9" s="1"/>
      <c r="B9" s="16" t="s">
        <v>94</v>
      </c>
      <c r="C9" s="1"/>
      <c r="D9" s="1"/>
      <c r="E9" s="1"/>
      <c r="F9" s="1"/>
      <c r="G9" s="1"/>
      <c r="H9" s="32"/>
      <c r="I9" s="1"/>
      <c r="J9" s="1"/>
    </row>
    <row r="10">
      <c r="A10" s="1"/>
      <c r="B10" s="19" t="s">
        <v>95</v>
      </c>
      <c r="C10" s="3"/>
      <c r="D10" s="3"/>
      <c r="E10" s="3"/>
      <c r="F10" s="3"/>
      <c r="G10" s="3"/>
      <c r="H10" s="56">
        <v>0.04</v>
      </c>
      <c r="I10" s="1"/>
      <c r="J10" s="1" t="s">
        <v>96</v>
      </c>
    </row>
    <row r="11">
      <c r="A11" s="1"/>
      <c r="B11" s="19" t="s">
        <v>97</v>
      </c>
      <c r="C11" s="3"/>
      <c r="D11" s="3"/>
      <c r="E11" s="3"/>
      <c r="F11" s="3"/>
      <c r="G11" s="3"/>
      <c r="H11" s="56">
        <v>0.005</v>
      </c>
      <c r="I11" s="1"/>
      <c r="J11" s="1" t="s">
        <v>98</v>
      </c>
    </row>
    <row r="12">
      <c r="A12" s="1"/>
      <c r="B12" s="19" t="s">
        <v>99</v>
      </c>
      <c r="C12" s="3"/>
      <c r="D12" s="3"/>
      <c r="E12" s="3"/>
      <c r="F12" s="3"/>
      <c r="G12" s="3"/>
      <c r="H12" s="56">
        <v>0</v>
      </c>
      <c r="I12" s="1"/>
      <c r="J12" s="1" t="s">
        <v>100</v>
      </c>
    </row>
    <row r="13">
      <c r="A13" s="1"/>
      <c r="B13" s="19" t="s">
        <v>101</v>
      </c>
      <c r="C13" s="3"/>
      <c r="D13" s="3"/>
      <c r="E13" s="3"/>
      <c r="F13" s="3"/>
      <c r="G13" s="3"/>
      <c r="H13" s="56">
        <v>0.095</v>
      </c>
      <c r="I13" s="1"/>
      <c r="J13" s="1" t="s">
        <v>102</v>
      </c>
    </row>
    <row r="14">
      <c r="A14" s="1"/>
      <c r="B14" s="1"/>
      <c r="C14" s="1"/>
      <c r="D14" s="1"/>
      <c r="E14" s="1"/>
      <c r="F14" s="1"/>
      <c r="G14" s="1"/>
      <c r="H14" s="32"/>
      <c r="I14" s="1"/>
      <c r="J14" s="1"/>
    </row>
    <row r="15">
      <c r="A15" s="1"/>
      <c r="B15" s="16" t="s">
        <v>103</v>
      </c>
      <c r="C15" s="1"/>
      <c r="D15" s="1"/>
      <c r="E15" s="1"/>
      <c r="F15" s="1"/>
      <c r="G15" s="1"/>
      <c r="H15" s="32"/>
      <c r="I15" s="1"/>
      <c r="J15" s="1"/>
    </row>
    <row r="16">
      <c r="A16" s="1"/>
      <c r="B16" s="1" t="s">
        <v>104</v>
      </c>
      <c r="C16" s="37">
        <v>241.944</v>
      </c>
      <c r="D16" s="37">
        <v>246.109</v>
      </c>
      <c r="E16" s="37">
        <v>219.819</v>
      </c>
      <c r="F16" s="37">
        <v>906.331</v>
      </c>
      <c r="G16" s="6">
        <f>Inputs!C137</f>
        <v>177.983</v>
      </c>
      <c r="H16" s="21">
        <f>C23</f>
        <v>208.72099999999998</v>
      </c>
      <c r="I16" s="1"/>
      <c r="J16" s="1" t="s">
        <v>105</v>
      </c>
    </row>
    <row r="17">
      <c r="A17" s="1"/>
      <c r="B17" s="1" t="s">
        <v>106</v>
      </c>
      <c r="C17" s="37">
        <v>-33.805</v>
      </c>
      <c r="D17" s="37">
        <v>-17.468</v>
      </c>
      <c r="E17" s="37">
        <v>-5.77</v>
      </c>
      <c r="F17" s="37">
        <v>-77.7</v>
      </c>
      <c r="G17" s="37">
        <v>15.623</v>
      </c>
      <c r="H17" s="21">
        <f>H16*H10</f>
        <v>8.34884</v>
      </c>
      <c r="I17" s="1"/>
      <c r="J17" s="1" t="s">
        <v>107</v>
      </c>
    </row>
    <row r="18">
      <c r="A18" s="1"/>
      <c r="B18" s="19" t="s">
        <v>108</v>
      </c>
      <c r="C18" s="3">
        <f>C17/C16</f>
        <v>-0.13972241510432168</v>
      </c>
      <c r="D18" s="3">
        <f>D17/D16</f>
        <v>-0.07097668106408137</v>
      </c>
      <c r="E18" s="3">
        <f>E17/E16</f>
        <v>-0.026248868387173083</v>
      </c>
      <c r="F18" s="3">
        <f>F17/F16</f>
        <v>-0.08573026852220657</v>
      </c>
      <c r="G18" s="3">
        <f>G17/G16</f>
        <v>0.08777804621789721</v>
      </c>
      <c r="H18" s="20">
        <f>H17/H16</f>
        <v>0.04</v>
      </c>
      <c r="I18" s="1"/>
      <c r="J18" s="1"/>
    </row>
    <row r="19">
      <c r="A19" s="1"/>
      <c r="B19" s="1" t="s">
        <v>109</v>
      </c>
      <c r="C19" s="37">
        <v>0.582</v>
      </c>
      <c r="D19" s="37">
        <v>0.996</v>
      </c>
      <c r="E19" s="37">
        <v>2.48</v>
      </c>
      <c r="F19" s="37">
        <v>4.239</v>
      </c>
      <c r="G19" s="37">
        <v>1.317</v>
      </c>
      <c r="H19" s="21">
        <f>H16*H11</f>
        <v>1.043605</v>
      </c>
      <c r="I19" s="1"/>
      <c r="J19" s="1"/>
    </row>
    <row r="20">
      <c r="A20" s="1"/>
      <c r="B20" s="19" t="s">
        <v>108</v>
      </c>
      <c r="C20" s="3">
        <f>C19/C16</f>
        <v>0.0024055153258605295</v>
      </c>
      <c r="D20" s="3">
        <f>D19/D16</f>
        <v>0.0040469873105006314</v>
      </c>
      <c r="E20" s="3">
        <f>E19/E16</f>
        <v>0.011282009289460875</v>
      </c>
      <c r="F20" s="3">
        <f>F19/F16</f>
        <v>0.00467709920547791</v>
      </c>
      <c r="G20" s="3">
        <f>G19/G16</f>
        <v>0.0073995831062517205</v>
      </c>
      <c r="H20" s="20">
        <f>H19/H16</f>
        <v>0.005</v>
      </c>
      <c r="I20" s="1"/>
      <c r="J20" s="1"/>
    </row>
    <row r="21">
      <c r="A21" s="1"/>
      <c r="B21" s="1" t="s">
        <v>110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21">
        <f>H16*H12</f>
        <v>0</v>
      </c>
      <c r="I21" s="1"/>
      <c r="J21" s="1" t="s">
        <v>111</v>
      </c>
    </row>
    <row r="22">
      <c r="A22" s="1"/>
      <c r="B22" s="19" t="s">
        <v>108</v>
      </c>
      <c r="C22" s="3">
        <f>C21/C16</f>
        <v>0</v>
      </c>
      <c r="D22" s="3">
        <f>D21/D16</f>
        <v>0</v>
      </c>
      <c r="E22" s="3">
        <f>E21/E16</f>
        <v>0</v>
      </c>
      <c r="F22" s="3">
        <f>F21/F16</f>
        <v>0</v>
      </c>
      <c r="G22" s="3">
        <f>G21/G16</f>
        <v>0</v>
      </c>
      <c r="H22" s="20">
        <f>H21/H16</f>
        <v>0</v>
      </c>
      <c r="I22" s="1"/>
      <c r="J22" s="1"/>
    </row>
    <row r="23">
      <c r="A23" s="1"/>
      <c r="B23" s="16" t="s">
        <v>112</v>
      </c>
      <c r="C23" s="39">
        <f>C16+C17+C19+C21</f>
        <v>208.72099999999998</v>
      </c>
      <c r="D23" s="39">
        <f>D16+D17+D19+D21</f>
        <v>229.63700000000003</v>
      </c>
      <c r="E23" s="39">
        <f>E16+E17+E19+E21</f>
        <v>216.52899999999997</v>
      </c>
      <c r="F23" s="39">
        <f>F16+F17+F19+F21</f>
        <v>832.87</v>
      </c>
      <c r="G23" s="39">
        <f>G16+G17+G19+G21</f>
        <v>194.923</v>
      </c>
      <c r="H23" s="41">
        <f>H16+H17+H19+H21</f>
        <v>218.11344499999998</v>
      </c>
      <c r="I23" s="1"/>
      <c r="J23" s="1"/>
    </row>
    <row r="24">
      <c r="A24" s="1"/>
      <c r="B24" s="1" t="s">
        <v>113</v>
      </c>
      <c r="C24" s="37">
        <v>208.721</v>
      </c>
      <c r="D24" s="37">
        <v>229.637</v>
      </c>
      <c r="E24" s="37">
        <v>216.529</v>
      </c>
      <c r="F24" s="37">
        <v>832.87</v>
      </c>
      <c r="G24" s="37">
        <v>194.923</v>
      </c>
      <c r="H24" s="21"/>
      <c r="I24" s="1"/>
      <c r="J24" s="1" t="s">
        <v>114</v>
      </c>
    </row>
    <row r="25">
      <c r="A25" s="1"/>
      <c r="B25" s="19" t="s">
        <v>115</v>
      </c>
      <c r="C25" s="8">
        <f>ROUND(C23-C24,3)</f>
        <v>0</v>
      </c>
      <c r="D25" s="8">
        <f>ROUND(D23-D24,3)</f>
        <v>0</v>
      </c>
      <c r="E25" s="8">
        <f>ROUND(E23-E24,3)</f>
        <v>0</v>
      </c>
      <c r="F25" s="8">
        <f>ROUND(F23-F24,3)</f>
        <v>0</v>
      </c>
      <c r="G25" s="8">
        <f>ROUND(G23-G24,3)</f>
        <v>0</v>
      </c>
      <c r="H25" s="21"/>
      <c r="I25" s="1"/>
      <c r="J25" s="1"/>
    </row>
    <row r="26">
      <c r="A26" s="1"/>
      <c r="B26" s="1" t="s">
        <v>69</v>
      </c>
      <c r="C26" s="8">
        <f>C23-C16</f>
        <v>-33.22300000000001</v>
      </c>
      <c r="D26" s="8">
        <f>D23-D16</f>
        <v>-16.47199999999998</v>
      </c>
      <c r="E26" s="8">
        <f>E23-E16</f>
        <v>-3.2900000000000205</v>
      </c>
      <c r="F26" s="8">
        <f>F23-F16</f>
        <v>-73.46100000000001</v>
      </c>
      <c r="G26" s="8">
        <f>G23-G16</f>
        <v>16.939999999999998</v>
      </c>
      <c r="H26" s="21">
        <f>H23-H16</f>
        <v>9.39244500000001</v>
      </c>
      <c r="I26" s="1"/>
      <c r="J26" s="1"/>
    </row>
    <row r="27">
      <c r="A27" s="1"/>
      <c r="B27" s="19" t="s">
        <v>66</v>
      </c>
      <c r="C27" s="3">
        <f>C23/C16-1</f>
        <v>-0.13731689977846118</v>
      </c>
      <c r="D27" s="3">
        <f>D23/D16-1</f>
        <v>-0.0669296937535806</v>
      </c>
      <c r="E27" s="3">
        <f>E23/E16-1</f>
        <v>-0.014966859097712337</v>
      </c>
      <c r="F27" s="3">
        <f>F23/F16-1</f>
        <v>-0.08105316931672868</v>
      </c>
      <c r="G27" s="3">
        <f>G23/G16-1</f>
        <v>0.09517762932414886</v>
      </c>
      <c r="H27" s="20">
        <f>H23/H16-1</f>
        <v>0.04500000000000015</v>
      </c>
      <c r="I27" s="1"/>
      <c r="J27" s="1"/>
    </row>
    <row r="28">
      <c r="A28" s="1"/>
      <c r="B28" s="1" t="s">
        <v>70</v>
      </c>
      <c r="C28" s="6">
        <f>C23-Inputs!C137</f>
        <v>30.73799999999997</v>
      </c>
      <c r="D28" s="8">
        <f>D23-C23</f>
        <v>20.916000000000054</v>
      </c>
      <c r="E28" s="8">
        <f>E23-D23</f>
        <v>-13.108000000000061</v>
      </c>
      <c r="F28" s="8"/>
      <c r="G28" s="8">
        <f>G23-E23</f>
        <v>-21.605999999999966</v>
      </c>
      <c r="H28" s="21">
        <f>H23-G23</f>
        <v>23.190444999999983</v>
      </c>
      <c r="I28" s="1"/>
      <c r="J28" s="1" t="s">
        <v>116</v>
      </c>
    </row>
    <row r="29">
      <c r="A29" s="1"/>
      <c r="B29" s="19" t="s">
        <v>67</v>
      </c>
      <c r="C29" s="45">
        <f>C23/Inputs!C137-1</f>
        <v>0.17270188725889524</v>
      </c>
      <c r="D29" s="3">
        <f>D23/C23-1</f>
        <v>0.10021032862050316</v>
      </c>
      <c r="E29" s="3">
        <f>E23/D23-1</f>
        <v>-0.05708139367784837</v>
      </c>
      <c r="F29" s="3"/>
      <c r="G29" s="3">
        <f>G23/E23-1</f>
        <v>-0.09978340083776294</v>
      </c>
      <c r="H29" s="20">
        <f>H23/G23-1</f>
        <v>0.11897233779492411</v>
      </c>
      <c r="I29" s="1"/>
      <c r="J29" s="1"/>
    </row>
    <row r="30">
      <c r="A30" s="1"/>
      <c r="B30" s="19" t="s">
        <v>68</v>
      </c>
      <c r="C30" s="45">
        <f>C23/'Revenue summary'!C36</f>
        <v>0.4833955176350974</v>
      </c>
      <c r="D30" s="45">
        <f>D23/'Revenue summary'!D36</f>
        <v>0.44778473916256684</v>
      </c>
      <c r="E30" s="45">
        <f>E23/'Revenue summary'!E36</f>
        <v>0.4606754959842561</v>
      </c>
      <c r="F30" s="45">
        <f>F23/'Revenue summary'!F36</f>
        <v>0.4662568787822806</v>
      </c>
      <c r="G30" s="45">
        <f>G23/'Revenue summary'!G36</f>
        <v>0.48474441391144324</v>
      </c>
      <c r="H30" s="48">
        <f>H23/'Revenue summary'!H36</f>
        <v>0.49314717470371083</v>
      </c>
      <c r="I30" s="1"/>
      <c r="J30" s="1"/>
    </row>
    <row r="31">
      <c r="A31" s="1"/>
      <c r="B31" s="1"/>
      <c r="C31" s="1"/>
      <c r="D31" s="1"/>
      <c r="E31" s="1"/>
      <c r="F31" s="1"/>
      <c r="G31" s="1"/>
      <c r="H31" s="32"/>
      <c r="I31" s="1"/>
      <c r="J31" s="1"/>
    </row>
    <row r="32">
      <c r="A32" s="1"/>
      <c r="B32" s="16" t="s">
        <v>117</v>
      </c>
      <c r="C32" s="1"/>
      <c r="D32" s="1"/>
      <c r="E32" s="1"/>
      <c r="F32" s="1"/>
      <c r="G32" s="1"/>
      <c r="H32" s="32"/>
      <c r="I32" s="1"/>
      <c r="J32" s="1"/>
    </row>
    <row r="33">
      <c r="A33" s="1"/>
      <c r="B33" s="19" t="s">
        <v>118</v>
      </c>
      <c r="C33" s="3">
        <f>C21/C16</f>
        <v>0</v>
      </c>
      <c r="D33" s="3">
        <f>D21/D16</f>
        <v>0</v>
      </c>
      <c r="E33" s="3">
        <f>E21/E16</f>
        <v>0</v>
      </c>
      <c r="F33" s="3">
        <f>F21/F16</f>
        <v>0</v>
      </c>
      <c r="G33" s="3">
        <f>G21/G16</f>
        <v>0</v>
      </c>
      <c r="H33" s="20">
        <f>H21/H16</f>
        <v>0</v>
      </c>
      <c r="I33" s="1"/>
      <c r="J33" s="1"/>
    </row>
    <row r="34">
      <c r="A34" s="1"/>
      <c r="B34" s="19" t="s">
        <v>73</v>
      </c>
      <c r="C34" s="3">
        <f>C19/C16</f>
        <v>0.0024055153258605295</v>
      </c>
      <c r="D34" s="3">
        <f>D19/D16</f>
        <v>0.0040469873105006314</v>
      </c>
      <c r="E34" s="3">
        <f>E19/E16</f>
        <v>0.011282009289460875</v>
      </c>
      <c r="F34" s="3">
        <f>F19/F16</f>
        <v>0.00467709920547791</v>
      </c>
      <c r="G34" s="3">
        <f>G19/G16</f>
        <v>0.0073995831062517205</v>
      </c>
      <c r="H34" s="20">
        <f>H19/H16</f>
        <v>0.005</v>
      </c>
      <c r="I34" s="1"/>
      <c r="J34" s="1"/>
    </row>
    <row r="35">
      <c r="A35" s="1"/>
      <c r="B35" s="19" t="s">
        <v>71</v>
      </c>
      <c r="C35" s="3">
        <f>(1+C27)/((1+C33)*(1+C34))-1</f>
        <v>-0.13938711725753106</v>
      </c>
      <c r="D35" s="3">
        <f>(1+D27)/((1+D33)*(1+D34))-1</f>
        <v>-0.0706905971145868</v>
      </c>
      <c r="E35" s="3">
        <f>(1+E27)/((1+E33)*(1+E34))-1</f>
        <v>-0.025956032190878053</v>
      </c>
      <c r="F35" s="3">
        <f>(1+F27)/((1+F33)*(1+F34))-1</f>
        <v>-0.08533116619260461</v>
      </c>
      <c r="G35" s="3">
        <f>(1+G27)/((1+G33)*(1+G34))-1</f>
        <v>0.08713329615170107</v>
      </c>
      <c r="H35" s="20">
        <f>(1+H27)/((1+H33)*(1+H34))-1</f>
        <v>0.039800995024875885</v>
      </c>
      <c r="I35" s="1"/>
      <c r="J35" s="1"/>
    </row>
    <row r="36">
      <c r="A36" s="1"/>
      <c r="B36" s="19" t="s">
        <v>119</v>
      </c>
      <c r="C36" s="3">
        <f>C17/C16</f>
        <v>-0.13972241510432168</v>
      </c>
      <c r="D36" s="3">
        <f>D17/D16</f>
        <v>-0.07097668106408137</v>
      </c>
      <c r="E36" s="3">
        <f>E17/E16</f>
        <v>-0.026248868387173083</v>
      </c>
      <c r="F36" s="3">
        <f>F17/F16</f>
        <v>-0.08573026852220657</v>
      </c>
      <c r="G36" s="3">
        <f>G17/G16</f>
        <v>0.08777804621789721</v>
      </c>
      <c r="H36" s="20">
        <f>H17/H16</f>
        <v>0.04</v>
      </c>
      <c r="I36" s="1"/>
      <c r="J36" s="1" t="s">
        <v>120</v>
      </c>
    </row>
    <row r="37">
      <c r="A37" s="1"/>
      <c r="B37" s="19" t="s">
        <v>74</v>
      </c>
      <c r="C37" s="3">
        <f>C27</f>
        <v>-0.13731689977846118</v>
      </c>
      <c r="D37" s="3">
        <f>D27</f>
        <v>-0.0669296937535806</v>
      </c>
      <c r="E37" s="3">
        <f>E27</f>
        <v>-0.014966859097712337</v>
      </c>
      <c r="F37" s="3">
        <f>F27</f>
        <v>-0.08105316931672868</v>
      </c>
      <c r="G37" s="3">
        <f>G27</f>
        <v>0.09517762932414886</v>
      </c>
      <c r="H37" s="20">
        <f>H27</f>
        <v>0.04500000000000015</v>
      </c>
      <c r="I37" s="1"/>
      <c r="J37" s="1"/>
    </row>
    <row r="38">
      <c r="A38" s="1"/>
      <c r="B38" s="1"/>
      <c r="C38" s="1"/>
      <c r="D38" s="1"/>
      <c r="E38" s="1"/>
      <c r="F38" s="1"/>
      <c r="G38" s="1"/>
      <c r="H38" s="32"/>
      <c r="I38" s="1"/>
      <c r="J38" s="1"/>
    </row>
    <row r="39">
      <c r="A39" s="1"/>
      <c r="B39" s="16" t="s">
        <v>121</v>
      </c>
      <c r="C39" s="1"/>
      <c r="D39" s="1"/>
      <c r="E39" s="1"/>
      <c r="F39" s="1"/>
      <c r="G39" s="1"/>
      <c r="H39" s="32"/>
      <c r="I39" s="1"/>
      <c r="J39" s="1"/>
    </row>
    <row r="40">
      <c r="A40" s="1"/>
      <c r="B40" s="1" t="s">
        <v>122</v>
      </c>
      <c r="C40" s="27" t="s">
        <v>123</v>
      </c>
      <c r="D40" s="27" t="s">
        <v>123</v>
      </c>
      <c r="E40" s="27" t="s">
        <v>123</v>
      </c>
      <c r="F40" s="27" t="s">
        <v>123</v>
      </c>
      <c r="G40" s="27" t="s">
        <v>123</v>
      </c>
      <c r="H40" s="28" t="s">
        <v>123</v>
      </c>
      <c r="I40" s="1"/>
      <c r="J40" s="1" t="s">
        <v>124</v>
      </c>
    </row>
    <row r="41">
      <c r="A41" s="1"/>
      <c r="B41" s="1" t="s">
        <v>125</v>
      </c>
      <c r="C41" s="27" t="s">
        <v>123</v>
      </c>
      <c r="D41" s="27" t="s">
        <v>123</v>
      </c>
      <c r="E41" s="27" t="s">
        <v>123</v>
      </c>
      <c r="F41" s="27" t="s">
        <v>123</v>
      </c>
      <c r="G41" s="27" t="s">
        <v>123</v>
      </c>
      <c r="H41" s="28" t="s">
        <v>123</v>
      </c>
      <c r="I41" s="1"/>
      <c r="J41" s="1" t="s">
        <v>126</v>
      </c>
    </row>
    <row r="42">
      <c r="A42" s="1"/>
      <c r="B42" s="1" t="s">
        <v>127</v>
      </c>
      <c r="C42" s="27" t="s">
        <v>123</v>
      </c>
      <c r="D42" s="27" t="s">
        <v>123</v>
      </c>
      <c r="E42" s="27" t="s">
        <v>123</v>
      </c>
      <c r="F42" s="27" t="s">
        <v>123</v>
      </c>
      <c r="G42" s="27" t="s">
        <v>123</v>
      </c>
      <c r="H42" s="28" t="s">
        <v>123</v>
      </c>
      <c r="I42" s="1"/>
      <c r="J42" s="1" t="s">
        <v>128</v>
      </c>
    </row>
    <row r="43">
      <c r="A43" s="1"/>
      <c r="B43" s="1"/>
      <c r="C43" s="1"/>
      <c r="D43" s="1"/>
      <c r="E43" s="1"/>
      <c r="F43" s="1"/>
      <c r="G43" s="1"/>
      <c r="H43" s="32"/>
      <c r="I43" s="1"/>
      <c r="J43" s="1"/>
    </row>
    <row r="44">
      <c r="A44" s="1"/>
      <c r="B44" s="16" t="s">
        <v>129</v>
      </c>
      <c r="C44" s="1"/>
      <c r="D44" s="1"/>
      <c r="E44" s="1"/>
      <c r="F44" s="1"/>
      <c r="G44" s="1"/>
      <c r="H44" s="32"/>
      <c r="I44" s="1"/>
      <c r="J44" s="1"/>
    </row>
    <row r="45">
      <c r="A45" s="1"/>
      <c r="B45" s="1" t="s">
        <v>130</v>
      </c>
      <c r="C45" s="37">
        <v>-72.578</v>
      </c>
      <c r="D45" s="37">
        <v>-0.072</v>
      </c>
      <c r="E45" s="37">
        <v>16.699</v>
      </c>
      <c r="F45" s="37">
        <v>-269.744</v>
      </c>
      <c r="G45" s="37">
        <v>8.165</v>
      </c>
      <c r="H45" s="21">
        <f>H54-H52-H53-H46-H47-H48-H49-H50</f>
        <v>16.95136994239164</v>
      </c>
      <c r="I45" s="1"/>
      <c r="J45" s="1" t="s">
        <v>131</v>
      </c>
    </row>
    <row r="46">
      <c r="A46" s="1"/>
      <c r="B46" s="1" t="s">
        <v>132</v>
      </c>
      <c r="C46" s="37">
        <v>85.537</v>
      </c>
      <c r="D46" s="37">
        <v>24</v>
      </c>
      <c r="E46" s="37">
        <v>3.933</v>
      </c>
      <c r="F46" s="37">
        <v>332.565</v>
      </c>
      <c r="G46" s="37">
        <v>0</v>
      </c>
      <c r="H46" s="49">
        <v>0</v>
      </c>
      <c r="I46" s="1"/>
      <c r="J46" s="1" t="s">
        <v>133</v>
      </c>
    </row>
    <row r="47">
      <c r="A47" s="1"/>
      <c r="B47" s="1" t="s">
        <v>134</v>
      </c>
      <c r="C47" s="37">
        <v>1.501</v>
      </c>
      <c r="D47" s="37">
        <v>0</v>
      </c>
      <c r="E47" s="37">
        <v>0</v>
      </c>
      <c r="F47" s="37">
        <v>1.501</v>
      </c>
      <c r="G47" s="37">
        <v>0</v>
      </c>
      <c r="H47" s="49">
        <v>0</v>
      </c>
      <c r="I47" s="1"/>
      <c r="J47" s="1"/>
    </row>
    <row r="48">
      <c r="A48" s="1"/>
      <c r="B48" s="1" t="s">
        <v>135</v>
      </c>
      <c r="C48" s="37">
        <v>0</v>
      </c>
      <c r="D48" s="37">
        <v>0</v>
      </c>
      <c r="E48" s="37">
        <v>0</v>
      </c>
      <c r="F48" s="37">
        <v>1.742</v>
      </c>
      <c r="G48" s="37">
        <v>0</v>
      </c>
      <c r="H48" s="49">
        <v>0</v>
      </c>
      <c r="I48" s="1"/>
      <c r="J48" s="1"/>
    </row>
    <row r="49">
      <c r="A49" s="1"/>
      <c r="B49" s="1" t="s">
        <v>136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49">
        <v>0</v>
      </c>
      <c r="I49" s="1"/>
      <c r="J49" s="1"/>
    </row>
    <row r="50">
      <c r="A50" s="1"/>
      <c r="B50" s="1" t="s">
        <v>137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49">
        <v>0</v>
      </c>
      <c r="I50" s="1"/>
      <c r="J50" s="1"/>
    </row>
    <row r="51">
      <c r="A51" s="1"/>
      <c r="B51" s="16" t="s">
        <v>138</v>
      </c>
      <c r="C51" s="39">
        <f>C45+C46+C47+C48+C49+C50</f>
        <v>14.460000000000003</v>
      </c>
      <c r="D51" s="39">
        <f>D45+D46+D47+D48+D49+D50</f>
        <v>23.928</v>
      </c>
      <c r="E51" s="39">
        <f>E45+E46+E47+E48+E49+E50</f>
        <v>20.632</v>
      </c>
      <c r="F51" s="39">
        <f>F45+F46+F47+F48+F49+F50</f>
        <v>66.06399999999998</v>
      </c>
      <c r="G51" s="39">
        <f>G45+G46+G47+G48+G49+G50</f>
        <v>8.165</v>
      </c>
      <c r="H51" s="41">
        <f>H45+H46+H47+H48+H49+H50</f>
        <v>16.95136994239164</v>
      </c>
      <c r="I51" s="1"/>
      <c r="J51" s="1"/>
    </row>
    <row r="52">
      <c r="A52" s="1"/>
      <c r="B52" s="1" t="s">
        <v>139</v>
      </c>
      <c r="C52" s="37">
        <v>1.373</v>
      </c>
      <c r="D52" s="37">
        <v>1.377</v>
      </c>
      <c r="E52" s="37">
        <v>1.445</v>
      </c>
      <c r="F52" s="37">
        <v>5.977</v>
      </c>
      <c r="G52" s="37">
        <v>1.373</v>
      </c>
      <c r="H52" s="21">
        <f>G52</f>
        <v>1.373</v>
      </c>
      <c r="I52" s="1"/>
      <c r="J52" s="1" t="s">
        <v>140</v>
      </c>
    </row>
    <row r="53">
      <c r="A53" s="1"/>
      <c r="B53" s="1" t="s">
        <v>141</v>
      </c>
      <c r="C53" s="37">
        <v>4.248</v>
      </c>
      <c r="D53" s="37">
        <v>2.013</v>
      </c>
      <c r="E53" s="37">
        <v>0.486</v>
      </c>
      <c r="F53" s="37">
        <v>6.781</v>
      </c>
      <c r="G53" s="37">
        <v>2.794</v>
      </c>
      <c r="H53" s="47">
        <f>(Guidance!G82-('Segment - Home &amp; Outdoor'!G53+'Segment - Beauty &amp; Wellness'!G53))/3*G53/('Segment - Home &amp; Outdoor'!G53+'Segment - Beauty &amp; Wellness'!G53)</f>
        <v>2.3964073326083586</v>
      </c>
      <c r="I53" s="1"/>
      <c r="J53" s="1" t="s">
        <v>142</v>
      </c>
    </row>
    <row r="54">
      <c r="A54" s="1"/>
      <c r="B54" s="16" t="s">
        <v>143</v>
      </c>
      <c r="C54" s="39">
        <f>C51+C52+C53</f>
        <v>20.081000000000003</v>
      </c>
      <c r="D54" s="39">
        <f>D51+D52+D53</f>
        <v>27.317999999999998</v>
      </c>
      <c r="E54" s="39">
        <f>E51+E52+E53</f>
        <v>22.563000000000002</v>
      </c>
      <c r="F54" s="39">
        <f>F51+F52+F53</f>
        <v>78.82199999999999</v>
      </c>
      <c r="G54" s="39">
        <f>G51+G52+G53</f>
        <v>12.331999999999999</v>
      </c>
      <c r="H54" s="41">
        <f>H23*H13</f>
        <v>20.720777275</v>
      </c>
      <c r="I54" s="1"/>
      <c r="J54" s="1" t="s">
        <v>144</v>
      </c>
    </row>
    <row r="55">
      <c r="A55" s="1"/>
      <c r="B55" s="1" t="s">
        <v>145</v>
      </c>
      <c r="C55" s="37">
        <v>20.081</v>
      </c>
      <c r="D55" s="37">
        <v>27.318</v>
      </c>
      <c r="E55" s="37">
        <v>22.563</v>
      </c>
      <c r="F55" s="37">
        <v>78.822</v>
      </c>
      <c r="G55" s="37">
        <v>12.332</v>
      </c>
      <c r="H55" s="21"/>
      <c r="I55" s="1"/>
      <c r="J55" s="1"/>
    </row>
    <row r="56">
      <c r="A56" s="1"/>
      <c r="B56" s="19" t="s">
        <v>146</v>
      </c>
      <c r="C56" s="8">
        <f>ROUND(C54-C55,3)</f>
        <v>0</v>
      </c>
      <c r="D56" s="8">
        <f>ROUND(D54-D55,3)</f>
        <v>0</v>
      </c>
      <c r="E56" s="8">
        <f>ROUND(E54-E55,3)</f>
        <v>0</v>
      </c>
      <c r="F56" s="8">
        <f>ROUND(F54-F55,3)</f>
        <v>0</v>
      </c>
      <c r="G56" s="8">
        <f>ROUND(G54-G55,3)</f>
        <v>0</v>
      </c>
      <c r="H56" s="21"/>
      <c r="I56" s="1"/>
      <c r="J56" s="1"/>
    </row>
    <row r="57">
      <c r="A57" s="1"/>
      <c r="B57" s="1" t="s">
        <v>147</v>
      </c>
      <c r="C57" s="37">
        <v>36.252</v>
      </c>
      <c r="D57" s="37">
        <v>45.329</v>
      </c>
      <c r="E57" s="37">
        <v>39.273</v>
      </c>
      <c r="F57" s="37">
        <v>141.922</v>
      </c>
      <c r="G57" s="6">
        <f>Inputs!C140</f>
        <v>8.86</v>
      </c>
      <c r="H57" s="21">
        <f>C54</f>
        <v>20.081000000000003</v>
      </c>
      <c r="I57" s="1"/>
      <c r="J57" s="1"/>
    </row>
    <row r="58">
      <c r="A58" s="1"/>
      <c r="B58" s="19" t="s">
        <v>148</v>
      </c>
      <c r="C58" s="3">
        <f>C54/C57-1</f>
        <v>-0.4460719408584354</v>
      </c>
      <c r="D58" s="3">
        <f>D54/D57-1</f>
        <v>-0.3973394515652232</v>
      </c>
      <c r="E58" s="3">
        <f>E54/E57-1</f>
        <v>-0.42548315636696965</v>
      </c>
      <c r="F58" s="3">
        <f>F54/F57-1</f>
        <v>-0.4446104198080637</v>
      </c>
      <c r="G58" s="3">
        <f>G54/G57-1</f>
        <v>0.39187358916478554</v>
      </c>
      <c r="H58" s="20">
        <f>H54/H57-1</f>
        <v>0.03185983143269744</v>
      </c>
      <c r="I58" s="1"/>
      <c r="J58" s="1"/>
    </row>
    <row r="59">
      <c r="A59" s="1"/>
      <c r="B59" s="1" t="s">
        <v>149</v>
      </c>
      <c r="C59" s="6">
        <f>C54-Inputs!C140</f>
        <v>11.221000000000004</v>
      </c>
      <c r="D59" s="8">
        <f>D54-C54</f>
        <v>7.236999999999995</v>
      </c>
      <c r="E59" s="8">
        <f>E54-D54</f>
        <v>-4.7549999999999955</v>
      </c>
      <c r="F59" s="8"/>
      <c r="G59" s="8">
        <f>G54-E54</f>
        <v>-10.231000000000003</v>
      </c>
      <c r="H59" s="21">
        <f>H54-G54</f>
        <v>8.388777275</v>
      </c>
      <c r="I59" s="1"/>
      <c r="J59" s="1"/>
    </row>
    <row r="60">
      <c r="A60" s="1"/>
      <c r="B60" s="1" t="s">
        <v>150</v>
      </c>
      <c r="C60" s="37">
        <v>31.152</v>
      </c>
      <c r="D60" s="37">
        <v>40.313</v>
      </c>
      <c r="E60" s="37">
        <v>32.286</v>
      </c>
      <c r="F60" s="37">
        <v>119.601</v>
      </c>
      <c r="G60" s="37">
        <v>-213.793</v>
      </c>
      <c r="H60" s="21">
        <f>C45</f>
        <v>-72.578</v>
      </c>
      <c r="I60" s="1"/>
      <c r="J60" s="1"/>
    </row>
    <row r="61">
      <c r="A61" s="1"/>
      <c r="B61" s="1" t="s">
        <v>151</v>
      </c>
      <c r="C61" s="8">
        <f>C45-C60</f>
        <v>-103.73</v>
      </c>
      <c r="D61" s="8">
        <f>D45-D60</f>
        <v>-40.385000000000005</v>
      </c>
      <c r="E61" s="8">
        <f>E45-E60</f>
        <v>-15.587</v>
      </c>
      <c r="F61" s="8">
        <f>F45-F60</f>
        <v>-389.345</v>
      </c>
      <c r="G61" s="8">
        <f>G45-G60</f>
        <v>221.958</v>
      </c>
      <c r="H61" s="21">
        <f>H45-H60</f>
        <v>89.52936994239164</v>
      </c>
      <c r="I61" s="1"/>
      <c r="J61" s="1"/>
    </row>
    <row r="62">
      <c r="A62" s="1"/>
      <c r="B62" s="1" t="s">
        <v>152</v>
      </c>
      <c r="C62" s="8">
        <f>C45-G60</f>
        <v>141.215</v>
      </c>
      <c r="D62" s="8">
        <f>D45-C45</f>
        <v>72.506</v>
      </c>
      <c r="E62" s="8">
        <f>E45-D45</f>
        <v>16.771</v>
      </c>
      <c r="F62" s="8"/>
      <c r="G62" s="8">
        <f>G45-E45</f>
        <v>-8.534000000000002</v>
      </c>
      <c r="H62" s="21">
        <f>H45-G45</f>
        <v>8.78636994239164</v>
      </c>
      <c r="I62" s="1"/>
      <c r="J62" s="1"/>
    </row>
    <row r="63">
      <c r="A63" s="1"/>
      <c r="B63" s="19" t="s">
        <v>153</v>
      </c>
      <c r="C63" s="3">
        <f>C45/C23</f>
        <v>-0.34772734894907564</v>
      </c>
      <c r="D63" s="3">
        <f>D45/D23</f>
        <v>-0.0003135383235280028</v>
      </c>
      <c r="E63" s="3">
        <f>E45/E23</f>
        <v>0.07712130938580977</v>
      </c>
      <c r="F63" s="3">
        <f>F45/F23</f>
        <v>-0.3238728733175646</v>
      </c>
      <c r="G63" s="3">
        <f>G45/G23</f>
        <v>0.04188833539397608</v>
      </c>
      <c r="H63" s="20">
        <f>H45/H23</f>
        <v>0.07771813398477861</v>
      </c>
      <c r="I63" s="1"/>
      <c r="J63" s="1"/>
    </row>
    <row r="64">
      <c r="A64" s="1"/>
      <c r="B64" s="19" t="s">
        <v>154</v>
      </c>
      <c r="C64" s="50">
        <f>(C63-C60/C16)*10000</f>
        <v>-4764.844167002909</v>
      </c>
      <c r="D64" s="50">
        <f>(D63-D60/D16)*10000</f>
        <v>-1641.1494339201392</v>
      </c>
      <c r="E64" s="50">
        <f>(E63-E60/E16)*10000</f>
        <v>-697.5407445271193</v>
      </c>
      <c r="F64" s="50">
        <f>(F63-F60/F16)*10000</f>
        <v>-4558.345959111866</v>
      </c>
      <c r="G64" s="50">
        <f>(G63-G60/G16)*10000</f>
        <v>12430.873263088386</v>
      </c>
      <c r="H64" s="51">
        <f>(H63-H60/H16)*10000</f>
        <v>4254.454829338542</v>
      </c>
      <c r="I64" s="1"/>
      <c r="J64" s="1"/>
    </row>
    <row r="65">
      <c r="A65" s="1"/>
      <c r="B65" s="19" t="s">
        <v>155</v>
      </c>
      <c r="C65" s="50">
        <f>(C63-G60/G16)*10000</f>
        <v>8534.716419657869</v>
      </c>
      <c r="D65" s="50">
        <f>(D63-C63)*10000</f>
        <v>3474.1381062554765</v>
      </c>
      <c r="E65" s="50">
        <f>(E63-D63)*10000</f>
        <v>774.3484770933777</v>
      </c>
      <c r="F65" s="50"/>
      <c r="G65" s="50">
        <f>(G63-E63)*10000</f>
        <v>-352.32973991833694</v>
      </c>
      <c r="H65" s="51">
        <f>(H63-G63)*10000</f>
        <v>358.29798590802534</v>
      </c>
      <c r="I65" s="1"/>
      <c r="J65" s="1" t="s">
        <v>156</v>
      </c>
    </row>
    <row r="66">
      <c r="A66" s="1"/>
      <c r="B66" s="19" t="s">
        <v>157</v>
      </c>
      <c r="C66" s="3">
        <f>C54/C23</f>
        <v>0.09620977285467205</v>
      </c>
      <c r="D66" s="3">
        <f>D54/D23</f>
        <v>0.11896166558524975</v>
      </c>
      <c r="E66" s="3">
        <f>E54/E23</f>
        <v>0.10420313214396226</v>
      </c>
      <c r="F66" s="3">
        <f>F54/F23</f>
        <v>0.09463901929472786</v>
      </c>
      <c r="G66" s="3">
        <f>G54/G23</f>
        <v>0.0632660076030022</v>
      </c>
      <c r="H66" s="20">
        <f>H54/H23</f>
        <v>0.095</v>
      </c>
      <c r="I66" s="1"/>
      <c r="J66" s="1"/>
    </row>
    <row r="67">
      <c r="A67" s="1"/>
      <c r="B67" s="19" t="s">
        <v>154</v>
      </c>
      <c r="C67" s="50">
        <f>(C66-C57/C16)*10000</f>
        <v>-536.2655290666115</v>
      </c>
      <c r="D67" s="50">
        <f>(D66-D57/D16)*10000</f>
        <v>-652.2095268551647</v>
      </c>
      <c r="E67" s="50">
        <f>(E66-E57/E16)*10000</f>
        <v>-744.5749318869782</v>
      </c>
      <c r="F67" s="50">
        <f>(F66-F57/F16)*10000</f>
        <v>-619.5057104257716</v>
      </c>
      <c r="G67" s="50">
        <f>(G66-G57/G16)*10000</f>
        <v>134.8597243110377</v>
      </c>
      <c r="H67" s="51">
        <f>(H66-H57/H16)*10000</f>
        <v>-12.097728546720532</v>
      </c>
      <c r="I67" s="1"/>
      <c r="J67" s="1"/>
    </row>
    <row r="68">
      <c r="A68" s="1"/>
      <c r="B68" s="19" t="s">
        <v>155</v>
      </c>
      <c r="C68" s="50">
        <f>(C66-G57/G16)*10000</f>
        <v>464.29737682773623</v>
      </c>
      <c r="D68" s="50">
        <f>(D66-C66)*10000</f>
        <v>227.5189273057769</v>
      </c>
      <c r="E68" s="50">
        <f>(E66-D66)*10000</f>
        <v>-147.58533441287483</v>
      </c>
      <c r="F68" s="50"/>
      <c r="G68" s="50">
        <f>(G66-E66)*10000</f>
        <v>-409.3712454096006</v>
      </c>
      <c r="H68" s="51">
        <f>(H66-G66)*10000</f>
        <v>317.339923969978</v>
      </c>
      <c r="I68" s="1"/>
      <c r="J68" s="1"/>
    </row>
    <row r="69">
      <c r="A69" s="1"/>
      <c r="B69" s="1" t="s">
        <v>158</v>
      </c>
      <c r="C69" s="37">
        <v>0</v>
      </c>
      <c r="D69" s="37">
        <v>0</v>
      </c>
      <c r="E69" s="37">
        <v>0</v>
      </c>
      <c r="F69" s="37">
        <v>0</v>
      </c>
      <c r="G69" s="37">
        <v>1.8</v>
      </c>
      <c r="H69" s="49">
        <v>4.1</v>
      </c>
      <c r="I69" s="1"/>
      <c r="J69" s="1" t="s">
        <v>159</v>
      </c>
    </row>
    <row r="70">
      <c r="A70" s="1"/>
      <c r="B70" s="1"/>
      <c r="C70" s="1"/>
      <c r="D70" s="1"/>
      <c r="E70" s="1"/>
      <c r="F70" s="1"/>
      <c r="G70" s="1"/>
      <c r="H70" s="32"/>
      <c r="I70" s="1"/>
      <c r="J70" s="1"/>
    </row>
    <row r="71">
      <c r="A71" s="1"/>
      <c r="B71" s="16" t="s">
        <v>160</v>
      </c>
      <c r="C71" s="1"/>
      <c r="D71" s="1"/>
      <c r="E71" s="1"/>
      <c r="F71" s="1"/>
      <c r="G71" s="1"/>
      <c r="H71" s="32"/>
      <c r="I71" s="1"/>
      <c r="J71" s="1"/>
    </row>
    <row r="72">
      <c r="A72" s="1"/>
      <c r="B72" s="1" t="s">
        <v>161</v>
      </c>
      <c r="C72" s="37">
        <v>6.04</v>
      </c>
      <c r="D72" s="37">
        <v>6.075</v>
      </c>
      <c r="E72" s="37">
        <v>5.923</v>
      </c>
      <c r="F72" s="37">
        <v>24.597</v>
      </c>
      <c r="G72" s="37">
        <v>6.492</v>
      </c>
      <c r="H72" s="47">
        <f>(Guidance!G81-('Segment - Home &amp; Outdoor'!G72+'Segment - Beauty &amp; Wellness'!G72))/3*G72/('Segment - Home &amp; Outdoor'!G72+'Segment - Beauty &amp; Wellness'!G72)</f>
        <v>5.924510129326458</v>
      </c>
      <c r="I72" s="1"/>
      <c r="J72" s="1" t="s">
        <v>162</v>
      </c>
    </row>
    <row r="73">
      <c r="A73" s="1"/>
      <c r="B73" s="1" t="s">
        <v>163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49">
        <v>0</v>
      </c>
      <c r="I73" s="1"/>
      <c r="J73" s="1"/>
    </row>
    <row r="74">
      <c r="A74" s="1"/>
      <c r="B74" s="16" t="s">
        <v>164</v>
      </c>
      <c r="C74" s="39">
        <f>C45+C72+C73+C46+C47+C48+C49+C50+C53</f>
        <v>24.74800000000001</v>
      </c>
      <c r="D74" s="39">
        <f>D45+D72+D73+D46+D47+D48+D49+D50+D53</f>
        <v>32.016</v>
      </c>
      <c r="E74" s="39">
        <f>E45+E72+E73+E46+E47+E48+E49+E50+E53</f>
        <v>27.041</v>
      </c>
      <c r="F74" s="39">
        <f>F45+F72+F73+F46+F47+F48+F49+F50+F53</f>
        <v>97.442</v>
      </c>
      <c r="G74" s="39">
        <f>G45+G72+G73+G46+G47+G48+G49+G50+G53</f>
        <v>17.451</v>
      </c>
      <c r="H74" s="41">
        <f>H45+H72+H73+H46+H47+H48+H49+H50+H53</f>
        <v>25.272287404326455</v>
      </c>
      <c r="I74" s="1"/>
      <c r="J74" s="1"/>
    </row>
    <row r="75">
      <c r="A75" s="1"/>
      <c r="B75" s="1" t="s">
        <v>165</v>
      </c>
      <c r="C75" s="37">
        <v>24.748</v>
      </c>
      <c r="D75" s="37">
        <v>32.016</v>
      </c>
      <c r="E75" s="37">
        <v>27.041</v>
      </c>
      <c r="F75" s="37">
        <v>97.442</v>
      </c>
      <c r="G75" s="37">
        <v>17.451</v>
      </c>
      <c r="H75" s="21"/>
      <c r="I75" s="1"/>
      <c r="J75" s="1"/>
    </row>
    <row r="76">
      <c r="A76" s="1"/>
      <c r="B76" s="19" t="s">
        <v>146</v>
      </c>
      <c r="C76" s="8">
        <f>ROUND(C74-C75,3)</f>
        <v>0</v>
      </c>
      <c r="D76" s="8">
        <f>ROUND(D74-D75,3)</f>
        <v>0</v>
      </c>
      <c r="E76" s="8">
        <f>ROUND(E74-E75,3)</f>
        <v>0</v>
      </c>
      <c r="F76" s="8">
        <f>ROUND(F74-F75,3)</f>
        <v>0</v>
      </c>
      <c r="G76" s="8">
        <f>ROUND(G74-G75,3)</f>
        <v>0</v>
      </c>
      <c r="H76" s="21"/>
      <c r="I76" s="1"/>
      <c r="J76" s="1"/>
    </row>
    <row r="77">
      <c r="A77" s="1"/>
      <c r="B77" s="1" t="s">
        <v>166</v>
      </c>
      <c r="C77" s="37">
        <v>41.074</v>
      </c>
      <c r="D77" s="37">
        <v>49.895</v>
      </c>
      <c r="E77" s="37">
        <v>44.027</v>
      </c>
      <c r="F77" s="37">
        <v>160.946</v>
      </c>
      <c r="G77" s="37">
        <v>13.637</v>
      </c>
      <c r="H77" s="21">
        <f>C74</f>
        <v>24.74800000000001</v>
      </c>
      <c r="I77" s="1"/>
      <c r="J77" s="1"/>
    </row>
    <row r="78">
      <c r="A78" s="1"/>
      <c r="B78" s="19" t="s">
        <v>167</v>
      </c>
      <c r="C78" s="3">
        <f>C74/C77-1</f>
        <v>-0.39747772313385565</v>
      </c>
      <c r="D78" s="3">
        <f>D74/D77-1</f>
        <v>-0.3583324982463173</v>
      </c>
      <c r="E78" s="3">
        <f>E74/E77-1</f>
        <v>-0.3858087082926386</v>
      </c>
      <c r="F78" s="3">
        <f>F74/F77-1</f>
        <v>-0.39456712189181464</v>
      </c>
      <c r="G78" s="3">
        <f>G74/G77-1</f>
        <v>0.2796802815868593</v>
      </c>
      <c r="H78" s="20">
        <f>H74/H77-1</f>
        <v>0.021185041390271664</v>
      </c>
      <c r="I78" s="1"/>
      <c r="J78" s="1"/>
    </row>
    <row r="79">
      <c r="A79" s="1"/>
      <c r="B79" s="1" t="s">
        <v>168</v>
      </c>
      <c r="C79" s="8">
        <f>C74-G77</f>
        <v>11.111000000000011</v>
      </c>
      <c r="D79" s="8">
        <f>D74-C74</f>
        <v>7.2679999999999865</v>
      </c>
      <c r="E79" s="8">
        <f>E74-D74</f>
        <v>-4.974999999999998</v>
      </c>
      <c r="F79" s="8"/>
      <c r="G79" s="8">
        <f>G74-E74</f>
        <v>-9.59</v>
      </c>
      <c r="H79" s="21">
        <f>H74-G74</f>
        <v>7.821287404326455</v>
      </c>
      <c r="I79" s="1"/>
      <c r="J79" s="1"/>
    </row>
    <row r="80">
      <c r="A80" s="1"/>
      <c r="B80" s="19" t="s">
        <v>169</v>
      </c>
      <c r="C80" s="3">
        <f>C74/C23</f>
        <v>0.11856976538057988</v>
      </c>
      <c r="D80" s="3">
        <f>D74/D23</f>
        <v>0.13942004119545193</v>
      </c>
      <c r="E80" s="3">
        <f>E74/E23</f>
        <v>0.12488396473451595</v>
      </c>
      <c r="F80" s="3">
        <f>F74/F23</f>
        <v>0.11699544946990525</v>
      </c>
      <c r="G80" s="3">
        <f>G74/G23</f>
        <v>0.0895276596399604</v>
      </c>
      <c r="H80" s="20">
        <f>H74/H23</f>
        <v>0.11586762752899739</v>
      </c>
      <c r="I80" s="1"/>
      <c r="J80" s="1"/>
    </row>
    <row r="81">
      <c r="A81" s="1"/>
      <c r="B81" s="19" t="s">
        <v>154</v>
      </c>
      <c r="C81" s="50">
        <f>(C80-C77/C16)*10000</f>
        <v>-511.96792169927687</v>
      </c>
      <c r="D81" s="50">
        <f>(D80-D77/D16)*10000</f>
        <v>-633.1533215538043</v>
      </c>
      <c r="E81" s="50">
        <f>(E80-E77/E16)*10000</f>
        <v>-754.0354453447355</v>
      </c>
      <c r="F81" s="50">
        <f>(F80-F77/F16)*10000</f>
        <v>-605.842647846</v>
      </c>
      <c r="G81" s="50">
        <f>(G80-G77/G16)*10000</f>
        <v>129.07982479782186</v>
      </c>
      <c r="H81" s="51">
        <f>(H80-H77/H16)*10000</f>
        <v>-27.021378515824924</v>
      </c>
      <c r="I81" s="1"/>
      <c r="J81" s="1"/>
    </row>
    <row r="82">
      <c r="A82" s="1"/>
      <c r="B82" s="19" t="s">
        <v>155</v>
      </c>
      <c r="C82" s="50">
        <f>(C80-G77/G16)*10000</f>
        <v>419.50088220401665</v>
      </c>
      <c r="D82" s="50">
        <f>(D80-C80)*10000</f>
        <v>208.50275814872046</v>
      </c>
      <c r="E82" s="50">
        <f>(E80-D80)*10000</f>
        <v>-145.3607646093598</v>
      </c>
      <c r="F82" s="50"/>
      <c r="G82" s="50">
        <f>(G80-E80)*10000</f>
        <v>-353.56305094555546</v>
      </c>
      <c r="H82" s="51">
        <f>(H80-G80)*10000</f>
        <v>263.3996788903699</v>
      </c>
      <c r="I82" s="1"/>
      <c r="J82" s="1"/>
    </row>
    <row r="83">
      <c r="A83" s="1"/>
      <c r="B83" s="1"/>
      <c r="C83" s="1"/>
      <c r="D83" s="1"/>
      <c r="E83" s="1"/>
      <c r="F83" s="1"/>
      <c r="G83" s="1"/>
      <c r="H83" s="32"/>
      <c r="I83" s="1"/>
      <c r="J83" s="1"/>
    </row>
    <row r="84">
      <c r="A84" s="1"/>
      <c r="B84" s="16" t="s">
        <v>170</v>
      </c>
      <c r="C84" s="1"/>
      <c r="D84" s="1"/>
      <c r="E84" s="1"/>
      <c r="F84" s="1"/>
      <c r="G84" s="1"/>
      <c r="H84" s="32"/>
      <c r="I84" s="1"/>
      <c r="J84" s="1"/>
    </row>
    <row r="85">
      <c r="A85" s="1"/>
      <c r="B85" s="19" t="s">
        <v>85</v>
      </c>
      <c r="C85" s="8"/>
      <c r="D85" s="8"/>
      <c r="E85" s="8"/>
      <c r="F85" s="6">
        <f>ROUND(F23-(Inputs!C137+C23+D23+E23),3)</f>
        <v>0</v>
      </c>
      <c r="G85" s="8"/>
      <c r="H85" s="21"/>
      <c r="I85" s="1"/>
      <c r="J85" s="1"/>
    </row>
    <row r="86">
      <c r="A86" s="1"/>
      <c r="B86" s="1"/>
      <c r="C86" s="1"/>
      <c r="D86" s="1"/>
      <c r="E86" s="1"/>
      <c r="F86" s="1"/>
      <c r="G86" s="1"/>
      <c r="H86" s="32"/>
      <c r="I86" s="1"/>
      <c r="J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J8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171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18" t="s">
        <v>4</v>
      </c>
      <c r="I5" s="1"/>
      <c r="J5" s="16" t="s">
        <v>36</v>
      </c>
    </row>
    <row r="6">
      <c r="A6" s="1"/>
      <c r="B6" s="14" t="s">
        <v>5</v>
      </c>
      <c r="C6" s="25">
        <v>45900</v>
      </c>
      <c r="D6" s="25">
        <v>45991</v>
      </c>
      <c r="E6" s="25">
        <v>46081</v>
      </c>
      <c r="F6" s="25">
        <v>46081</v>
      </c>
      <c r="G6" s="25">
        <v>46173</v>
      </c>
      <c r="H6" s="40">
        <v>46265</v>
      </c>
      <c r="I6" s="1"/>
      <c r="J6" s="1"/>
    </row>
    <row r="7">
      <c r="A7" s="1"/>
      <c r="B7" s="33" t="s">
        <v>6</v>
      </c>
      <c r="C7" s="17">
        <v>92</v>
      </c>
      <c r="D7" s="17">
        <v>91</v>
      </c>
      <c r="E7" s="17">
        <v>90</v>
      </c>
      <c r="F7" s="17">
        <v>365</v>
      </c>
      <c r="G7" s="17">
        <v>92</v>
      </c>
      <c r="H7" s="10">
        <v>92</v>
      </c>
      <c r="I7" s="1"/>
      <c r="J7" s="1"/>
    </row>
    <row r="8">
      <c r="A8" s="1"/>
      <c r="B8" s="1"/>
      <c r="C8" s="1"/>
      <c r="D8" s="1"/>
      <c r="E8" s="1"/>
      <c r="F8" s="1"/>
      <c r="G8" s="1"/>
      <c r="H8" s="32"/>
      <c r="I8" s="1"/>
      <c r="J8" s="1"/>
    </row>
    <row r="9">
      <c r="A9" s="1"/>
      <c r="B9" s="16" t="s">
        <v>94</v>
      </c>
      <c r="C9" s="1"/>
      <c r="D9" s="1"/>
      <c r="E9" s="1"/>
      <c r="F9" s="1"/>
      <c r="G9" s="1"/>
      <c r="H9" s="32"/>
      <c r="I9" s="1"/>
      <c r="J9" s="1"/>
    </row>
    <row r="10">
      <c r="A10" s="1"/>
      <c r="B10" s="19" t="s">
        <v>95</v>
      </c>
      <c r="C10" s="3"/>
      <c r="D10" s="3"/>
      <c r="E10" s="3"/>
      <c r="F10" s="3"/>
      <c r="G10" s="3"/>
      <c r="H10" s="56">
        <v>0</v>
      </c>
      <c r="I10" s="1"/>
      <c r="J10" s="1" t="s">
        <v>172</v>
      </c>
    </row>
    <row r="11">
      <c r="A11" s="1"/>
      <c r="B11" s="19" t="s">
        <v>97</v>
      </c>
      <c r="C11" s="3"/>
      <c r="D11" s="3"/>
      <c r="E11" s="3"/>
      <c r="F11" s="3"/>
      <c r="G11" s="3"/>
      <c r="H11" s="56">
        <v>0.005</v>
      </c>
      <c r="I11" s="1"/>
      <c r="J11" s="1" t="s">
        <v>98</v>
      </c>
    </row>
    <row r="12">
      <c r="A12" s="1"/>
      <c r="B12" s="19" t="s">
        <v>99</v>
      </c>
      <c r="C12" s="3"/>
      <c r="D12" s="3"/>
      <c r="E12" s="3"/>
      <c r="F12" s="3"/>
      <c r="G12" s="3"/>
      <c r="H12" s="56">
        <v>0</v>
      </c>
      <c r="I12" s="1"/>
      <c r="J12" s="1" t="s">
        <v>100</v>
      </c>
    </row>
    <row r="13">
      <c r="A13" s="1"/>
      <c r="B13" s="19" t="s">
        <v>101</v>
      </c>
      <c r="C13" s="3"/>
      <c r="D13" s="3"/>
      <c r="E13" s="3"/>
      <c r="F13" s="3"/>
      <c r="G13" s="3"/>
      <c r="H13" s="56">
        <v>0.035</v>
      </c>
      <c r="I13" s="1"/>
      <c r="J13" s="1" t="s">
        <v>173</v>
      </c>
    </row>
    <row r="14">
      <c r="A14" s="1"/>
      <c r="B14" s="1"/>
      <c r="C14" s="1"/>
      <c r="D14" s="1"/>
      <c r="E14" s="1"/>
      <c r="F14" s="1"/>
      <c r="G14" s="1"/>
      <c r="H14" s="32"/>
      <c r="I14" s="1"/>
      <c r="J14" s="1"/>
    </row>
    <row r="15">
      <c r="A15" s="1"/>
      <c r="B15" s="16" t="s">
        <v>103</v>
      </c>
      <c r="C15" s="1"/>
      <c r="D15" s="1"/>
      <c r="E15" s="1"/>
      <c r="F15" s="1"/>
      <c r="G15" s="1"/>
      <c r="H15" s="32"/>
      <c r="I15" s="1"/>
      <c r="J15" s="1"/>
    </row>
    <row r="16">
      <c r="A16" s="1"/>
      <c r="B16" s="1" t="s">
        <v>104</v>
      </c>
      <c r="C16" s="37">
        <v>232.277</v>
      </c>
      <c r="D16" s="37">
        <v>284.597</v>
      </c>
      <c r="E16" s="37">
        <v>266.072</v>
      </c>
      <c r="F16" s="37">
        <v>1001.334</v>
      </c>
      <c r="G16" s="6">
        <f>Inputs!C138</f>
        <v>193.672</v>
      </c>
      <c r="H16" s="21">
        <f>C23</f>
        <v>223.05999999999997</v>
      </c>
      <c r="I16" s="1"/>
      <c r="J16" s="1" t="s">
        <v>105</v>
      </c>
    </row>
    <row r="17">
      <c r="A17" s="1"/>
      <c r="B17" s="1" t="s">
        <v>106</v>
      </c>
      <c r="C17" s="37">
        <v>-42.267</v>
      </c>
      <c r="D17" s="37">
        <v>-39.673</v>
      </c>
      <c r="E17" s="37">
        <v>-23.692</v>
      </c>
      <c r="F17" s="37">
        <v>-155.967</v>
      </c>
      <c r="G17" s="37">
        <v>11.963</v>
      </c>
      <c r="H17" s="21">
        <f>H16*H10</f>
        <v>0</v>
      </c>
      <c r="I17" s="1"/>
      <c r="J17" s="1" t="s">
        <v>107</v>
      </c>
    </row>
    <row r="18">
      <c r="A18" s="1"/>
      <c r="B18" s="19" t="s">
        <v>108</v>
      </c>
      <c r="C18" s="3">
        <f>C17/C16</f>
        <v>-0.18196808121337887</v>
      </c>
      <c r="D18" s="3">
        <f>D17/D16</f>
        <v>-0.13940062614855395</v>
      </c>
      <c r="E18" s="3">
        <f>E17/E16</f>
        <v>-0.0890435671547551</v>
      </c>
      <c r="F18" s="3">
        <f>F17/F16</f>
        <v>-0.15575921720424954</v>
      </c>
      <c r="G18" s="3">
        <f>G17/G16</f>
        <v>0.061769383287207234</v>
      </c>
      <c r="H18" s="20">
        <f>H17/H16</f>
        <v>0</v>
      </c>
      <c r="I18" s="1"/>
      <c r="J18" s="1"/>
    </row>
    <row r="19">
      <c r="A19" s="1"/>
      <c r="B19" s="1" t="s">
        <v>109</v>
      </c>
      <c r="C19" s="37">
        <v>-0.36</v>
      </c>
      <c r="D19" s="37">
        <v>0.596</v>
      </c>
      <c r="E19" s="37">
        <v>2.34</v>
      </c>
      <c r="F19" s="37">
        <v>1.355</v>
      </c>
      <c r="G19" s="37">
        <v>1.557</v>
      </c>
      <c r="H19" s="21">
        <f>H16*H11</f>
        <v>1.1153</v>
      </c>
      <c r="I19" s="1"/>
      <c r="J19" s="1"/>
    </row>
    <row r="20">
      <c r="A20" s="1"/>
      <c r="B20" s="19" t="s">
        <v>108</v>
      </c>
      <c r="C20" s="3">
        <f>C19/C16</f>
        <v>-0.0015498736422461113</v>
      </c>
      <c r="D20" s="3">
        <f>D19/D16</f>
        <v>0.0020941893273646595</v>
      </c>
      <c r="E20" s="3">
        <f>E19/E16</f>
        <v>0.008794611984725939</v>
      </c>
      <c r="F20" s="3">
        <f>F19/F16</f>
        <v>0.0013531948380859932</v>
      </c>
      <c r="G20" s="3">
        <f>G19/G16</f>
        <v>0.008039365525217893</v>
      </c>
      <c r="H20" s="20">
        <f>H19/H16</f>
        <v>0.005</v>
      </c>
      <c r="I20" s="1"/>
      <c r="J20" s="1"/>
    </row>
    <row r="21">
      <c r="A21" s="1"/>
      <c r="B21" s="1" t="s">
        <v>110</v>
      </c>
      <c r="C21" s="37">
        <v>33.41</v>
      </c>
      <c r="D21" s="37">
        <v>37.672</v>
      </c>
      <c r="E21" s="37">
        <v>8.776</v>
      </c>
      <c r="F21" s="37">
        <v>106.698</v>
      </c>
      <c r="G21" s="37">
        <v>0</v>
      </c>
      <c r="H21" s="21">
        <f>H16*H12</f>
        <v>0</v>
      </c>
      <c r="I21" s="1"/>
      <c r="J21" s="1" t="s">
        <v>174</v>
      </c>
    </row>
    <row r="22">
      <c r="A22" s="1"/>
      <c r="B22" s="19" t="s">
        <v>108</v>
      </c>
      <c r="C22" s="3">
        <f>C21/C16</f>
        <v>0.14383688440956272</v>
      </c>
      <c r="D22" s="3">
        <f>D21/D16</f>
        <v>0.13236963144376082</v>
      </c>
      <c r="E22" s="3">
        <f>E21/E16</f>
        <v>0.032983553323912326</v>
      </c>
      <c r="F22" s="3">
        <f>F21/F16</f>
        <v>0.1065558544901102</v>
      </c>
      <c r="G22" s="3">
        <f>G21/G16</f>
        <v>0</v>
      </c>
      <c r="H22" s="20">
        <f>H21/H16</f>
        <v>0</v>
      </c>
      <c r="I22" s="1"/>
      <c r="J22" s="1"/>
    </row>
    <row r="23">
      <c r="A23" s="1"/>
      <c r="B23" s="16" t="s">
        <v>112</v>
      </c>
      <c r="C23" s="39">
        <f>C16+C17+C19+C21</f>
        <v>223.05999999999997</v>
      </c>
      <c r="D23" s="39">
        <f>D16+D17+D19+D21</f>
        <v>283.192</v>
      </c>
      <c r="E23" s="39">
        <f>E16+E17+E19+E21</f>
        <v>253.496</v>
      </c>
      <c r="F23" s="39">
        <f>F16+F17+F19+F21</f>
        <v>953.42</v>
      </c>
      <c r="G23" s="39">
        <f>G16+G17+G19+G21</f>
        <v>207.19199999999998</v>
      </c>
      <c r="H23" s="41">
        <f>H16+H17+H19+H21</f>
        <v>224.17529999999996</v>
      </c>
      <c r="I23" s="1"/>
      <c r="J23" s="1"/>
    </row>
    <row r="24">
      <c r="A24" s="1"/>
      <c r="B24" s="1" t="s">
        <v>113</v>
      </c>
      <c r="C24" s="37">
        <v>223.06</v>
      </c>
      <c r="D24" s="37">
        <v>283.192</v>
      </c>
      <c r="E24" s="37">
        <v>253.496</v>
      </c>
      <c r="F24" s="37">
        <v>953.42</v>
      </c>
      <c r="G24" s="37">
        <v>207.192</v>
      </c>
      <c r="H24" s="21"/>
      <c r="I24" s="1"/>
      <c r="J24" s="1" t="s">
        <v>114</v>
      </c>
    </row>
    <row r="25">
      <c r="A25" s="1"/>
      <c r="B25" s="19" t="s">
        <v>115</v>
      </c>
      <c r="C25" s="8">
        <f>ROUND(C23-C24,3)</f>
        <v>0</v>
      </c>
      <c r="D25" s="8">
        <f>ROUND(D23-D24,3)</f>
        <v>0</v>
      </c>
      <c r="E25" s="8">
        <f>ROUND(E23-E24,3)</f>
        <v>0</v>
      </c>
      <c r="F25" s="8">
        <f>ROUND(F23-F24,3)</f>
        <v>0</v>
      </c>
      <c r="G25" s="8">
        <f>ROUND(G23-G24,3)</f>
        <v>0</v>
      </c>
      <c r="H25" s="21"/>
      <c r="I25" s="1"/>
      <c r="J25" s="1"/>
    </row>
    <row r="26">
      <c r="A26" s="1"/>
      <c r="B26" s="1" t="s">
        <v>69</v>
      </c>
      <c r="C26" s="8">
        <f>C23-C16</f>
        <v>-9.217000000000013</v>
      </c>
      <c r="D26" s="8">
        <f>D23-D16</f>
        <v>-1.4049999999999727</v>
      </c>
      <c r="E26" s="8">
        <f>E23-E16</f>
        <v>-12.575999999999993</v>
      </c>
      <c r="F26" s="8">
        <f>F23-F16</f>
        <v>-47.91399999999999</v>
      </c>
      <c r="G26" s="8">
        <f>G23-G16</f>
        <v>13.519999999999982</v>
      </c>
      <c r="H26" s="21">
        <f>H23-H16</f>
        <v>1.1152999999999906</v>
      </c>
      <c r="I26" s="1"/>
      <c r="J26" s="1"/>
    </row>
    <row r="27">
      <c r="A27" s="1"/>
      <c r="B27" s="19" t="s">
        <v>66</v>
      </c>
      <c r="C27" s="3">
        <f>C23/C16-1</f>
        <v>-0.03968107044606228</v>
      </c>
      <c r="D27" s="3">
        <f>D23/D16-1</f>
        <v>-0.004936805377428355</v>
      </c>
      <c r="E27" s="3">
        <f>E23/E16-1</f>
        <v>-0.04726540184611683</v>
      </c>
      <c r="F27" s="3">
        <f>F23/F16-1</f>
        <v>-0.04785016787605334</v>
      </c>
      <c r="G27" s="3">
        <f>G23/G16-1</f>
        <v>0.06980874881242505</v>
      </c>
      <c r="H27" s="20">
        <f>H23/H16-1</f>
        <v>0.004999999999999893</v>
      </c>
      <c r="I27" s="1"/>
      <c r="J27" s="1"/>
    </row>
    <row r="28">
      <c r="A28" s="1"/>
      <c r="B28" s="1" t="s">
        <v>70</v>
      </c>
      <c r="C28" s="6">
        <f>C23-Inputs!C138</f>
        <v>29.387999999999977</v>
      </c>
      <c r="D28" s="8">
        <f>D23-C23</f>
        <v>60.13200000000003</v>
      </c>
      <c r="E28" s="8">
        <f>E23-D23</f>
        <v>-29.695999999999998</v>
      </c>
      <c r="F28" s="8"/>
      <c r="G28" s="8">
        <f>G23-E23</f>
        <v>-46.30400000000003</v>
      </c>
      <c r="H28" s="21">
        <f>H23-G23</f>
        <v>16.983299999999986</v>
      </c>
      <c r="I28" s="1"/>
      <c r="J28" s="1" t="s">
        <v>116</v>
      </c>
    </row>
    <row r="29">
      <c r="A29" s="1"/>
      <c r="B29" s="19" t="s">
        <v>67</v>
      </c>
      <c r="C29" s="45">
        <f>C23/Inputs!C138-1</f>
        <v>0.15174108802511443</v>
      </c>
      <c r="D29" s="3">
        <f>D23/C23-1</f>
        <v>0.2695776921007802</v>
      </c>
      <c r="E29" s="3">
        <f>E23/D23-1</f>
        <v>-0.10486171925760612</v>
      </c>
      <c r="F29" s="3"/>
      <c r="G29" s="3">
        <f>G23/E23-1</f>
        <v>-0.18266165935557177</v>
      </c>
      <c r="H29" s="20">
        <f>H23/G23-1</f>
        <v>0.08196889841306598</v>
      </c>
      <c r="I29" s="1"/>
      <c r="J29" s="1"/>
    </row>
    <row r="30">
      <c r="A30" s="1"/>
      <c r="B30" s="19" t="s">
        <v>68</v>
      </c>
      <c r="C30" s="45">
        <f>C23/'Revenue summary'!C36</f>
        <v>0.5166044823649025</v>
      </c>
      <c r="D30" s="45">
        <f>D23/'Revenue summary'!D36</f>
        <v>0.5522152608374331</v>
      </c>
      <c r="E30" s="45">
        <f>E23/'Revenue summary'!E36</f>
        <v>0.5393245040157439</v>
      </c>
      <c r="F30" s="45">
        <f>F23/'Revenue summary'!F36</f>
        <v>0.5337431212177194</v>
      </c>
      <c r="G30" s="45">
        <f>G23/'Revenue summary'!G36</f>
        <v>0.5152555860885567</v>
      </c>
      <c r="H30" s="48">
        <f>H23/'Revenue summary'!H36</f>
        <v>0.5068528252962892</v>
      </c>
      <c r="I30" s="1"/>
      <c r="J30" s="1"/>
    </row>
    <row r="31">
      <c r="A31" s="1"/>
      <c r="B31" s="1"/>
      <c r="C31" s="1"/>
      <c r="D31" s="1"/>
      <c r="E31" s="1"/>
      <c r="F31" s="1"/>
      <c r="G31" s="1"/>
      <c r="H31" s="32"/>
      <c r="I31" s="1"/>
      <c r="J31" s="1"/>
    </row>
    <row r="32">
      <c r="A32" s="1"/>
      <c r="B32" s="16" t="s">
        <v>117</v>
      </c>
      <c r="C32" s="1"/>
      <c r="D32" s="1"/>
      <c r="E32" s="1"/>
      <c r="F32" s="1"/>
      <c r="G32" s="1"/>
      <c r="H32" s="32"/>
      <c r="I32" s="1"/>
      <c r="J32" s="1"/>
    </row>
    <row r="33">
      <c r="A33" s="1"/>
      <c r="B33" s="19" t="s">
        <v>118</v>
      </c>
      <c r="C33" s="3">
        <f>C21/C16</f>
        <v>0.14383688440956272</v>
      </c>
      <c r="D33" s="3">
        <f>D21/D16</f>
        <v>0.13236963144376082</v>
      </c>
      <c r="E33" s="3">
        <f>E21/E16</f>
        <v>0.032983553323912326</v>
      </c>
      <c r="F33" s="3">
        <f>F21/F16</f>
        <v>0.1065558544901102</v>
      </c>
      <c r="G33" s="3">
        <f>G21/G16</f>
        <v>0</v>
      </c>
      <c r="H33" s="20">
        <f>H21/H16</f>
        <v>0</v>
      </c>
      <c r="I33" s="1"/>
      <c r="J33" s="1"/>
    </row>
    <row r="34">
      <c r="A34" s="1"/>
      <c r="B34" s="19" t="s">
        <v>73</v>
      </c>
      <c r="C34" s="3">
        <f>C19/C16</f>
        <v>-0.0015498736422461113</v>
      </c>
      <c r="D34" s="3">
        <f>D19/D16</f>
        <v>0.0020941893273646595</v>
      </c>
      <c r="E34" s="3">
        <f>E19/E16</f>
        <v>0.008794611984725939</v>
      </c>
      <c r="F34" s="3">
        <f>F19/F16</f>
        <v>0.0013531948380859932</v>
      </c>
      <c r="G34" s="3">
        <f>G19/G16</f>
        <v>0.008039365525217893</v>
      </c>
      <c r="H34" s="20">
        <f>H19/H16</f>
        <v>0.005</v>
      </c>
      <c r="I34" s="1"/>
      <c r="J34" s="1"/>
    </row>
    <row r="35">
      <c r="A35" s="1"/>
      <c r="B35" s="19" t="s">
        <v>71</v>
      </c>
      <c r="C35" s="3">
        <f>(1+C27)/((1+C33)*(1+C34))-1</f>
        <v>-0.1591374381860916</v>
      </c>
      <c r="D35" s="3">
        <f>(1+D27)/((1+D33)*(1+D34))-1</f>
        <v>-0.12309225611045427</v>
      </c>
      <c r="E35" s="3">
        <f>(1+E27)/((1+E33)*(1+E34))-1</f>
        <v>-0.08572724993784009</v>
      </c>
      <c r="F35" s="3">
        <f>(1+F27)/((1+F33)*(1+F34))-1</f>
        <v>-0.14070028621904185</v>
      </c>
      <c r="G35" s="3">
        <f>(1+G27)/((1+G33)*(1+G34))-1</f>
        <v>0.06127675703916924</v>
      </c>
      <c r="H35" s="20">
        <f>(1+H27)/((1+H33)*(1+H34))-1</f>
        <v>0</v>
      </c>
      <c r="I35" s="1"/>
      <c r="J35" s="1"/>
    </row>
    <row r="36">
      <c r="A36" s="1"/>
      <c r="B36" s="19" t="s">
        <v>119</v>
      </c>
      <c r="C36" s="3">
        <f>C17/C16</f>
        <v>-0.18196808121337887</v>
      </c>
      <c r="D36" s="3">
        <f>D17/D16</f>
        <v>-0.13940062614855395</v>
      </c>
      <c r="E36" s="3">
        <f>E17/E16</f>
        <v>-0.0890435671547551</v>
      </c>
      <c r="F36" s="3">
        <f>F17/F16</f>
        <v>-0.15575921720424954</v>
      </c>
      <c r="G36" s="3">
        <f>G17/G16</f>
        <v>0.061769383287207234</v>
      </c>
      <c r="H36" s="20">
        <f>H17/H16</f>
        <v>0</v>
      </c>
      <c r="I36" s="1"/>
      <c r="J36" s="1" t="s">
        <v>120</v>
      </c>
    </row>
    <row r="37">
      <c r="A37" s="1"/>
      <c r="B37" s="19" t="s">
        <v>74</v>
      </c>
      <c r="C37" s="3">
        <f>C27</f>
        <v>-0.03968107044606228</v>
      </c>
      <c r="D37" s="3">
        <f>D27</f>
        <v>-0.004936805377428355</v>
      </c>
      <c r="E37" s="3">
        <f>E27</f>
        <v>-0.04726540184611683</v>
      </c>
      <c r="F37" s="3">
        <f>F27</f>
        <v>-0.04785016787605334</v>
      </c>
      <c r="G37" s="3">
        <f>G27</f>
        <v>0.06980874881242505</v>
      </c>
      <c r="H37" s="20">
        <f>H27</f>
        <v>0.004999999999999893</v>
      </c>
      <c r="I37" s="1"/>
      <c r="J37" s="1"/>
    </row>
    <row r="38">
      <c r="A38" s="1"/>
      <c r="B38" s="1"/>
      <c r="C38" s="1"/>
      <c r="D38" s="1"/>
      <c r="E38" s="1"/>
      <c r="F38" s="1"/>
      <c r="G38" s="1"/>
      <c r="H38" s="32"/>
      <c r="I38" s="1"/>
      <c r="J38" s="1"/>
    </row>
    <row r="39">
      <c r="A39" s="1"/>
      <c r="B39" s="16" t="s">
        <v>121</v>
      </c>
      <c r="C39" s="1"/>
      <c r="D39" s="1"/>
      <c r="E39" s="1"/>
      <c r="F39" s="1"/>
      <c r="G39" s="1"/>
      <c r="H39" s="32"/>
      <c r="I39" s="1"/>
      <c r="J39" s="1"/>
    </row>
    <row r="40">
      <c r="A40" s="1"/>
      <c r="B40" s="1" t="s">
        <v>122</v>
      </c>
      <c r="C40" s="27" t="s">
        <v>123</v>
      </c>
      <c r="D40" s="27" t="s">
        <v>123</v>
      </c>
      <c r="E40" s="27" t="s">
        <v>123</v>
      </c>
      <c r="F40" s="27" t="s">
        <v>123</v>
      </c>
      <c r="G40" s="27" t="s">
        <v>123</v>
      </c>
      <c r="H40" s="28" t="s">
        <v>123</v>
      </c>
      <c r="I40" s="1"/>
      <c r="J40" s="1" t="s">
        <v>175</v>
      </c>
    </row>
    <row r="41">
      <c r="A41" s="1"/>
      <c r="B41" s="1" t="s">
        <v>125</v>
      </c>
      <c r="C41" s="27" t="s">
        <v>123</v>
      </c>
      <c r="D41" s="27" t="s">
        <v>123</v>
      </c>
      <c r="E41" s="27" t="s">
        <v>123</v>
      </c>
      <c r="F41" s="27" t="s">
        <v>123</v>
      </c>
      <c r="G41" s="27" t="s">
        <v>123</v>
      </c>
      <c r="H41" s="28" t="s">
        <v>123</v>
      </c>
      <c r="I41" s="1"/>
      <c r="J41" s="1" t="s">
        <v>126</v>
      </c>
    </row>
    <row r="42">
      <c r="A42" s="1"/>
      <c r="B42" s="1" t="s">
        <v>127</v>
      </c>
      <c r="C42" s="27" t="s">
        <v>123</v>
      </c>
      <c r="D42" s="27" t="s">
        <v>123</v>
      </c>
      <c r="E42" s="27" t="s">
        <v>123</v>
      </c>
      <c r="F42" s="27" t="s">
        <v>123</v>
      </c>
      <c r="G42" s="27" t="s">
        <v>123</v>
      </c>
      <c r="H42" s="28" t="s">
        <v>123</v>
      </c>
      <c r="I42" s="1"/>
      <c r="J42" s="1" t="s">
        <v>128</v>
      </c>
    </row>
    <row r="43">
      <c r="A43" s="1"/>
      <c r="B43" s="1"/>
      <c r="C43" s="1"/>
      <c r="D43" s="1"/>
      <c r="E43" s="1"/>
      <c r="F43" s="1"/>
      <c r="G43" s="1"/>
      <c r="H43" s="32"/>
      <c r="I43" s="1"/>
      <c r="J43" s="1"/>
    </row>
    <row r="44">
      <c r="A44" s="1"/>
      <c r="B44" s="16" t="s">
        <v>129</v>
      </c>
      <c r="C44" s="1"/>
      <c r="D44" s="1"/>
      <c r="E44" s="1"/>
      <c r="F44" s="1"/>
      <c r="G44" s="1"/>
      <c r="H44" s="32"/>
      <c r="I44" s="1"/>
      <c r="J44" s="1"/>
    </row>
    <row r="45">
      <c r="A45" s="1"/>
      <c r="B45" s="1" t="s">
        <v>130</v>
      </c>
      <c r="C45" s="37">
        <v>-243.139</v>
      </c>
      <c r="D45" s="37">
        <v>-8.298</v>
      </c>
      <c r="E45" s="37">
        <v>-67.655</v>
      </c>
      <c r="F45" s="37">
        <v>-512.337</v>
      </c>
      <c r="G45" s="37">
        <v>52.184</v>
      </c>
      <c r="H45" s="21">
        <f>H54-H52-H53-H46-H47-H48-H49-H50</f>
        <v>1.9395428326083572</v>
      </c>
      <c r="I45" s="1"/>
      <c r="J45" s="1" t="s">
        <v>131</v>
      </c>
    </row>
    <row r="46">
      <c r="A46" s="1"/>
      <c r="B46" s="1" t="s">
        <v>132</v>
      </c>
      <c r="C46" s="37">
        <v>240.857</v>
      </c>
      <c r="D46" s="37">
        <v>41.906</v>
      </c>
      <c r="E46" s="37">
        <v>75.243</v>
      </c>
      <c r="F46" s="37">
        <v>553.296</v>
      </c>
      <c r="G46" s="37">
        <v>0</v>
      </c>
      <c r="H46" s="49">
        <v>0</v>
      </c>
      <c r="I46" s="1"/>
      <c r="J46" s="1" t="s">
        <v>133</v>
      </c>
    </row>
    <row r="47">
      <c r="A47" s="1"/>
      <c r="B47" s="1" t="s">
        <v>134</v>
      </c>
      <c r="C47" s="37">
        <v>1.504</v>
      </c>
      <c r="D47" s="37">
        <v>0</v>
      </c>
      <c r="E47" s="37">
        <v>0</v>
      </c>
      <c r="F47" s="37">
        <v>1.504</v>
      </c>
      <c r="G47" s="37">
        <v>0</v>
      </c>
      <c r="H47" s="49">
        <v>0</v>
      </c>
      <c r="I47" s="1"/>
      <c r="J47" s="1"/>
    </row>
    <row r="48">
      <c r="A48" s="1"/>
      <c r="B48" s="1" t="s">
        <v>135</v>
      </c>
      <c r="C48" s="37">
        <v>0</v>
      </c>
      <c r="D48" s="37">
        <v>0</v>
      </c>
      <c r="E48" s="37">
        <v>0</v>
      </c>
      <c r="F48" s="37">
        <v>1.742</v>
      </c>
      <c r="G48" s="37">
        <v>0</v>
      </c>
      <c r="H48" s="49">
        <v>0</v>
      </c>
      <c r="I48" s="1"/>
      <c r="J48" s="1"/>
    </row>
    <row r="49">
      <c r="A49" s="1"/>
      <c r="B49" s="1" t="s">
        <v>136</v>
      </c>
      <c r="C49" s="37">
        <v>0</v>
      </c>
      <c r="D49" s="37">
        <v>0</v>
      </c>
      <c r="E49" s="37">
        <v>4.354</v>
      </c>
      <c r="F49" s="37">
        <v>4.354</v>
      </c>
      <c r="G49" s="37">
        <v>0</v>
      </c>
      <c r="H49" s="49">
        <v>0</v>
      </c>
      <c r="I49" s="1"/>
      <c r="J49" s="1"/>
    </row>
    <row r="50">
      <c r="A50" s="1"/>
      <c r="B50" s="1" t="s">
        <v>137</v>
      </c>
      <c r="C50" s="37">
        <v>0</v>
      </c>
      <c r="D50" s="37">
        <v>0</v>
      </c>
      <c r="E50" s="37">
        <v>0</v>
      </c>
      <c r="F50" s="37">
        <v>0</v>
      </c>
      <c r="G50" s="37">
        <v>-54.854</v>
      </c>
      <c r="H50" s="49">
        <v>0</v>
      </c>
      <c r="I50" s="1"/>
      <c r="J50" s="1"/>
    </row>
    <row r="51">
      <c r="A51" s="1"/>
      <c r="B51" s="16" t="s">
        <v>138</v>
      </c>
      <c r="C51" s="39">
        <f>C45+C46+C47+C48+C49+C50</f>
        <v>-0.7780000000000107</v>
      </c>
      <c r="D51" s="39">
        <f>D45+D46+D47+D48+D49+D50</f>
        <v>33.608</v>
      </c>
      <c r="E51" s="39">
        <f>E45+E46+E47+E48+E49+E50</f>
        <v>11.941999999999993</v>
      </c>
      <c r="F51" s="39">
        <f>F45+F46+F47+F48+F49+F50</f>
        <v>48.559000000000054</v>
      </c>
      <c r="G51" s="39">
        <f>G45+G46+G47+G48+G49+G50</f>
        <v>-2.6700000000000017</v>
      </c>
      <c r="H51" s="41">
        <f>H45+H46+H47+H48+H49+H50</f>
        <v>1.9395428326083572</v>
      </c>
      <c r="I51" s="1"/>
      <c r="J51" s="1"/>
    </row>
    <row r="52">
      <c r="A52" s="1"/>
      <c r="B52" s="1" t="s">
        <v>139</v>
      </c>
      <c r="C52" s="37">
        <v>2.512</v>
      </c>
      <c r="D52" s="37">
        <v>2.331</v>
      </c>
      <c r="E52" s="37">
        <v>3.032</v>
      </c>
      <c r="F52" s="37">
        <v>11.082</v>
      </c>
      <c r="G52" s="37">
        <v>2.782</v>
      </c>
      <c r="H52" s="21">
        <f>G52</f>
        <v>2.782</v>
      </c>
      <c r="I52" s="1"/>
      <c r="J52" s="1" t="s">
        <v>140</v>
      </c>
    </row>
    <row r="53">
      <c r="A53" s="1"/>
      <c r="B53" s="1" t="s">
        <v>141</v>
      </c>
      <c r="C53" s="37">
        <v>5.124</v>
      </c>
      <c r="D53" s="37">
        <v>3.017</v>
      </c>
      <c r="E53" s="37">
        <v>1.701</v>
      </c>
      <c r="F53" s="37">
        <v>10.104</v>
      </c>
      <c r="G53" s="37">
        <v>3.643</v>
      </c>
      <c r="H53" s="47">
        <f>(Guidance!G82-('Segment - Home &amp; Outdoor'!G53+'Segment - Beauty &amp; Wellness'!G53))/3*G53/('Segment - Home &amp; Outdoor'!G53+'Segment - Beauty &amp; Wellness'!G53)</f>
        <v>3.1245926673916427</v>
      </c>
      <c r="I53" s="1"/>
      <c r="J53" s="1" t="s">
        <v>142</v>
      </c>
    </row>
    <row r="54">
      <c r="A54" s="1"/>
      <c r="B54" s="16" t="s">
        <v>143</v>
      </c>
      <c r="C54" s="39">
        <f>C51+C52+C53</f>
        <v>6.857999999999989</v>
      </c>
      <c r="D54" s="39">
        <f>D51+D52+D53</f>
        <v>38.956</v>
      </c>
      <c r="E54" s="39">
        <f>E51+E52+E53</f>
        <v>16.674999999999994</v>
      </c>
      <c r="F54" s="39">
        <f>F51+F52+F53</f>
        <v>69.74500000000006</v>
      </c>
      <c r="G54" s="39">
        <f>G51+G52+G53</f>
        <v>3.754999999999998</v>
      </c>
      <c r="H54" s="41">
        <f>H23*H13</f>
        <v>7.8461355</v>
      </c>
      <c r="I54" s="1"/>
      <c r="J54" s="1" t="s">
        <v>144</v>
      </c>
    </row>
    <row r="55">
      <c r="A55" s="1"/>
      <c r="B55" s="1" t="s">
        <v>145</v>
      </c>
      <c r="C55" s="37">
        <v>6.858</v>
      </c>
      <c r="D55" s="37">
        <v>38.956</v>
      </c>
      <c r="E55" s="37">
        <v>16.675</v>
      </c>
      <c r="F55" s="37">
        <v>69.745</v>
      </c>
      <c r="G55" s="37">
        <v>3.755</v>
      </c>
      <c r="H55" s="21"/>
      <c r="I55" s="1"/>
      <c r="J55" s="1"/>
    </row>
    <row r="56">
      <c r="A56" s="1"/>
      <c r="B56" s="19" t="s">
        <v>146</v>
      </c>
      <c r="C56" s="8">
        <f>ROUND(C54-C55,3)</f>
        <v>0</v>
      </c>
      <c r="D56" s="8">
        <f>ROUND(D54-D55,3)</f>
        <v>0</v>
      </c>
      <c r="E56" s="8">
        <f>ROUND(E54-E55,3)</f>
        <v>0</v>
      </c>
      <c r="F56" s="8">
        <f>ROUND(F54-F55,3)</f>
        <v>0</v>
      </c>
      <c r="G56" s="8">
        <f>ROUND(G54-G55,3)</f>
        <v>0</v>
      </c>
      <c r="H56" s="21"/>
      <c r="I56" s="1"/>
      <c r="J56" s="1"/>
    </row>
    <row r="57">
      <c r="A57" s="1"/>
      <c r="B57" s="1" t="s">
        <v>147</v>
      </c>
      <c r="C57" s="37">
        <v>10.152</v>
      </c>
      <c r="D57" s="37">
        <v>42.584</v>
      </c>
      <c r="E57" s="37">
        <v>35.77</v>
      </c>
      <c r="F57" s="37">
        <v>110.389</v>
      </c>
      <c r="G57" s="6">
        <f>Inputs!C141</f>
        <v>7.256</v>
      </c>
      <c r="H57" s="21">
        <f>C54</f>
        <v>6.857999999999989</v>
      </c>
      <c r="I57" s="1"/>
      <c r="J57" s="1"/>
    </row>
    <row r="58">
      <c r="A58" s="1"/>
      <c r="B58" s="19" t="s">
        <v>148</v>
      </c>
      <c r="C58" s="3">
        <f>C54/C57-1</f>
        <v>-0.32446808510638403</v>
      </c>
      <c r="D58" s="3">
        <f>D54/D57-1</f>
        <v>-0.08519631786586512</v>
      </c>
      <c r="E58" s="3">
        <f>E54/E57-1</f>
        <v>-0.533827229521946</v>
      </c>
      <c r="F58" s="3">
        <f>F54/F57-1</f>
        <v>-0.368188859397222</v>
      </c>
      <c r="G58" s="3">
        <f>G54/G57-1</f>
        <v>-0.48249724366041924</v>
      </c>
      <c r="H58" s="20">
        <f>H54/H57-1</f>
        <v>0.14408508311461254</v>
      </c>
      <c r="I58" s="1"/>
      <c r="J58" s="1"/>
    </row>
    <row r="59">
      <c r="A59" s="1"/>
      <c r="B59" s="1" t="s">
        <v>149</v>
      </c>
      <c r="C59" s="6">
        <f>C54-Inputs!C141</f>
        <v>-0.39800000000001123</v>
      </c>
      <c r="D59" s="8">
        <f>D54-C54</f>
        <v>32.09800000000001</v>
      </c>
      <c r="E59" s="8">
        <f>E54-D54</f>
        <v>-22.28100000000001</v>
      </c>
      <c r="F59" s="8"/>
      <c r="G59" s="8">
        <f>G54-E54</f>
        <v>-12.919999999999995</v>
      </c>
      <c r="H59" s="21">
        <f>H54-G54</f>
        <v>4.091135500000002</v>
      </c>
      <c r="I59" s="1"/>
      <c r="J59" s="1"/>
    </row>
    <row r="60">
      <c r="A60" s="1"/>
      <c r="B60" s="1" t="s">
        <v>150</v>
      </c>
      <c r="C60" s="37">
        <v>3.7</v>
      </c>
      <c r="D60" s="37">
        <v>34.805</v>
      </c>
      <c r="E60" s="37">
        <v>-30.271</v>
      </c>
      <c r="F60" s="37">
        <v>23.147</v>
      </c>
      <c r="G60" s="37">
        <v>-193.245</v>
      </c>
      <c r="H60" s="21">
        <f>C45</f>
        <v>-243.139</v>
      </c>
      <c r="I60" s="1"/>
      <c r="J60" s="1"/>
    </row>
    <row r="61">
      <c r="A61" s="1"/>
      <c r="B61" s="1" t="s">
        <v>151</v>
      </c>
      <c r="C61" s="8">
        <f>C45-C60</f>
        <v>-246.839</v>
      </c>
      <c r="D61" s="8">
        <f>D45-D60</f>
        <v>-43.103</v>
      </c>
      <c r="E61" s="8">
        <f>E45-E60</f>
        <v>-37.384</v>
      </c>
      <c r="F61" s="8">
        <f>F45-F60</f>
        <v>-535.484</v>
      </c>
      <c r="G61" s="8">
        <f>G45-G60</f>
        <v>245.429</v>
      </c>
      <c r="H61" s="21">
        <f>H45-H60</f>
        <v>245.07854283260838</v>
      </c>
      <c r="I61" s="1"/>
      <c r="J61" s="1"/>
    </row>
    <row r="62">
      <c r="A62" s="1"/>
      <c r="B62" s="1" t="s">
        <v>152</v>
      </c>
      <c r="C62" s="8">
        <f>C45-G60</f>
        <v>-49.894000000000005</v>
      </c>
      <c r="D62" s="8">
        <f>D45-C45</f>
        <v>234.841</v>
      </c>
      <c r="E62" s="8">
        <f>E45-D45</f>
        <v>-59.357</v>
      </c>
      <c r="F62" s="8"/>
      <c r="G62" s="8">
        <f>G45-E45</f>
        <v>119.839</v>
      </c>
      <c r="H62" s="21">
        <f>H45-G45</f>
        <v>-50.24445716739164</v>
      </c>
      <c r="I62" s="1"/>
      <c r="J62" s="1"/>
    </row>
    <row r="63">
      <c r="A63" s="1"/>
      <c r="B63" s="19" t="s">
        <v>153</v>
      </c>
      <c r="C63" s="3">
        <f>C45/C23</f>
        <v>-1.0900161391553844</v>
      </c>
      <c r="D63" s="3">
        <f>D45/D23</f>
        <v>-0.02930167518856465</v>
      </c>
      <c r="E63" s="3">
        <f>E45/E23</f>
        <v>-0.26688784043929686</v>
      </c>
      <c r="F63" s="3">
        <f>F45/F23</f>
        <v>-0.5373675819680729</v>
      </c>
      <c r="G63" s="3">
        <f>G45/G23</f>
        <v>0.2518630062936793</v>
      </c>
      <c r="H63" s="20">
        <f>H45/H23</f>
        <v>0.008651902473681791</v>
      </c>
      <c r="I63" s="1"/>
      <c r="J63" s="1"/>
    </row>
    <row r="64">
      <c r="A64" s="1"/>
      <c r="B64" s="19" t="s">
        <v>154</v>
      </c>
      <c r="C64" s="50">
        <f>(C63-C60/C16)*10000</f>
        <v>-11059.45396034025</v>
      </c>
      <c r="D64" s="50">
        <f>(D63-D60/D16)*10000</f>
        <v>-1515.9741266998574</v>
      </c>
      <c r="E64" s="50">
        <f>(E63-E60/E16)*10000</f>
        <v>-1531.178834351777</v>
      </c>
      <c r="F64" s="50">
        <f>(F63-F60/F16)*10000</f>
        <v>-5604.837450065795</v>
      </c>
      <c r="G64" s="50">
        <f>(G63-G60/G16)*10000</f>
        <v>12496.582477328135</v>
      </c>
      <c r="H64" s="51">
        <f>(H63-H60/H16)*10000</f>
        <v>10986.680416290661</v>
      </c>
      <c r="I64" s="1"/>
      <c r="J64" s="1"/>
    </row>
    <row r="65">
      <c r="A65" s="1"/>
      <c r="B65" s="19" t="s">
        <v>155</v>
      </c>
      <c r="C65" s="50">
        <f>(C63-G60/G16)*10000</f>
        <v>-922.2089771625019</v>
      </c>
      <c r="D65" s="50">
        <f>(D63-C63)*10000</f>
        <v>10607.144639668199</v>
      </c>
      <c r="E65" s="50">
        <f>(E63-D63)*10000</f>
        <v>-2375.861652507322</v>
      </c>
      <c r="F65" s="50"/>
      <c r="G65" s="50">
        <f>(G63-E63)*10000</f>
        <v>5187.508467329762</v>
      </c>
      <c r="H65" s="51">
        <f>(H63-G63)*10000</f>
        <v>-2432.111038199975</v>
      </c>
      <c r="I65" s="1"/>
      <c r="J65" s="1" t="s">
        <v>156</v>
      </c>
    </row>
    <row r="66">
      <c r="A66" s="1"/>
      <c r="B66" s="19" t="s">
        <v>157</v>
      </c>
      <c r="C66" s="3">
        <f>C54/C23</f>
        <v>0.030745091006903928</v>
      </c>
      <c r="D66" s="3">
        <f>D54/D23</f>
        <v>0.13756038306166843</v>
      </c>
      <c r="E66" s="3">
        <f>E54/E23</f>
        <v>0.06578013065294913</v>
      </c>
      <c r="F66" s="3">
        <f>F54/F23</f>
        <v>0.07315244068721032</v>
      </c>
      <c r="G66" s="3">
        <f>G54/G23</f>
        <v>0.01812328661338275</v>
      </c>
      <c r="H66" s="20">
        <f>H54/H23</f>
        <v>0.035</v>
      </c>
      <c r="I66" s="1"/>
      <c r="J66" s="1"/>
    </row>
    <row r="67">
      <c r="A67" s="1"/>
      <c r="B67" s="19" t="s">
        <v>154</v>
      </c>
      <c r="C67" s="50">
        <f>(C66-C57/C16)*10000</f>
        <v>-129.61345704436408</v>
      </c>
      <c r="D67" s="50">
        <f>(D66-D57/D16)*10000</f>
        <v>-120.68741630440083</v>
      </c>
      <c r="E67" s="50">
        <f>(E66-E57/E16)*10000</f>
        <v>-686.5716451527601</v>
      </c>
      <c r="F67" s="50">
        <f>(F66-F57/F16)*10000</f>
        <v>-370.89496568490586</v>
      </c>
      <c r="G67" s="50">
        <f>(G66-G57/G16)*10000</f>
        <v>-193.42118814350738</v>
      </c>
      <c r="H67" s="51">
        <f>(H66-H57/H16)*10000</f>
        <v>42.54908993096076</v>
      </c>
      <c r="I67" s="1"/>
      <c r="J67" s="1"/>
    </row>
    <row r="68">
      <c r="A68" s="1"/>
      <c r="B68" s="19" t="s">
        <v>155</v>
      </c>
      <c r="C68" s="50">
        <f>(C66-G57/G16)*10000</f>
        <v>-67.2031442082956</v>
      </c>
      <c r="D68" s="50">
        <f>(D66-C66)*10000</f>
        <v>1068.152920547645</v>
      </c>
      <c r="E68" s="50">
        <f>(E66-D66)*10000</f>
        <v>-717.802524087193</v>
      </c>
      <c r="F68" s="50"/>
      <c r="G68" s="50">
        <f>(G66-E66)*10000</f>
        <v>-476.5684403956638</v>
      </c>
      <c r="H68" s="51">
        <f>(H66-G66)*10000</f>
        <v>168.76713386617254</v>
      </c>
      <c r="I68" s="1"/>
      <c r="J68" s="1"/>
    </row>
    <row r="69">
      <c r="A69" s="1"/>
      <c r="B69" s="1" t="s">
        <v>158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49">
        <v>3.2</v>
      </c>
      <c r="I69" s="1"/>
      <c r="J69" s="1" t="s">
        <v>176</v>
      </c>
    </row>
    <row r="70">
      <c r="A70" s="1"/>
      <c r="B70" s="1"/>
      <c r="C70" s="1"/>
      <c r="D70" s="1"/>
      <c r="E70" s="1"/>
      <c r="F70" s="1"/>
      <c r="G70" s="1"/>
      <c r="H70" s="32"/>
      <c r="I70" s="1"/>
      <c r="J70" s="1"/>
    </row>
    <row r="71">
      <c r="A71" s="1"/>
      <c r="B71" s="16" t="s">
        <v>160</v>
      </c>
      <c r="C71" s="1"/>
      <c r="D71" s="1"/>
      <c r="E71" s="1"/>
      <c r="F71" s="1"/>
      <c r="G71" s="1"/>
      <c r="H71" s="32"/>
      <c r="I71" s="1"/>
      <c r="J71" s="1"/>
    </row>
    <row r="72">
      <c r="A72" s="1"/>
      <c r="B72" s="1" t="s">
        <v>161</v>
      </c>
      <c r="C72" s="37">
        <v>6.82</v>
      </c>
      <c r="D72" s="37">
        <v>6.762</v>
      </c>
      <c r="E72" s="37">
        <v>7.591</v>
      </c>
      <c r="F72" s="37">
        <v>28.698</v>
      </c>
      <c r="G72" s="37">
        <v>6.885</v>
      </c>
      <c r="H72" s="47">
        <f>(Guidance!G81-('Segment - Home &amp; Outdoor'!G72+'Segment - Beauty &amp; Wellness'!G72))/3*G72/('Segment - Home &amp; Outdoor'!G72+'Segment - Beauty &amp; Wellness'!G72)</f>
        <v>6.283156537340212</v>
      </c>
      <c r="I72" s="1"/>
      <c r="J72" s="1" t="s">
        <v>162</v>
      </c>
    </row>
    <row r="73">
      <c r="A73" s="1"/>
      <c r="B73" s="1" t="s">
        <v>163</v>
      </c>
      <c r="C73" s="37">
        <v>0.249</v>
      </c>
      <c r="D73" s="37">
        <v>0.211</v>
      </c>
      <c r="E73" s="37">
        <v>0.214</v>
      </c>
      <c r="F73" s="37">
        <v>0.982</v>
      </c>
      <c r="G73" s="37">
        <v>0.218</v>
      </c>
      <c r="H73" s="49">
        <v>0.2</v>
      </c>
      <c r="I73" s="1"/>
      <c r="J73" s="1"/>
    </row>
    <row r="74">
      <c r="A74" s="1"/>
      <c r="B74" s="16" t="s">
        <v>164</v>
      </c>
      <c r="C74" s="39">
        <f>C45+C72+C73+C46+C47+C48+C49+C50+C53</f>
        <v>11.414999999999978</v>
      </c>
      <c r="D74" s="39">
        <f>D45+D72+D73+D46+D47+D48+D49+D50+D53</f>
        <v>43.598</v>
      </c>
      <c r="E74" s="39">
        <f>E45+E72+E73+E46+E47+E48+E49+E50+E53</f>
        <v>21.447999999999993</v>
      </c>
      <c r="F74" s="39">
        <f>F45+F72+F73+F46+F47+F48+F49+F50+F53</f>
        <v>88.34300000000007</v>
      </c>
      <c r="G74" s="39">
        <f>G45+G72+G73+G46+G47+G48+G49+G50+G53</f>
        <v>8.076</v>
      </c>
      <c r="H74" s="41">
        <f>H45+H72+H73+H46+H47+H48+H49+H50+H53</f>
        <v>11.547292037340211</v>
      </c>
      <c r="I74" s="1"/>
      <c r="J74" s="1"/>
    </row>
    <row r="75">
      <c r="A75" s="1"/>
      <c r="B75" s="1" t="s">
        <v>165</v>
      </c>
      <c r="C75" s="37">
        <v>11.415</v>
      </c>
      <c r="D75" s="37">
        <v>43.598</v>
      </c>
      <c r="E75" s="37">
        <v>21.448</v>
      </c>
      <c r="F75" s="37">
        <v>88.343</v>
      </c>
      <c r="G75" s="37">
        <v>8.076</v>
      </c>
      <c r="H75" s="21"/>
      <c r="I75" s="1"/>
      <c r="J75" s="1"/>
    </row>
    <row r="76">
      <c r="A76" s="1"/>
      <c r="B76" s="19" t="s">
        <v>146</v>
      </c>
      <c r="C76" s="8">
        <f>ROUND(C74-C75,3)</f>
        <v>0</v>
      </c>
      <c r="D76" s="8">
        <f>ROUND(D74-D75,3)</f>
        <v>0</v>
      </c>
      <c r="E76" s="8">
        <f>ROUND(E74-E75,3)</f>
        <v>0</v>
      </c>
      <c r="F76" s="8">
        <f>ROUND(F74-F75,3)</f>
        <v>0</v>
      </c>
      <c r="G76" s="8">
        <f>ROUND(G74-G75,3)</f>
        <v>0</v>
      </c>
      <c r="H76" s="21"/>
      <c r="I76" s="1"/>
      <c r="J76" s="1"/>
    </row>
    <row r="77">
      <c r="A77" s="1"/>
      <c r="B77" s="1" t="s">
        <v>166</v>
      </c>
      <c r="C77" s="37">
        <v>14.753</v>
      </c>
      <c r="D77" s="37">
        <v>46.891</v>
      </c>
      <c r="E77" s="37">
        <v>40.315</v>
      </c>
      <c r="F77" s="37">
        <v>128.376</v>
      </c>
      <c r="G77" s="37">
        <v>11.882</v>
      </c>
      <c r="H77" s="21">
        <f>C74</f>
        <v>11.414999999999978</v>
      </c>
      <c r="I77" s="1"/>
      <c r="J77" s="1"/>
    </row>
    <row r="78">
      <c r="A78" s="1"/>
      <c r="B78" s="19" t="s">
        <v>167</v>
      </c>
      <c r="C78" s="3">
        <f>C74/C77-1</f>
        <v>-0.22625906595268908</v>
      </c>
      <c r="D78" s="3">
        <f>D74/D77-1</f>
        <v>-0.07022669595444753</v>
      </c>
      <c r="E78" s="3">
        <f>E74/E77-1</f>
        <v>-0.46798958204142393</v>
      </c>
      <c r="F78" s="3">
        <f>F74/F77-1</f>
        <v>-0.31184177727924167</v>
      </c>
      <c r="G78" s="3">
        <f>G74/G77-1</f>
        <v>-0.320316445042922</v>
      </c>
      <c r="H78" s="20">
        <f>H74/H77-1</f>
        <v>0.011589315579521253</v>
      </c>
      <c r="I78" s="1"/>
      <c r="J78" s="1"/>
    </row>
    <row r="79">
      <c r="A79" s="1"/>
      <c r="B79" s="1" t="s">
        <v>168</v>
      </c>
      <c r="C79" s="8">
        <f>C74-G77</f>
        <v>-0.46700000000002184</v>
      </c>
      <c r="D79" s="8">
        <f>D74-C74</f>
        <v>32.18300000000002</v>
      </c>
      <c r="E79" s="8">
        <f>E74-D74</f>
        <v>-22.150000000000006</v>
      </c>
      <c r="F79" s="8"/>
      <c r="G79" s="8">
        <f>G74-E74</f>
        <v>-13.371999999999993</v>
      </c>
      <c r="H79" s="21">
        <f>H74-G74</f>
        <v>3.471292037340211</v>
      </c>
      <c r="I79" s="1"/>
      <c r="J79" s="1"/>
    </row>
    <row r="80">
      <c r="A80" s="1"/>
      <c r="B80" s="19" t="s">
        <v>169</v>
      </c>
      <c r="C80" s="3">
        <f>C74/C23</f>
        <v>0.05117457186407235</v>
      </c>
      <c r="D80" s="3">
        <f>D74/D23</f>
        <v>0.15395208904206334</v>
      </c>
      <c r="E80" s="3">
        <f>E74/E23</f>
        <v>0.08460883011960738</v>
      </c>
      <c r="F80" s="3">
        <f>F74/F23</f>
        <v>0.09265905896666744</v>
      </c>
      <c r="G80" s="3">
        <f>G74/G23</f>
        <v>0.038978338932005106</v>
      </c>
      <c r="H80" s="20">
        <f>H74/H23</f>
        <v>0.05151009962890744</v>
      </c>
      <c r="I80" s="1"/>
      <c r="J80" s="1"/>
    </row>
    <row r="81">
      <c r="A81" s="1"/>
      <c r="B81" s="19" t="s">
        <v>154</v>
      </c>
      <c r="C81" s="50">
        <f>(C80-C77/C16)*10000</f>
        <v>-123.40111036085656</v>
      </c>
      <c r="D81" s="50">
        <f>(D80-D77/D16)*10000</f>
        <v>-108.1071590668875</v>
      </c>
      <c r="E81" s="50">
        <f>(E80-E77/E16)*10000</f>
        <v>-669.1030755741236</v>
      </c>
      <c r="F81" s="50">
        <f>(F80-F77/F16)*10000</f>
        <v>-355.4591559726429</v>
      </c>
      <c r="G81" s="50">
        <f>(G80-G77/G16)*10000</f>
        <v>-223.7281146660698</v>
      </c>
      <c r="H81" s="51">
        <f>(H80-H77/H16)*10000</f>
        <v>3.355277648350863</v>
      </c>
      <c r="I81" s="1"/>
      <c r="J81" s="1"/>
    </row>
    <row r="82">
      <c r="A82" s="1"/>
      <c r="B82" s="19" t="s">
        <v>155</v>
      </c>
      <c r="C82" s="50">
        <f>(C80-G77/G16)*10000</f>
        <v>-101.76578534539738</v>
      </c>
      <c r="D82" s="50">
        <f>(D80-C80)*10000</f>
        <v>1027.77517177991</v>
      </c>
      <c r="E82" s="50">
        <f>(E80-D80)*10000</f>
        <v>-693.4325892245596</v>
      </c>
      <c r="F82" s="50"/>
      <c r="G82" s="50">
        <f>(G80-E80)*10000</f>
        <v>-456.3049118760227</v>
      </c>
      <c r="H82" s="51">
        <f>(H80-G80)*10000</f>
        <v>125.3176069690233</v>
      </c>
      <c r="I82" s="1"/>
      <c r="J82" s="1"/>
    </row>
    <row r="83">
      <c r="A83" s="1"/>
      <c r="B83" s="1"/>
      <c r="C83" s="1"/>
      <c r="D83" s="1"/>
      <c r="E83" s="1"/>
      <c r="F83" s="1"/>
      <c r="G83" s="1"/>
      <c r="H83" s="32"/>
      <c r="I83" s="1"/>
      <c r="J83" s="1"/>
    </row>
    <row r="84">
      <c r="A84" s="1"/>
      <c r="B84" s="16" t="s">
        <v>170</v>
      </c>
      <c r="C84" s="1"/>
      <c r="D84" s="1"/>
      <c r="E84" s="1"/>
      <c r="F84" s="1"/>
      <c r="G84" s="1"/>
      <c r="H84" s="32"/>
      <c r="I84" s="1"/>
      <c r="J84" s="1"/>
    </row>
    <row r="85">
      <c r="A85" s="1"/>
      <c r="B85" s="19" t="s">
        <v>85</v>
      </c>
      <c r="C85" s="8"/>
      <c r="D85" s="8"/>
      <c r="E85" s="8"/>
      <c r="F85" s="6">
        <f>ROUND(F23-(Inputs!C138+C23+D23+E23),3)</f>
        <v>0</v>
      </c>
      <c r="G85" s="8"/>
      <c r="H85" s="21"/>
      <c r="I85" s="1"/>
      <c r="J85" s="1"/>
    </row>
    <row r="86">
      <c r="A86" s="1"/>
      <c r="B86" s="1"/>
      <c r="C86" s="1"/>
      <c r="D86" s="1"/>
      <c r="E86" s="1"/>
      <c r="F86" s="1"/>
      <c r="G86" s="1"/>
      <c r="H86" s="32"/>
      <c r="I86" s="1"/>
      <c r="J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J16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177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18" t="s">
        <v>4</v>
      </c>
      <c r="I5" s="1"/>
      <c r="J5" s="16" t="s">
        <v>36</v>
      </c>
    </row>
    <row r="6">
      <c r="A6" s="1"/>
      <c r="B6" s="14" t="s">
        <v>5</v>
      </c>
      <c r="C6" s="25">
        <v>45900</v>
      </c>
      <c r="D6" s="25">
        <v>45991</v>
      </c>
      <c r="E6" s="25">
        <v>46081</v>
      </c>
      <c r="F6" s="25">
        <v>46081</v>
      </c>
      <c r="G6" s="25">
        <v>46173</v>
      </c>
      <c r="H6" s="40">
        <v>46265</v>
      </c>
      <c r="I6" s="1"/>
      <c r="J6" s="1"/>
    </row>
    <row r="7">
      <c r="A7" s="1"/>
      <c r="B7" s="33" t="s">
        <v>6</v>
      </c>
      <c r="C7" s="17">
        <v>92</v>
      </c>
      <c r="D7" s="17">
        <v>91</v>
      </c>
      <c r="E7" s="17">
        <v>90</v>
      </c>
      <c r="F7" s="17">
        <v>365</v>
      </c>
      <c r="G7" s="17">
        <v>92</v>
      </c>
      <c r="H7" s="10">
        <v>92</v>
      </c>
      <c r="I7" s="1"/>
      <c r="J7" s="1"/>
    </row>
    <row r="8">
      <c r="A8" s="1"/>
      <c r="B8" s="1"/>
      <c r="C8" s="1"/>
      <c r="D8" s="1"/>
      <c r="E8" s="1"/>
      <c r="F8" s="1"/>
      <c r="G8" s="1"/>
      <c r="H8" s="32"/>
      <c r="I8" s="1"/>
      <c r="J8" s="1"/>
    </row>
    <row r="9">
      <c r="A9" s="1"/>
      <c r="B9" s="16" t="s">
        <v>178</v>
      </c>
      <c r="C9" s="1"/>
      <c r="D9" s="1"/>
      <c r="E9" s="1"/>
      <c r="F9" s="1"/>
      <c r="G9" s="1"/>
      <c r="H9" s="32"/>
      <c r="I9" s="1"/>
      <c r="J9" s="1"/>
    </row>
    <row r="10">
      <c r="A10" s="1"/>
      <c r="B10" s="16" t="s">
        <v>179</v>
      </c>
      <c r="C10" s="43">
        <f>'Revenue summary'!C36</f>
        <v>431.78099999999995</v>
      </c>
      <c r="D10" s="43">
        <f>'Revenue summary'!D36</f>
        <v>512.8290000000001</v>
      </c>
      <c r="E10" s="43">
        <f>'Revenue summary'!E36</f>
        <v>470.025</v>
      </c>
      <c r="F10" s="43">
        <f>'Revenue summary'!F36</f>
        <v>1786.29</v>
      </c>
      <c r="G10" s="43">
        <f>'Revenue summary'!G36</f>
        <v>402.115</v>
      </c>
      <c r="H10" s="46">
        <f>'Revenue summary'!H36</f>
        <v>442.28874499999995</v>
      </c>
      <c r="I10" s="1"/>
      <c r="J10" s="1"/>
    </row>
    <row r="11">
      <c r="A11" s="1"/>
      <c r="B11" s="1" t="s">
        <v>65</v>
      </c>
      <c r="C11" s="6">
        <f>'Revenue summary'!C37</f>
        <v>474.221</v>
      </c>
      <c r="D11" s="6">
        <f>'Revenue summary'!D37</f>
        <v>530.706</v>
      </c>
      <c r="E11" s="6">
        <f>'Revenue summary'!E37</f>
        <v>485.89099999999996</v>
      </c>
      <c r="F11" s="6">
        <f>'Revenue summary'!F37</f>
        <v>1907.665</v>
      </c>
      <c r="G11" s="6">
        <f>'Revenue summary'!G37</f>
        <v>371.655</v>
      </c>
      <c r="H11" s="47">
        <f>'Revenue summary'!H37</f>
        <v>431.78099999999995</v>
      </c>
      <c r="I11" s="1"/>
      <c r="J11" s="1"/>
    </row>
    <row r="12">
      <c r="A12" s="1"/>
      <c r="B12" s="19" t="s">
        <v>66</v>
      </c>
      <c r="C12" s="3">
        <f>C10/C11-1</f>
        <v>-0.08949413880869905</v>
      </c>
      <c r="D12" s="3">
        <f>D10/D11-1</f>
        <v>-0.033685317294321004</v>
      </c>
      <c r="E12" s="3">
        <f>E10/E11-1</f>
        <v>-0.032653414037304596</v>
      </c>
      <c r="F12" s="3">
        <f>F10/F11-1</f>
        <v>-0.06362490269517973</v>
      </c>
      <c r="G12" s="3">
        <f>G10/G11-1</f>
        <v>0.08195772961483105</v>
      </c>
      <c r="H12" s="20">
        <f>H10/H11-1</f>
        <v>0.024335820705403854</v>
      </c>
      <c r="I12" s="1"/>
      <c r="J12" s="1"/>
    </row>
    <row r="13">
      <c r="A13" s="1"/>
      <c r="B13" s="19" t="s">
        <v>67</v>
      </c>
      <c r="C13" s="45">
        <f>'Revenue summary'!C39</f>
        <v>0.16177906929813934</v>
      </c>
      <c r="D13" s="45">
        <f>'Revenue summary'!D39</f>
        <v>0.18770626776074018</v>
      </c>
      <c r="E13" s="45">
        <f>'Revenue summary'!E39</f>
        <v>-0.08346641863077187</v>
      </c>
      <c r="F13" s="3"/>
      <c r="G13" s="45">
        <f>'Revenue summary'!G39</f>
        <v>-0.14448167650656873</v>
      </c>
      <c r="H13" s="48">
        <f>'Revenue summary'!H39</f>
        <v>0.09990610894893237</v>
      </c>
      <c r="I13" s="1"/>
      <c r="J13" s="1"/>
    </row>
    <row r="14">
      <c r="A14" s="1"/>
      <c r="B14" s="1" t="s">
        <v>180</v>
      </c>
      <c r="C14" s="37">
        <v>241.1</v>
      </c>
      <c r="D14" s="37">
        <v>272.485</v>
      </c>
      <c r="E14" s="37">
        <v>260.367</v>
      </c>
      <c r="F14" s="37">
        <v>970.596</v>
      </c>
      <c r="G14" s="37">
        <v>217.26</v>
      </c>
      <c r="H14" s="21">
        <f>H10-H17</f>
        <v>243.25880974999995</v>
      </c>
      <c r="I14" s="1"/>
      <c r="J14" s="1"/>
    </row>
    <row r="15">
      <c r="A15" s="1"/>
      <c r="B15" s="19" t="s">
        <v>181</v>
      </c>
      <c r="C15" s="3">
        <f>C14/(C11-C18)-1</f>
        <v>-0.06605048982959594</v>
      </c>
      <c r="D15" s="3">
        <f>D14/(D11-D18)-1</f>
        <v>0.004079181068472604</v>
      </c>
      <c r="E15" s="3">
        <f>E14/(E11-E18)-1</f>
        <v>0.04162632720173498</v>
      </c>
      <c r="F15" s="3">
        <f>F14/(F11-F18)-1</f>
        <v>-0.022816808103425235</v>
      </c>
      <c r="G15" s="3">
        <f>G14/(G11-G18)-1</f>
        <v>0.10483920180631001</v>
      </c>
      <c r="H15" s="20">
        <f>H14/(H11-H18)-1</f>
        <v>0.008954001451679572</v>
      </c>
      <c r="I15" s="1"/>
      <c r="J15" s="1"/>
    </row>
    <row r="16">
      <c r="A16" s="1"/>
      <c r="B16" s="1" t="s">
        <v>182</v>
      </c>
      <c r="C16" s="8">
        <f>C14-(G11-G18)</f>
        <v>44.45600000000002</v>
      </c>
      <c r="D16" s="8">
        <f>D14-C14</f>
        <v>31.38500000000002</v>
      </c>
      <c r="E16" s="8">
        <f>E14-D14</f>
        <v>-12.117999999999995</v>
      </c>
      <c r="F16" s="8"/>
      <c r="G16" s="8">
        <f>G14-E14</f>
        <v>-43.10700000000003</v>
      </c>
      <c r="H16" s="21">
        <f>H14-G14</f>
        <v>25.998809749999964</v>
      </c>
      <c r="I16" s="1"/>
      <c r="J16" s="1"/>
    </row>
    <row r="17">
      <c r="A17" s="1"/>
      <c r="B17" s="16" t="s">
        <v>183</v>
      </c>
      <c r="C17" s="39">
        <f>C10-C14</f>
        <v>190.68099999999995</v>
      </c>
      <c r="D17" s="39">
        <f>D10-D14</f>
        <v>240.34400000000005</v>
      </c>
      <c r="E17" s="39">
        <f>E10-E14</f>
        <v>209.65799999999996</v>
      </c>
      <c r="F17" s="39">
        <f>F10-F14</f>
        <v>815.694</v>
      </c>
      <c r="G17" s="39">
        <f>G10-G14</f>
        <v>184.85500000000002</v>
      </c>
      <c r="H17" s="41">
        <f>H10*H160</f>
        <v>199.02993525</v>
      </c>
      <c r="I17" s="1"/>
      <c r="J17" s="1"/>
    </row>
    <row r="18">
      <c r="A18" s="1"/>
      <c r="B18" s="1" t="s">
        <v>184</v>
      </c>
      <c r="C18" s="37">
        <v>216.07</v>
      </c>
      <c r="D18" s="37">
        <v>259.328</v>
      </c>
      <c r="E18" s="37">
        <v>235.929</v>
      </c>
      <c r="F18" s="37">
        <v>914.406</v>
      </c>
      <c r="G18" s="6">
        <f>Inputs!C142</f>
        <v>175.011</v>
      </c>
      <c r="H18" s="21">
        <f>C17</f>
        <v>190.68099999999995</v>
      </c>
      <c r="I18" s="1"/>
      <c r="J18" s="1"/>
    </row>
    <row r="19">
      <c r="A19" s="1"/>
      <c r="B19" s="19" t="s">
        <v>185</v>
      </c>
      <c r="C19" s="3">
        <f>C17/C18-1</f>
        <v>-0.11750358680057404</v>
      </c>
      <c r="D19" s="3">
        <f>D17/D18-1</f>
        <v>-0.07320459032576476</v>
      </c>
      <c r="E19" s="3">
        <f>E17/E18-1</f>
        <v>-0.1113512963645844</v>
      </c>
      <c r="F19" s="3">
        <f>F17/F18-1</f>
        <v>-0.10795204755874299</v>
      </c>
      <c r="G19" s="3">
        <f>G17/G18-1</f>
        <v>0.05624789298958355</v>
      </c>
      <c r="H19" s="20">
        <f>H17/H18-1</f>
        <v>0.04378483042358727</v>
      </c>
      <c r="I19" s="1"/>
      <c r="J19" s="1"/>
    </row>
    <row r="20">
      <c r="A20" s="1"/>
      <c r="B20" s="1" t="s">
        <v>186</v>
      </c>
      <c r="C20" s="6">
        <f>C17-(Inputs!C142)</f>
        <v>15.669999999999959</v>
      </c>
      <c r="D20" s="8">
        <f>D17-C17</f>
        <v>49.663000000000096</v>
      </c>
      <c r="E20" s="8">
        <f>E17-D17</f>
        <v>-30.686000000000092</v>
      </c>
      <c r="F20" s="8"/>
      <c r="G20" s="8">
        <f>G17-E17</f>
        <v>-24.80299999999994</v>
      </c>
      <c r="H20" s="21">
        <f>H17-G17</f>
        <v>14.174935249999976</v>
      </c>
      <c r="I20" s="1"/>
      <c r="J20" s="1"/>
    </row>
    <row r="21">
      <c r="A21" s="1"/>
      <c r="B21" s="19" t="s">
        <v>187</v>
      </c>
      <c r="C21" s="3">
        <f>C17/C10</f>
        <v>0.4416150780140858</v>
      </c>
      <c r="D21" s="3">
        <f>D17/D10</f>
        <v>0.46866304362662803</v>
      </c>
      <c r="E21" s="3">
        <f>E17/E10</f>
        <v>0.44605712462103075</v>
      </c>
      <c r="F21" s="3">
        <f>F17/F10</f>
        <v>0.45664141880657677</v>
      </c>
      <c r="G21" s="3">
        <f>G17/G10</f>
        <v>0.4597068002934484</v>
      </c>
      <c r="H21" s="20">
        <f>H17/H10</f>
        <v>0.45</v>
      </c>
      <c r="I21" s="1"/>
      <c r="J21" s="1"/>
    </row>
    <row r="22">
      <c r="A22" s="1"/>
      <c r="B22" s="19" t="s">
        <v>154</v>
      </c>
      <c r="C22" s="50">
        <f>(C21-C18/C11)*10000</f>
        <v>-140.16368083830554</v>
      </c>
      <c r="D22" s="50">
        <f>(D21-D18/D11)*10000</f>
        <v>-199.84154633802376</v>
      </c>
      <c r="E22" s="50">
        <f>(E21-E18/E11)*10000</f>
        <v>-395.0239387179999</v>
      </c>
      <c r="F22" s="50">
        <f>(F21-F18/F11)*10000</f>
        <v>-226.91168413925766</v>
      </c>
      <c r="G22" s="50">
        <f>(G21-G18/G11)*10000</f>
        <v>-111.89595557542454</v>
      </c>
      <c r="H22" s="51">
        <f>(H21-H18/H11)*10000</f>
        <v>83.8492198591423</v>
      </c>
      <c r="I22" s="1"/>
      <c r="J22" s="1"/>
    </row>
    <row r="23">
      <c r="A23" s="1"/>
      <c r="B23" s="19" t="s">
        <v>155</v>
      </c>
      <c r="C23" s="50">
        <f>(C21-(G18/G11))*10000</f>
        <v>-292.8131783690507</v>
      </c>
      <c r="D23" s="50">
        <f>(D21-C21)*10000</f>
        <v>270.4796561254225</v>
      </c>
      <c r="E23" s="50">
        <f>(E21-D21)*10000</f>
        <v>-226.05919005597275</v>
      </c>
      <c r="F23" s="50"/>
      <c r="G23" s="50">
        <f>(G21-E21)*10000</f>
        <v>136.4967567241765</v>
      </c>
      <c r="H23" s="51">
        <f>(H21-G21)*10000</f>
        <v>-97.06800293448393</v>
      </c>
      <c r="I23" s="1"/>
      <c r="J23" s="1"/>
    </row>
    <row r="24">
      <c r="A24" s="1"/>
      <c r="B24" s="1" t="s">
        <v>188</v>
      </c>
      <c r="C24" s="37">
        <v>176.999</v>
      </c>
      <c r="D24" s="37">
        <v>182.808</v>
      </c>
      <c r="E24" s="37">
        <v>181.438</v>
      </c>
      <c r="F24" s="37">
        <v>708.909</v>
      </c>
      <c r="G24" s="37">
        <v>124.506</v>
      </c>
      <c r="H24" s="21">
        <f>H17-H33-H31-H32</f>
        <v>180.139022475</v>
      </c>
      <c r="I24" s="1"/>
      <c r="J24" s="1" t="s">
        <v>189</v>
      </c>
    </row>
    <row r="25">
      <c r="A25" s="1"/>
      <c r="B25" s="1" t="s">
        <v>190</v>
      </c>
      <c r="C25" s="37">
        <v>179.692</v>
      </c>
      <c r="D25" s="37">
        <v>180.692</v>
      </c>
      <c r="E25" s="37">
        <v>174.516</v>
      </c>
      <c r="F25" s="37">
        <v>705.381</v>
      </c>
      <c r="G25" s="37">
        <v>167.664</v>
      </c>
      <c r="H25" s="21">
        <f>C24</f>
        <v>176.999</v>
      </c>
      <c r="I25" s="1"/>
      <c r="J25" s="1"/>
    </row>
    <row r="26">
      <c r="A26" s="1"/>
      <c r="B26" s="19" t="s">
        <v>191</v>
      </c>
      <c r="C26" s="3">
        <f>C24/C10</f>
        <v>0.40992771798666455</v>
      </c>
      <c r="D26" s="3">
        <f>D24/D10</f>
        <v>0.35646970042645787</v>
      </c>
      <c r="E26" s="3">
        <f>E24/E10</f>
        <v>0.38601776501249935</v>
      </c>
      <c r="F26" s="3">
        <f>F24/F10</f>
        <v>0.39686109198394437</v>
      </c>
      <c r="G26" s="3">
        <f>G24/G10</f>
        <v>0.3096278427812939</v>
      </c>
      <c r="H26" s="20">
        <f>H24/H10</f>
        <v>0.4072882805891884</v>
      </c>
      <c r="I26" s="1"/>
      <c r="J26" s="1"/>
    </row>
    <row r="27">
      <c r="A27" s="1"/>
      <c r="B27" s="19" t="s">
        <v>154</v>
      </c>
      <c r="C27" s="50">
        <f>(C26-C25/C11)*10000</f>
        <v>310.07341200313897</v>
      </c>
      <c r="D27" s="50">
        <f>(D26-D25/D11)*10000</f>
        <v>159.94936621262502</v>
      </c>
      <c r="E27" s="50">
        <f>(E26-E25/E11)*10000</f>
        <v>268.50791349681936</v>
      </c>
      <c r="F27" s="50">
        <f>(F26-F25/F11)*10000</f>
        <v>270.9962967268953</v>
      </c>
      <c r="G27" s="50">
        <f>(G26-G25/G11)*10000</f>
        <v>-1415.0021953456355</v>
      </c>
      <c r="H27" s="51">
        <f>(H26-H25/H11)*10000</f>
        <v>-26.394373974761297</v>
      </c>
      <c r="I27" s="1"/>
      <c r="J27" s="1"/>
    </row>
    <row r="28">
      <c r="A28" s="1"/>
      <c r="B28" s="19" t="s">
        <v>155</v>
      </c>
      <c r="C28" s="50">
        <f>(C26-(G25/G11))*10000</f>
        <v>-412.00344329192893</v>
      </c>
      <c r="D28" s="50">
        <f>(D26-C26)*10000</f>
        <v>-534.5801756020668</v>
      </c>
      <c r="E28" s="50">
        <f>(E26-D26)*10000</f>
        <v>295.48064586041477</v>
      </c>
      <c r="F28" s="50"/>
      <c r="G28" s="50">
        <f>(G26-E26)*10000</f>
        <v>-763.8992223120545</v>
      </c>
      <c r="H28" s="51">
        <f>(H26-G26)*10000</f>
        <v>976.6043780789452</v>
      </c>
      <c r="I28" s="1"/>
      <c r="J28" s="1"/>
    </row>
    <row r="29">
      <c r="A29" s="1"/>
      <c r="B29" s="19" t="s">
        <v>192</v>
      </c>
      <c r="C29" s="3">
        <f>C24/C25-1</f>
        <v>-0.014986755114306805</v>
      </c>
      <c r="D29" s="3">
        <f>D24/D25-1</f>
        <v>0.011710535054125115</v>
      </c>
      <c r="E29" s="3">
        <f>E24/E25-1</f>
        <v>0.03966398496412937</v>
      </c>
      <c r="F29" s="3">
        <f>F24/F25-1</f>
        <v>0.005001552352558392</v>
      </c>
      <c r="G29" s="3">
        <f>G24/G25-1</f>
        <v>-0.2574076724878328</v>
      </c>
      <c r="H29" s="20">
        <f>H24/H25-1</f>
        <v>0.017740340199662086</v>
      </c>
      <c r="I29" s="1"/>
      <c r="J29" s="1"/>
    </row>
    <row r="30">
      <c r="A30" s="1"/>
      <c r="B30" s="1" t="s">
        <v>193</v>
      </c>
      <c r="C30" s="8">
        <f>C24-(G25)</f>
        <v>9.335000000000008</v>
      </c>
      <c r="D30" s="8">
        <f>D24-C24</f>
        <v>5.8089999999999975</v>
      </c>
      <c r="E30" s="8">
        <f>E24-D24</f>
        <v>-1.3700000000000045</v>
      </c>
      <c r="F30" s="8"/>
      <c r="G30" s="8">
        <f>G24-E24</f>
        <v>-56.93199999999999</v>
      </c>
      <c r="H30" s="21">
        <f>H24-G24</f>
        <v>55.63302247499999</v>
      </c>
      <c r="I30" s="1"/>
      <c r="J30" s="1"/>
    </row>
    <row r="31">
      <c r="A31" s="1"/>
      <c r="B31" s="1" t="s">
        <v>194</v>
      </c>
      <c r="C31" s="6">
        <f>'Segment - Home &amp; Outdoor'!C46+'Segment - Beauty &amp; Wellness'!C46</f>
        <v>326.394</v>
      </c>
      <c r="D31" s="6">
        <f>'Segment - Home &amp; Outdoor'!D46+'Segment - Beauty &amp; Wellness'!D46</f>
        <v>65.906</v>
      </c>
      <c r="E31" s="6">
        <f>'Segment - Home &amp; Outdoor'!E46+'Segment - Beauty &amp; Wellness'!E46</f>
        <v>79.17599999999999</v>
      </c>
      <c r="F31" s="6">
        <f>'Segment - Home &amp; Outdoor'!F46+'Segment - Beauty &amp; Wellness'!F46</f>
        <v>885.8610000000001</v>
      </c>
      <c r="G31" s="6">
        <f>'Segment - Home &amp; Outdoor'!G46+'Segment - Beauty &amp; Wellness'!G46</f>
        <v>0</v>
      </c>
      <c r="H31" s="47">
        <f>'Segment - Home &amp; Outdoor'!H46+'Segment - Beauty &amp; Wellness'!H46</f>
        <v>0</v>
      </c>
      <c r="I31" s="1"/>
      <c r="J31" s="1" t="s">
        <v>195</v>
      </c>
    </row>
    <row r="32">
      <c r="A32" s="1"/>
      <c r="B32" s="1" t="s">
        <v>196</v>
      </c>
      <c r="C32" s="6">
        <f>'Segment - Home &amp; Outdoor'!C47+'Segment - Beauty &amp; Wellness'!C47</f>
        <v>3.005</v>
      </c>
      <c r="D32" s="6">
        <f>'Segment - Home &amp; Outdoor'!D47+'Segment - Beauty &amp; Wellness'!D47</f>
        <v>0</v>
      </c>
      <c r="E32" s="6">
        <f>'Segment - Home &amp; Outdoor'!E47+'Segment - Beauty &amp; Wellness'!E47</f>
        <v>0</v>
      </c>
      <c r="F32" s="6">
        <f>'Segment - Home &amp; Outdoor'!F47+'Segment - Beauty &amp; Wellness'!F47</f>
        <v>3.005</v>
      </c>
      <c r="G32" s="6">
        <f>'Segment - Home &amp; Outdoor'!G47+'Segment - Beauty &amp; Wellness'!G47</f>
        <v>0</v>
      </c>
      <c r="H32" s="47">
        <f>'Segment - Home &amp; Outdoor'!H47+'Segment - Beauty &amp; Wellness'!H47</f>
        <v>0</v>
      </c>
      <c r="I32" s="1"/>
      <c r="J32" s="1" t="s">
        <v>195</v>
      </c>
    </row>
    <row r="33">
      <c r="A33" s="1"/>
      <c r="B33" s="16" t="s">
        <v>197</v>
      </c>
      <c r="C33" s="39">
        <f>C17-C24-C31-C32</f>
        <v>-315.71700000000004</v>
      </c>
      <c r="D33" s="39">
        <f>D17-D24-D31-D32</f>
        <v>-8.369999999999948</v>
      </c>
      <c r="E33" s="39">
        <f>E17-E24-E31-E32</f>
        <v>-50.95600000000002</v>
      </c>
      <c r="F33" s="39">
        <f>F17-F24-F31-F32</f>
        <v>-782.0810000000001</v>
      </c>
      <c r="G33" s="39">
        <f>G17-G24-G31-G32</f>
        <v>60.34900000000002</v>
      </c>
      <c r="H33" s="46">
        <f>'Segment - Home &amp; Outdoor'!H45+'Segment - Beauty &amp; Wellness'!H45</f>
        <v>18.890912774999997</v>
      </c>
      <c r="I33" s="1"/>
      <c r="J33" s="1" t="s">
        <v>198</v>
      </c>
    </row>
    <row r="34">
      <c r="A34" s="1"/>
      <c r="B34" s="19" t="s">
        <v>199</v>
      </c>
      <c r="C34" s="6">
        <f>ROUND('Segment - Home &amp; Outdoor'!C45+'Segment - Beauty &amp; Wellness'!C45-C33,3)</f>
        <v>0</v>
      </c>
      <c r="D34" s="6">
        <f>ROUND('Segment - Home &amp; Outdoor'!D45+'Segment - Beauty &amp; Wellness'!D45-D33,3)</f>
        <v>0</v>
      </c>
      <c r="E34" s="6">
        <f>ROUND('Segment - Home &amp; Outdoor'!E45+'Segment - Beauty &amp; Wellness'!E45-E33,3)</f>
        <v>0</v>
      </c>
      <c r="F34" s="6">
        <f>ROUND('Segment - Home &amp; Outdoor'!F45+'Segment - Beauty &amp; Wellness'!F45-F33,3)</f>
        <v>0</v>
      </c>
      <c r="G34" s="6">
        <f>ROUND('Segment - Home &amp; Outdoor'!G45+'Segment - Beauty &amp; Wellness'!G45-G33,3)</f>
        <v>0</v>
      </c>
      <c r="H34" s="47">
        <f>ROUND('Segment - Home &amp; Outdoor'!H45+'Segment - Beauty &amp; Wellness'!H45-H33,3)</f>
        <v>0</v>
      </c>
      <c r="I34" s="1"/>
      <c r="J34" s="1" t="s">
        <v>200</v>
      </c>
    </row>
    <row r="35">
      <c r="A35" s="1"/>
      <c r="B35" s="1" t="s">
        <v>201</v>
      </c>
      <c r="C35" s="37">
        <v>34.852</v>
      </c>
      <c r="D35" s="37">
        <v>75.118</v>
      </c>
      <c r="E35" s="37">
        <v>2.015</v>
      </c>
      <c r="F35" s="37">
        <v>142.748</v>
      </c>
      <c r="G35" s="6">
        <f>Inputs!C143</f>
        <v>-407.038</v>
      </c>
      <c r="H35" s="21">
        <f>C33</f>
        <v>-315.71700000000004</v>
      </c>
      <c r="I35" s="1"/>
      <c r="J35" s="1"/>
    </row>
    <row r="36">
      <c r="A36" s="1"/>
      <c r="B36" s="1" t="s">
        <v>202</v>
      </c>
      <c r="C36" s="8">
        <f>C33-C35</f>
        <v>-350.569</v>
      </c>
      <c r="D36" s="8">
        <f>D33-D35</f>
        <v>-83.48799999999994</v>
      </c>
      <c r="E36" s="8">
        <f>E33-E35</f>
        <v>-52.97100000000002</v>
      </c>
      <c r="F36" s="8">
        <f>F33-F35</f>
        <v>-924.8290000000002</v>
      </c>
      <c r="G36" s="8">
        <f>G33-G35</f>
        <v>467.38700000000006</v>
      </c>
      <c r="H36" s="21">
        <f>H33-H35</f>
        <v>334.60791277500005</v>
      </c>
      <c r="I36" s="1"/>
      <c r="J36" s="1"/>
    </row>
    <row r="37">
      <c r="A37" s="1"/>
      <c r="B37" s="19" t="s">
        <v>203</v>
      </c>
      <c r="C37" s="3" t="str">
        <f>IF(OR(C35&lt;=0,C33&lt;0),"n.m.",C33/C35-1)</f>
        <v>n.m.</v>
      </c>
      <c r="D37" s="3" t="str">
        <f>IF(OR(D35&lt;=0,D33&lt;0),"n.m.",D33/D35-1)</f>
        <v>n.m.</v>
      </c>
      <c r="E37" s="3" t="str">
        <f>IF(OR(E35&lt;=0,E33&lt;0),"n.m.",E33/E35-1)</f>
        <v>n.m.</v>
      </c>
      <c r="F37" s="3" t="str">
        <f>IF(OR(F35&lt;=0,F33&lt;0),"n.m.",F33/F35-1)</f>
        <v>n.m.</v>
      </c>
      <c r="G37" s="3" t="str">
        <f>IF(OR(G35&lt;=0,G33&lt;0),"n.m.",G33/G35-1)</f>
        <v>n.m.</v>
      </c>
      <c r="H37" s="20" t="str">
        <f>IF(OR(H35&lt;=0,H33&lt;0),"n.m.",H33/H35-1)</f>
        <v>n.m.</v>
      </c>
      <c r="I37" s="1"/>
      <c r="J37" s="1" t="s">
        <v>204</v>
      </c>
    </row>
    <row r="38">
      <c r="A38" s="1"/>
      <c r="B38" s="1" t="s">
        <v>205</v>
      </c>
      <c r="C38" s="6">
        <f>C33-(Inputs!C143)</f>
        <v>91.32099999999997</v>
      </c>
      <c r="D38" s="8">
        <f>D33-C33</f>
        <v>307.3470000000001</v>
      </c>
      <c r="E38" s="8">
        <f>E33-D33</f>
        <v>-42.58600000000007</v>
      </c>
      <c r="F38" s="8"/>
      <c r="G38" s="8">
        <f>G33-E33</f>
        <v>111.30500000000004</v>
      </c>
      <c r="H38" s="21">
        <f>H33-G33</f>
        <v>-41.45808722500002</v>
      </c>
      <c r="I38" s="1"/>
      <c r="J38" s="1"/>
    </row>
    <row r="39">
      <c r="A39" s="1"/>
      <c r="B39" s="19" t="s">
        <v>206</v>
      </c>
      <c r="C39" s="3">
        <f>C33/C10</f>
        <v>-0.7311970651788756</v>
      </c>
      <c r="D39" s="3">
        <f>D33/D10</f>
        <v>-0.016321229883645323</v>
      </c>
      <c r="E39" s="3">
        <f>E33/E10</f>
        <v>-0.10841125472049364</v>
      </c>
      <c r="F39" s="3">
        <f>F33/F10</f>
        <v>-0.4378242054761546</v>
      </c>
      <c r="G39" s="3">
        <f>G33/G10</f>
        <v>0.15007895751215453</v>
      </c>
      <c r="H39" s="20">
        <f>H33/H10</f>
        <v>0.042711719410811595</v>
      </c>
      <c r="I39" s="1"/>
      <c r="J39" s="1"/>
    </row>
    <row r="40">
      <c r="A40" s="1"/>
      <c r="B40" s="19" t="s">
        <v>154</v>
      </c>
      <c r="C40" s="50">
        <f>(C39-C35/C11)*10000</f>
        <v>-8046.902255408166</v>
      </c>
      <c r="D40" s="50">
        <f>(D39-D35/D11)*10000</f>
        <v>-1578.6475869243964</v>
      </c>
      <c r="E40" s="50">
        <f>(E39-E35/E11)*10000</f>
        <v>-1125.582753485769</v>
      </c>
      <c r="F40" s="50">
        <f>(F39-F35/F11)*10000</f>
        <v>-5126.528572572587</v>
      </c>
      <c r="G40" s="50">
        <f>(G39-G35/G11)*10000</f>
        <v>12452.828428359093</v>
      </c>
      <c r="H40" s="51">
        <f>(H39-H35/H11)*10000</f>
        <v>7739.087845896873</v>
      </c>
      <c r="I40" s="1"/>
      <c r="J40" s="1"/>
    </row>
    <row r="41">
      <c r="A41" s="1"/>
      <c r="B41" s="19" t="s">
        <v>155</v>
      </c>
      <c r="C41" s="50">
        <f>(C39-(G35/G11))*10000</f>
        <v>3640.0682014487907</v>
      </c>
      <c r="D41" s="50">
        <f>(D39-C39)*10000</f>
        <v>7148.758352952303</v>
      </c>
      <c r="E41" s="50">
        <f>(E39-D39)*10000</f>
        <v>-920.9002483684831</v>
      </c>
      <c r="F41" s="50"/>
      <c r="G41" s="50">
        <f>(G39-E39)*10000</f>
        <v>2584.9021223264817</v>
      </c>
      <c r="H41" s="51">
        <f>(H39-G39)*10000</f>
        <v>-1073.6723810134295</v>
      </c>
      <c r="I41" s="1"/>
      <c r="J41" s="1"/>
    </row>
    <row r="42">
      <c r="A42" s="1"/>
      <c r="B42" s="1" t="s">
        <v>207</v>
      </c>
      <c r="C42" s="6">
        <f>'Segment - Home &amp; Outdoor'!C73+'Segment - Beauty &amp; Wellness'!C73</f>
        <v>0.249</v>
      </c>
      <c r="D42" s="6">
        <f>'Segment - Home &amp; Outdoor'!D73+'Segment - Beauty &amp; Wellness'!D73</f>
        <v>0.211</v>
      </c>
      <c r="E42" s="6">
        <f>'Segment - Home &amp; Outdoor'!E73+'Segment - Beauty &amp; Wellness'!E73</f>
        <v>0.214</v>
      </c>
      <c r="F42" s="6">
        <f>'Segment - Home &amp; Outdoor'!F73+'Segment - Beauty &amp; Wellness'!F73</f>
        <v>0.982</v>
      </c>
      <c r="G42" s="6">
        <f>'Segment - Home &amp; Outdoor'!G73+'Segment - Beauty &amp; Wellness'!G73</f>
        <v>0.218</v>
      </c>
      <c r="H42" s="47">
        <f>'Segment - Home &amp; Outdoor'!H73+'Segment - Beauty &amp; Wellness'!H73</f>
        <v>0.2</v>
      </c>
      <c r="I42" s="1"/>
      <c r="J42" s="1" t="s">
        <v>208</v>
      </c>
    </row>
    <row r="43">
      <c r="A43" s="1"/>
      <c r="B43" s="1" t="s">
        <v>209</v>
      </c>
      <c r="C43" s="37">
        <v>14.221</v>
      </c>
      <c r="D43" s="37">
        <v>15.855</v>
      </c>
      <c r="E43" s="37">
        <v>13.855</v>
      </c>
      <c r="F43" s="37">
        <v>57.739</v>
      </c>
      <c r="G43" s="37">
        <v>12.243</v>
      </c>
      <c r="H43" s="21">
        <f>H164</f>
        <v>11.418999999999999</v>
      </c>
      <c r="I43" s="1"/>
      <c r="J43" s="1"/>
    </row>
    <row r="44">
      <c r="A44" s="1"/>
      <c r="B44" s="1" t="s">
        <v>210</v>
      </c>
      <c r="C44" s="37">
        <v>13.216</v>
      </c>
      <c r="D44" s="37">
        <v>12.164</v>
      </c>
      <c r="E44" s="37">
        <v>13.999</v>
      </c>
      <c r="F44" s="37">
        <v>51.922</v>
      </c>
      <c r="G44" s="6">
        <f>Inputs!C150</f>
        <v>13.808</v>
      </c>
      <c r="H44" s="21">
        <f>C43</f>
        <v>14.221</v>
      </c>
      <c r="I44" s="1"/>
      <c r="J44" s="1"/>
    </row>
    <row r="45">
      <c r="A45" s="1"/>
      <c r="B45" s="1" t="s">
        <v>211</v>
      </c>
      <c r="C45" s="8">
        <f>C43-C44</f>
        <v>1.0050000000000008</v>
      </c>
      <c r="D45" s="8">
        <f>D43-D44</f>
        <v>3.6910000000000007</v>
      </c>
      <c r="E45" s="8">
        <f>E43-E44</f>
        <v>-0.14400000000000013</v>
      </c>
      <c r="F45" s="8">
        <f>F43-F44</f>
        <v>5.817</v>
      </c>
      <c r="G45" s="8">
        <f>G43-G44</f>
        <v>-1.5649999999999995</v>
      </c>
      <c r="H45" s="21">
        <f>H43-H44</f>
        <v>-2.8020000000000014</v>
      </c>
      <c r="I45" s="1"/>
      <c r="J45" s="1"/>
    </row>
    <row r="46">
      <c r="A46" s="1"/>
      <c r="B46" s="1" t="s">
        <v>212</v>
      </c>
      <c r="C46" s="6">
        <f>C43-(Inputs!C150)</f>
        <v>0.41300000000000026</v>
      </c>
      <c r="D46" s="8">
        <f>D43-C43</f>
        <v>1.6340000000000003</v>
      </c>
      <c r="E46" s="8">
        <f>E43-D43</f>
        <v>-2</v>
      </c>
      <c r="F46" s="8"/>
      <c r="G46" s="8">
        <f>G43-E43</f>
        <v>-1.612</v>
      </c>
      <c r="H46" s="21">
        <f>H43-G43</f>
        <v>-0.8240000000000016</v>
      </c>
      <c r="I46" s="1"/>
      <c r="J46" s="1"/>
    </row>
    <row r="47">
      <c r="A47" s="1"/>
      <c r="B47" s="16" t="s">
        <v>213</v>
      </c>
      <c r="C47" s="39">
        <f>C33+C42-C43</f>
        <v>-329.689</v>
      </c>
      <c r="D47" s="39">
        <f>D33+D42-D43</f>
        <v>-24.013999999999946</v>
      </c>
      <c r="E47" s="39">
        <f>E33+E42-E43</f>
        <v>-64.59700000000002</v>
      </c>
      <c r="F47" s="39">
        <f>F33+F42-F43</f>
        <v>-838.8380000000002</v>
      </c>
      <c r="G47" s="39">
        <f>G33+G42-G43</f>
        <v>48.32400000000002</v>
      </c>
      <c r="H47" s="41">
        <f>H33+H42-H43</f>
        <v>7.671912774999997</v>
      </c>
      <c r="I47" s="1"/>
      <c r="J47" s="1"/>
    </row>
    <row r="48">
      <c r="A48" s="1"/>
      <c r="B48" s="1" t="s">
        <v>214</v>
      </c>
      <c r="C48" s="37">
        <v>-21.046</v>
      </c>
      <c r="D48" s="37">
        <v>60.042</v>
      </c>
      <c r="E48" s="37">
        <v>-9.032</v>
      </c>
      <c r="F48" s="37">
        <v>60.144</v>
      </c>
      <c r="G48" s="37">
        <v>12.562</v>
      </c>
      <c r="H48" s="21">
        <f>H83*H161-SUM(H85:H92)</f>
        <v>3.388053939075985</v>
      </c>
      <c r="I48" s="1"/>
      <c r="J48" s="1" t="s">
        <v>215</v>
      </c>
    </row>
    <row r="49">
      <c r="A49" s="1"/>
      <c r="B49" s="1" t="s">
        <v>216</v>
      </c>
      <c r="C49" s="37">
        <v>21.806</v>
      </c>
      <c r="D49" s="37">
        <v>63.152</v>
      </c>
      <c r="E49" s="37">
        <v>-11.614</v>
      </c>
      <c r="F49" s="37">
        <v>91.664</v>
      </c>
      <c r="G49" s="6">
        <f>Inputs!C148</f>
        <v>-420.538</v>
      </c>
      <c r="H49" s="21">
        <f>C47</f>
        <v>-329.689</v>
      </c>
      <c r="I49" s="1"/>
      <c r="J49" s="1"/>
    </row>
    <row r="50">
      <c r="A50" s="1"/>
      <c r="B50" s="1" t="s">
        <v>217</v>
      </c>
      <c r="C50" s="37">
        <v>4.792</v>
      </c>
      <c r="D50" s="37">
        <v>13.536</v>
      </c>
      <c r="E50" s="37">
        <v>-62.531</v>
      </c>
      <c r="F50" s="37">
        <v>-32.087</v>
      </c>
      <c r="G50" s="6">
        <f>Inputs!C149</f>
        <v>30.18</v>
      </c>
      <c r="H50" s="21">
        <f>C48</f>
        <v>-21.046</v>
      </c>
      <c r="I50" s="1"/>
      <c r="J50" s="1"/>
    </row>
    <row r="51">
      <c r="A51" s="1"/>
      <c r="B51" s="19" t="s">
        <v>218</v>
      </c>
      <c r="C51" s="3">
        <f>C48/C47</f>
        <v>0.06383591809250536</v>
      </c>
      <c r="D51" s="3">
        <f>D48/D47</f>
        <v>-2.500291496626973</v>
      </c>
      <c r="E51" s="3">
        <f>E48/E47</f>
        <v>0.13982073470904216</v>
      </c>
      <c r="F51" s="3">
        <f>F48/F47</f>
        <v>-0.07169918387102156</v>
      </c>
      <c r="G51" s="3">
        <f>G48/G47</f>
        <v>0.25995364622133915</v>
      </c>
      <c r="H51" s="20">
        <f>H48/H47</f>
        <v>0.4416178909275968</v>
      </c>
      <c r="I51" s="1"/>
      <c r="J51" s="1" t="s">
        <v>219</v>
      </c>
    </row>
    <row r="52">
      <c r="A52" s="1"/>
      <c r="B52" s="19" t="s">
        <v>154</v>
      </c>
      <c r="C52" s="50">
        <f>(C51-C50/C49)*10000</f>
        <v>-1559.201123578294</v>
      </c>
      <c r="D52" s="50">
        <f>(D51-D50/D49)*10000</f>
        <v>-27146.315016941127</v>
      </c>
      <c r="E52" s="50">
        <f>(E51-E50/E49)*10000</f>
        <v>-52442.84655337453</v>
      </c>
      <c r="F52" s="50">
        <f>(F51-F50/F49)*10000</f>
        <v>2783.5099940703744</v>
      </c>
      <c r="G52" s="50">
        <f>(G51-G50/G49)*10000</f>
        <v>3317.1886125541455</v>
      </c>
      <c r="H52" s="51">
        <f>(H51-H50/H49)*10000</f>
        <v>3777.819728350914</v>
      </c>
      <c r="I52" s="1"/>
      <c r="J52" s="1" t="s">
        <v>220</v>
      </c>
    </row>
    <row r="53">
      <c r="A53" s="1"/>
      <c r="B53" s="19" t="s">
        <v>155</v>
      </c>
      <c r="C53" s="50">
        <f>(C51-(G50/G49))*10000</f>
        <v>1356.0113312658075</v>
      </c>
      <c r="D53" s="50">
        <f>(D51-C51)*10000</f>
        <v>-25641.274147194785</v>
      </c>
      <c r="E53" s="50">
        <f>(E51-D51)*10000</f>
        <v>26401.122313360156</v>
      </c>
      <c r="F53" s="50"/>
      <c r="G53" s="50">
        <f>(G51-E51)*10000</f>
        <v>1201.3291151229698</v>
      </c>
      <c r="H53" s="51">
        <f>(H51-G51)*10000</f>
        <v>1816.6424470625764</v>
      </c>
      <c r="I53" s="1"/>
      <c r="J53" s="1"/>
    </row>
    <row r="54">
      <c r="A54" s="1"/>
      <c r="B54" s="16" t="s">
        <v>221</v>
      </c>
      <c r="C54" s="39">
        <f>C47-C48</f>
        <v>-308.64300000000003</v>
      </c>
      <c r="D54" s="39">
        <f>D47-D48</f>
        <v>-84.05599999999995</v>
      </c>
      <c r="E54" s="39">
        <f>E47-E48</f>
        <v>-55.565000000000026</v>
      </c>
      <c r="F54" s="39">
        <f>F47-F48</f>
        <v>-898.9820000000002</v>
      </c>
      <c r="G54" s="39">
        <f>G47-G48</f>
        <v>35.76200000000002</v>
      </c>
      <c r="H54" s="41">
        <f>H47-H48</f>
        <v>4.283858835924012</v>
      </c>
      <c r="I54" s="1"/>
      <c r="J54" s="1"/>
    </row>
    <row r="55">
      <c r="A55" s="1"/>
      <c r="B55" s="1" t="s">
        <v>222</v>
      </c>
      <c r="C55" s="6">
        <f>'Cash Flow Statement'!C10</f>
        <v>-308.643</v>
      </c>
      <c r="D55" s="6">
        <f>'Cash Flow Statement'!D10</f>
        <v>-84.05600000000004</v>
      </c>
      <c r="E55" s="6">
        <f>'Cash Flow Statement'!E10</f>
        <v>-55.56499999999994</v>
      </c>
      <c r="F55" s="6">
        <f>Inputs!F157</f>
        <v>-898.982</v>
      </c>
      <c r="G55" s="6">
        <f>Inputs!G157</f>
        <v>35.762</v>
      </c>
      <c r="H55" s="21"/>
      <c r="I55" s="1"/>
      <c r="J55" s="1" t="s">
        <v>223</v>
      </c>
    </row>
    <row r="56">
      <c r="A56" s="1"/>
      <c r="B56" s="19" t="s">
        <v>146</v>
      </c>
      <c r="C56" s="8">
        <f>ROUND(C54-C55,3)</f>
        <v>0</v>
      </c>
      <c r="D56" s="8">
        <f>ROUND(D54-D55,3)</f>
        <v>0</v>
      </c>
      <c r="E56" s="8">
        <f>ROUND(E54-E55,3)</f>
        <v>0</v>
      </c>
      <c r="F56" s="8">
        <f>ROUND(F54-F55,3)</f>
        <v>0</v>
      </c>
      <c r="G56" s="8">
        <f>ROUND(G54-G55,3)</f>
        <v>0</v>
      </c>
      <c r="H56" s="21"/>
      <c r="I56" s="1"/>
      <c r="J56" s="1"/>
    </row>
    <row r="57">
      <c r="A57" s="1"/>
      <c r="B57" s="1" t="s">
        <v>224</v>
      </c>
      <c r="C57" s="37">
        <v>17.014</v>
      </c>
      <c r="D57" s="37">
        <v>49.616</v>
      </c>
      <c r="E57" s="37">
        <v>50.917</v>
      </c>
      <c r="F57" s="37">
        <v>123.751</v>
      </c>
      <c r="G57" s="6">
        <f>Inputs!C144</f>
        <v>-450.718</v>
      </c>
      <c r="H57" s="21">
        <f>C54</f>
        <v>-308.64300000000003</v>
      </c>
      <c r="I57" s="1"/>
      <c r="J57" s="1"/>
    </row>
    <row r="58">
      <c r="A58" s="1"/>
      <c r="B58" s="1" t="s">
        <v>225</v>
      </c>
      <c r="C58" s="8">
        <f>C54-C57</f>
        <v>-325.65700000000004</v>
      </c>
      <c r="D58" s="8">
        <f>D54-D57</f>
        <v>-133.67199999999997</v>
      </c>
      <c r="E58" s="8">
        <f>E54-E57</f>
        <v>-106.48200000000003</v>
      </c>
      <c r="F58" s="8">
        <f>F54-F57</f>
        <v>-1022.7330000000002</v>
      </c>
      <c r="G58" s="8">
        <f>G54-G57</f>
        <v>486.48</v>
      </c>
      <c r="H58" s="21">
        <f>H54-H57</f>
        <v>312.92685883592407</v>
      </c>
      <c r="I58" s="1"/>
      <c r="J58" s="1"/>
    </row>
    <row r="59">
      <c r="A59" s="1"/>
      <c r="B59" s="19" t="s">
        <v>226</v>
      </c>
      <c r="C59" s="3" t="str">
        <f>IF(OR(C57&lt;=0,C54&lt;0),"n.m.",C54/C57-1)</f>
        <v>n.m.</v>
      </c>
      <c r="D59" s="3" t="str">
        <f>IF(OR(D57&lt;=0,D54&lt;0),"n.m.",D54/D57-1)</f>
        <v>n.m.</v>
      </c>
      <c r="E59" s="3" t="str">
        <f>IF(OR(E57&lt;=0,E54&lt;0),"n.m.",E54/E57-1)</f>
        <v>n.m.</v>
      </c>
      <c r="F59" s="3" t="str">
        <f>IF(OR(F57&lt;=0,F54&lt;0),"n.m.",F54/F57-1)</f>
        <v>n.m.</v>
      </c>
      <c r="G59" s="3" t="str">
        <f>IF(OR(G57&lt;=0,G54&lt;0),"n.m.",G54/G57-1)</f>
        <v>n.m.</v>
      </c>
      <c r="H59" s="20" t="str">
        <f>IF(OR(H57&lt;=0,H54&lt;0),"n.m.",H54/H57-1)</f>
        <v>n.m.</v>
      </c>
      <c r="I59" s="1"/>
      <c r="J59" s="1" t="s">
        <v>204</v>
      </c>
    </row>
    <row r="60">
      <c r="A60" s="1"/>
      <c r="B60" s="1" t="s">
        <v>227</v>
      </c>
      <c r="C60" s="6">
        <f>C54-(Inputs!C144)</f>
        <v>142.075</v>
      </c>
      <c r="D60" s="8">
        <f>D54-C54</f>
        <v>224.58700000000007</v>
      </c>
      <c r="E60" s="8">
        <f>E54-D54</f>
        <v>28.49099999999993</v>
      </c>
      <c r="F60" s="8"/>
      <c r="G60" s="8">
        <f>G54-E54</f>
        <v>91.32700000000006</v>
      </c>
      <c r="H60" s="21">
        <f>H54-G54</f>
        <v>-31.47814116407601</v>
      </c>
      <c r="I60" s="1"/>
      <c r="J60" s="1"/>
    </row>
    <row r="61">
      <c r="A61" s="1"/>
      <c r="B61" s="19" t="s">
        <v>228</v>
      </c>
      <c r="C61" s="3">
        <f>C54/C10</f>
        <v>-0.7148137597532084</v>
      </c>
      <c r="D61" s="3">
        <f>D54/D10</f>
        <v>-0.1639064873476343</v>
      </c>
      <c r="E61" s="3">
        <f>E54/E10</f>
        <v>-0.11821711611084523</v>
      </c>
      <c r="F61" s="3">
        <f>F54/F10</f>
        <v>-0.5032676665043191</v>
      </c>
      <c r="G61" s="3">
        <f>G54/G10</f>
        <v>0.08893475746987807</v>
      </c>
      <c r="H61" s="20">
        <f>H54/H10</f>
        <v>0.009685660972277313</v>
      </c>
      <c r="I61" s="1"/>
      <c r="J61" s="1"/>
    </row>
    <row r="62">
      <c r="A62" s="1"/>
      <c r="B62" s="19" t="s">
        <v>154</v>
      </c>
      <c r="C62" s="50">
        <f>(C61-C57/C11)*10000</f>
        <v>-7506.915466922094</v>
      </c>
      <c r="D62" s="50">
        <f>(D61-D57/D11)*10000</f>
        <v>-2573.9704520829537</v>
      </c>
      <c r="E62" s="50">
        <f>(E61-E57/E11)*10000</f>
        <v>-2230.081083292646</v>
      </c>
      <c r="F62" s="50">
        <f>(F61-F57/F11)*10000</f>
        <v>-5681.3807089922075</v>
      </c>
      <c r="G62" s="50">
        <f>(G61-G57/G11)*10000</f>
        <v>13016.669957015714</v>
      </c>
      <c r="H62" s="51">
        <f>(H61-H57/H11)*10000</f>
        <v>7244.9942072548565</v>
      </c>
      <c r="I62" s="1"/>
      <c r="J62" s="1"/>
    </row>
    <row r="63">
      <c r="A63" s="1"/>
      <c r="B63" s="19" t="s">
        <v>155</v>
      </c>
      <c r="C63" s="50">
        <f>(C61-(G57/G11))*10000</f>
        <v>4979.18478478485</v>
      </c>
      <c r="D63" s="50">
        <f>(D61-C61)*10000</f>
        <v>5509.072724055742</v>
      </c>
      <c r="E63" s="50">
        <f>(E61-D61)*10000</f>
        <v>456.89371236789066</v>
      </c>
      <c r="F63" s="50"/>
      <c r="G63" s="50">
        <f>(G61-E61)*10000</f>
        <v>2071.518735807233</v>
      </c>
      <c r="H63" s="51">
        <f>(H61-G61)*10000</f>
        <v>-792.4909649760076</v>
      </c>
      <c r="I63" s="1"/>
      <c r="J63" s="1"/>
    </row>
    <row r="64">
      <c r="A64" s="1"/>
      <c r="B64" s="1" t="s">
        <v>229</v>
      </c>
      <c r="C64" s="26">
        <f>'Share Count'!C10</f>
        <v>22.959</v>
      </c>
      <c r="D64" s="26">
        <f>'Share Count'!D10</f>
        <v>23.035</v>
      </c>
      <c r="E64" s="26">
        <f>'Share Count'!E10</f>
        <v>23.069</v>
      </c>
      <c r="F64" s="26">
        <f>'Share Count'!F10</f>
        <v>23.002</v>
      </c>
      <c r="G64" s="26">
        <f>'Share Count'!G10</f>
        <v>23.265</v>
      </c>
      <c r="H64" s="44">
        <f>'Share Count'!H10</f>
        <v>23.35</v>
      </c>
      <c r="I64" s="1"/>
      <c r="J64" s="1"/>
    </row>
    <row r="65">
      <c r="A65" s="1"/>
      <c r="B65" s="1" t="s">
        <v>230</v>
      </c>
      <c r="C65" s="26">
        <f>'Share Count'!C11</f>
        <v>22.959</v>
      </c>
      <c r="D65" s="26">
        <f>'Share Count'!D11</f>
        <v>23.035</v>
      </c>
      <c r="E65" s="26">
        <f>'Share Count'!E11</f>
        <v>23.069</v>
      </c>
      <c r="F65" s="26">
        <f>'Share Count'!F11</f>
        <v>23.002</v>
      </c>
      <c r="G65" s="26">
        <f>'Share Count'!G11</f>
        <v>23.758</v>
      </c>
      <c r="H65" s="44">
        <f>'Share Count'!H11</f>
        <v>23.85</v>
      </c>
      <c r="I65" s="1"/>
      <c r="J65" s="1"/>
    </row>
    <row r="66">
      <c r="A66" s="1"/>
      <c r="B66" s="1" t="s">
        <v>231</v>
      </c>
      <c r="C66" s="9">
        <f>C54/C64</f>
        <v>-13.443224879132368</v>
      </c>
      <c r="D66" s="9">
        <f>D54/D64</f>
        <v>-3.649055784675492</v>
      </c>
      <c r="E66" s="9">
        <f>E54/E64</f>
        <v>-2.408643634314449</v>
      </c>
      <c r="F66" s="9">
        <f>F54/F64</f>
        <v>-39.082775410833854</v>
      </c>
      <c r="G66" s="9">
        <f>G54/G64</f>
        <v>1.5371588222652062</v>
      </c>
      <c r="H66" s="67">
        <f>H54/H64</f>
        <v>0.18346290517875855</v>
      </c>
      <c r="I66" s="1"/>
      <c r="J66" s="1"/>
    </row>
    <row r="67">
      <c r="A67" s="1"/>
      <c r="B67" s="16" t="s">
        <v>232</v>
      </c>
      <c r="C67" s="66">
        <f>C54/C65</f>
        <v>-13.443224879132368</v>
      </c>
      <c r="D67" s="66">
        <f>D54/D65</f>
        <v>-3.649055784675492</v>
      </c>
      <c r="E67" s="66">
        <f>E54/E65</f>
        <v>-2.408643634314449</v>
      </c>
      <c r="F67" s="66">
        <f>F54/F65</f>
        <v>-39.082775410833854</v>
      </c>
      <c r="G67" s="66">
        <f>G54/G65</f>
        <v>1.5052613856385226</v>
      </c>
      <c r="H67" s="75">
        <f>H54/H65</f>
        <v>0.17961672268025208</v>
      </c>
      <c r="I67" s="1"/>
      <c r="J67" s="1"/>
    </row>
    <row r="68">
      <c r="A68" s="1"/>
      <c r="B68" s="1" t="s">
        <v>233</v>
      </c>
      <c r="C68" s="60">
        <v>-13.44</v>
      </c>
      <c r="D68" s="60">
        <v>-3.65</v>
      </c>
      <c r="E68" s="60">
        <v>-2.41</v>
      </c>
      <c r="F68" s="60">
        <v>-39.08</v>
      </c>
      <c r="G68" s="60">
        <v>1.51</v>
      </c>
      <c r="H68" s="67"/>
      <c r="I68" s="1"/>
      <c r="J68" s="1"/>
    </row>
    <row r="69">
      <c r="A69" s="1"/>
      <c r="B69" s="1" t="s">
        <v>234</v>
      </c>
      <c r="C69" s="60">
        <v>0.74</v>
      </c>
      <c r="D69" s="60">
        <v>2.17</v>
      </c>
      <c r="E69" s="4">
        <f>Inputs!G102</f>
        <v>2.22</v>
      </c>
      <c r="F69" s="60">
        <v>5.37</v>
      </c>
      <c r="G69" s="4">
        <f>Inputs!G103</f>
        <v>-19.65</v>
      </c>
      <c r="H69" s="67">
        <f>C67</f>
        <v>-13.443224879132368</v>
      </c>
      <c r="I69" s="1"/>
      <c r="J69" s="1" t="s">
        <v>235</v>
      </c>
    </row>
    <row r="70">
      <c r="A70" s="1"/>
      <c r="B70" s="1" t="s">
        <v>236</v>
      </c>
      <c r="C70" s="9">
        <f>C67-C69</f>
        <v>-14.183224879132368</v>
      </c>
      <c r="D70" s="9">
        <f>D67-D69</f>
        <v>-5.819055784675491</v>
      </c>
      <c r="E70" s="9">
        <f>E67-E69</f>
        <v>-4.628643634314449</v>
      </c>
      <c r="F70" s="9">
        <f>F67-F69</f>
        <v>-44.45277541083385</v>
      </c>
      <c r="G70" s="9">
        <f>G67-G69</f>
        <v>21.15526138563852</v>
      </c>
      <c r="H70" s="67">
        <f>H67-H69</f>
        <v>13.62284160181262</v>
      </c>
      <c r="I70" s="1"/>
      <c r="J70" s="1"/>
    </row>
    <row r="71">
      <c r="A71" s="1"/>
      <c r="B71" s="1" t="s">
        <v>237</v>
      </c>
      <c r="C71" s="4">
        <f>C67-(Inputs!G103)</f>
        <v>6.206775120867631</v>
      </c>
      <c r="D71" s="9">
        <f>D67-C67</f>
        <v>9.794169094456876</v>
      </c>
      <c r="E71" s="9">
        <f>E67-D67</f>
        <v>1.2404121503610428</v>
      </c>
      <c r="F71" s="9"/>
      <c r="G71" s="9">
        <f>G67-E67</f>
        <v>3.9139050199529715</v>
      </c>
      <c r="H71" s="67">
        <f>H67-G67</f>
        <v>-1.3256446629582705</v>
      </c>
      <c r="I71" s="1"/>
      <c r="J71" s="1"/>
    </row>
    <row r="72">
      <c r="A72" s="1"/>
      <c r="B72" s="19" t="s">
        <v>238</v>
      </c>
      <c r="C72" s="8">
        <f>ROUND(C67,2)-C68</f>
        <v>0</v>
      </c>
      <c r="D72" s="8">
        <f>ROUND(D67,2)-D68</f>
        <v>0</v>
      </c>
      <c r="E72" s="8">
        <f>ROUND(E67,2)-E68</f>
        <v>0</v>
      </c>
      <c r="F72" s="8">
        <f>ROUND(F67,2)-F68</f>
        <v>0</v>
      </c>
      <c r="G72" s="8">
        <f>ROUND(G67,2)-G68</f>
        <v>0</v>
      </c>
      <c r="H72" s="21"/>
      <c r="I72" s="1"/>
      <c r="J72" s="1"/>
    </row>
    <row r="73">
      <c r="A73" s="1"/>
      <c r="B73" s="1"/>
      <c r="C73" s="1"/>
      <c r="D73" s="1"/>
      <c r="E73" s="1"/>
      <c r="F73" s="1"/>
      <c r="G73" s="1"/>
      <c r="H73" s="32"/>
      <c r="I73" s="1"/>
      <c r="J73" s="1"/>
    </row>
    <row r="74">
      <c r="A74" s="1"/>
      <c r="B74" s="16" t="s">
        <v>239</v>
      </c>
      <c r="C74" s="1"/>
      <c r="D74" s="1"/>
      <c r="E74" s="1"/>
      <c r="F74" s="1"/>
      <c r="G74" s="1"/>
      <c r="H74" s="32"/>
      <c r="I74" s="1"/>
      <c r="J74" s="1"/>
    </row>
    <row r="75">
      <c r="A75" s="1"/>
      <c r="B75" s="1" t="s">
        <v>240</v>
      </c>
      <c r="C75" s="8">
        <f>C47</f>
        <v>-329.689</v>
      </c>
      <c r="D75" s="8">
        <f>D47</f>
        <v>-24.013999999999946</v>
      </c>
      <c r="E75" s="8">
        <f>E47</f>
        <v>-64.59700000000002</v>
      </c>
      <c r="F75" s="8">
        <f>F47</f>
        <v>-838.8380000000002</v>
      </c>
      <c r="G75" s="8">
        <f>G47</f>
        <v>48.32400000000002</v>
      </c>
      <c r="H75" s="21">
        <f>H47</f>
        <v>7.671912774999997</v>
      </c>
      <c r="I75" s="1"/>
      <c r="J75" s="1"/>
    </row>
    <row r="76">
      <c r="A76" s="1"/>
      <c r="B76" s="1" t="s">
        <v>241</v>
      </c>
      <c r="C76" s="6">
        <f>'Segment - Home &amp; Outdoor'!C46+'Segment - Beauty &amp; Wellness'!C46</f>
        <v>326.394</v>
      </c>
      <c r="D76" s="6">
        <f>'Segment - Home &amp; Outdoor'!D46+'Segment - Beauty &amp; Wellness'!D46</f>
        <v>65.906</v>
      </c>
      <c r="E76" s="6">
        <f>'Segment - Home &amp; Outdoor'!E46+'Segment - Beauty &amp; Wellness'!E46</f>
        <v>79.17599999999999</v>
      </c>
      <c r="F76" s="6">
        <f>'Segment - Home &amp; Outdoor'!F46+'Segment - Beauty &amp; Wellness'!F46</f>
        <v>885.8610000000001</v>
      </c>
      <c r="G76" s="6">
        <f>'Segment - Home &amp; Outdoor'!G46+'Segment - Beauty &amp; Wellness'!G46</f>
        <v>0</v>
      </c>
      <c r="H76" s="47">
        <f>'Segment - Home &amp; Outdoor'!H46+'Segment - Beauty &amp; Wellness'!H46</f>
        <v>0</v>
      </c>
      <c r="I76" s="1"/>
      <c r="J76" s="1"/>
    </row>
    <row r="77">
      <c r="A77" s="1"/>
      <c r="B77" s="1" t="s">
        <v>242</v>
      </c>
      <c r="C77" s="6">
        <f>'Segment - Home &amp; Outdoor'!C48+'Segment - Beauty &amp; Wellness'!C48</f>
        <v>0</v>
      </c>
      <c r="D77" s="6">
        <f>'Segment - Home &amp; Outdoor'!D48+'Segment - Beauty &amp; Wellness'!D48</f>
        <v>0</v>
      </c>
      <c r="E77" s="6">
        <f>'Segment - Home &amp; Outdoor'!E48+'Segment - Beauty &amp; Wellness'!E48</f>
        <v>0</v>
      </c>
      <c r="F77" s="6">
        <f>'Segment - Home &amp; Outdoor'!F48+'Segment - Beauty &amp; Wellness'!F48</f>
        <v>3.484</v>
      </c>
      <c r="G77" s="6">
        <f>'Segment - Home &amp; Outdoor'!G48+'Segment - Beauty &amp; Wellness'!G48</f>
        <v>0</v>
      </c>
      <c r="H77" s="47">
        <f>'Segment - Home &amp; Outdoor'!H48+'Segment - Beauty &amp; Wellness'!H48</f>
        <v>0</v>
      </c>
      <c r="I77" s="1"/>
      <c r="J77" s="1"/>
    </row>
    <row r="78">
      <c r="A78" s="1"/>
      <c r="B78" s="1" t="s">
        <v>243</v>
      </c>
      <c r="C78" s="6">
        <f>'Segment - Home &amp; Outdoor'!C49+'Segment - Beauty &amp; Wellness'!C49</f>
        <v>0</v>
      </c>
      <c r="D78" s="6">
        <f>'Segment - Home &amp; Outdoor'!D49+'Segment - Beauty &amp; Wellness'!D49</f>
        <v>0</v>
      </c>
      <c r="E78" s="6">
        <f>'Segment - Home &amp; Outdoor'!E49+'Segment - Beauty &amp; Wellness'!E49</f>
        <v>4.354</v>
      </c>
      <c r="F78" s="6">
        <f>'Segment - Home &amp; Outdoor'!F49+'Segment - Beauty &amp; Wellness'!F49</f>
        <v>4.354</v>
      </c>
      <c r="G78" s="6">
        <f>'Segment - Home &amp; Outdoor'!G49+'Segment - Beauty &amp; Wellness'!G49</f>
        <v>0</v>
      </c>
      <c r="H78" s="47">
        <f>'Segment - Home &amp; Outdoor'!H49+'Segment - Beauty &amp; Wellness'!H49</f>
        <v>0</v>
      </c>
      <c r="I78" s="1"/>
      <c r="J78" s="1"/>
    </row>
    <row r="79">
      <c r="A79" s="1"/>
      <c r="B79" s="1" t="s">
        <v>244</v>
      </c>
      <c r="C79" s="6">
        <f>'Segment - Home &amp; Outdoor'!C47+'Segment - Beauty &amp; Wellness'!C47</f>
        <v>3.005</v>
      </c>
      <c r="D79" s="6">
        <f>'Segment - Home &amp; Outdoor'!D47+'Segment - Beauty &amp; Wellness'!D47</f>
        <v>0</v>
      </c>
      <c r="E79" s="6">
        <f>'Segment - Home &amp; Outdoor'!E47+'Segment - Beauty &amp; Wellness'!E47</f>
        <v>0</v>
      </c>
      <c r="F79" s="6">
        <f>'Segment - Home &amp; Outdoor'!F47+'Segment - Beauty &amp; Wellness'!F47</f>
        <v>3.005</v>
      </c>
      <c r="G79" s="6">
        <f>'Segment - Home &amp; Outdoor'!G47+'Segment - Beauty &amp; Wellness'!G47</f>
        <v>0</v>
      </c>
      <c r="H79" s="47">
        <f>'Segment - Home &amp; Outdoor'!H47+'Segment - Beauty &amp; Wellness'!H47</f>
        <v>0</v>
      </c>
      <c r="I79" s="1"/>
      <c r="J79" s="1"/>
    </row>
    <row r="80">
      <c r="A80" s="1"/>
      <c r="B80" s="1" t="s">
        <v>245</v>
      </c>
      <c r="C80" s="6">
        <f>'Segment - Home &amp; Outdoor'!C50+'Segment - Beauty &amp; Wellness'!C50</f>
        <v>0</v>
      </c>
      <c r="D80" s="6">
        <f>'Segment - Home &amp; Outdoor'!D50+'Segment - Beauty &amp; Wellness'!D50</f>
        <v>0</v>
      </c>
      <c r="E80" s="6">
        <f>'Segment - Home &amp; Outdoor'!E50+'Segment - Beauty &amp; Wellness'!E50</f>
        <v>0</v>
      </c>
      <c r="F80" s="6">
        <f>'Segment - Home &amp; Outdoor'!F50+'Segment - Beauty &amp; Wellness'!F50</f>
        <v>0</v>
      </c>
      <c r="G80" s="6">
        <f>'Segment - Home &amp; Outdoor'!G50+'Segment - Beauty &amp; Wellness'!G50</f>
        <v>-54.854</v>
      </c>
      <c r="H80" s="47">
        <f>'Segment - Home &amp; Outdoor'!H50+'Segment - Beauty &amp; Wellness'!H50</f>
        <v>0</v>
      </c>
      <c r="I80" s="1"/>
      <c r="J80" s="1"/>
    </row>
    <row r="81">
      <c r="A81" s="1"/>
      <c r="B81" s="1" t="s">
        <v>246</v>
      </c>
      <c r="C81" s="6">
        <f>'Segment - Home &amp; Outdoor'!C52+'Segment - Beauty &amp; Wellness'!C52</f>
        <v>3.885</v>
      </c>
      <c r="D81" s="6">
        <f>'Segment - Home &amp; Outdoor'!D52+'Segment - Beauty &amp; Wellness'!D52</f>
        <v>3.708</v>
      </c>
      <c r="E81" s="6">
        <f>'Segment - Home &amp; Outdoor'!E52+'Segment - Beauty &amp; Wellness'!E52</f>
        <v>4.477</v>
      </c>
      <c r="F81" s="6">
        <f>'Segment - Home &amp; Outdoor'!F52+'Segment - Beauty &amp; Wellness'!F52</f>
        <v>17.059</v>
      </c>
      <c r="G81" s="6">
        <f>'Segment - Home &amp; Outdoor'!G52+'Segment - Beauty &amp; Wellness'!G52</f>
        <v>4.155</v>
      </c>
      <c r="H81" s="47">
        <f>'Segment - Home &amp; Outdoor'!H52+'Segment - Beauty &amp; Wellness'!H52</f>
        <v>4.155</v>
      </c>
      <c r="I81" s="1"/>
      <c r="J81" s="1"/>
    </row>
    <row r="82">
      <c r="A82" s="1"/>
      <c r="B82" s="1" t="s">
        <v>247</v>
      </c>
      <c r="C82" s="6">
        <f>'Segment - Home &amp; Outdoor'!C53+'Segment - Beauty &amp; Wellness'!C53</f>
        <v>9.372</v>
      </c>
      <c r="D82" s="6">
        <f>'Segment - Home &amp; Outdoor'!D53+'Segment - Beauty &amp; Wellness'!D53</f>
        <v>5.029999999999999</v>
      </c>
      <c r="E82" s="6">
        <f>'Segment - Home &amp; Outdoor'!E53+'Segment - Beauty &amp; Wellness'!E53</f>
        <v>2.1870000000000003</v>
      </c>
      <c r="F82" s="6">
        <f>'Segment - Home &amp; Outdoor'!F53+'Segment - Beauty &amp; Wellness'!F53</f>
        <v>16.884999999999998</v>
      </c>
      <c r="G82" s="6">
        <f>'Segment - Home &amp; Outdoor'!G53+'Segment - Beauty &amp; Wellness'!G53</f>
        <v>6.436999999999999</v>
      </c>
      <c r="H82" s="47">
        <f>'Segment - Home &amp; Outdoor'!H53+'Segment - Beauty &amp; Wellness'!H53</f>
        <v>5.521000000000001</v>
      </c>
      <c r="I82" s="1"/>
      <c r="J82" s="1"/>
    </row>
    <row r="83">
      <c r="A83" s="1"/>
      <c r="B83" s="16" t="s">
        <v>248</v>
      </c>
      <c r="C83" s="39">
        <f>C75+SUM(C76:C82)</f>
        <v>12.966999999999985</v>
      </c>
      <c r="D83" s="39">
        <f>D75+SUM(D76:D82)</f>
        <v>50.63000000000006</v>
      </c>
      <c r="E83" s="39">
        <f>E75+SUM(E76:E82)</f>
        <v>25.596999999999966</v>
      </c>
      <c r="F83" s="39">
        <f>F75+SUM(F76:F82)</f>
        <v>91.80999999999995</v>
      </c>
      <c r="G83" s="39">
        <f>G75+SUM(G76:G82)</f>
        <v>4.062000000000019</v>
      </c>
      <c r="H83" s="41">
        <f>H75+SUM(H76:H82)</f>
        <v>17.347912774999998</v>
      </c>
      <c r="I83" s="1"/>
      <c r="J83" s="1"/>
    </row>
    <row r="84">
      <c r="A84" s="1"/>
      <c r="B84" s="1" t="s">
        <v>249</v>
      </c>
      <c r="C84" s="8">
        <f>C48</f>
        <v>-21.046</v>
      </c>
      <c r="D84" s="8">
        <f>D48</f>
        <v>60.042</v>
      </c>
      <c r="E84" s="8">
        <f>E48</f>
        <v>-9.032</v>
      </c>
      <c r="F84" s="8">
        <f>F48</f>
        <v>60.144</v>
      </c>
      <c r="G84" s="8">
        <f>G48</f>
        <v>12.562</v>
      </c>
      <c r="H84" s="21">
        <f>H48</f>
        <v>3.388053939075985</v>
      </c>
      <c r="I84" s="1"/>
      <c r="J84" s="1"/>
    </row>
    <row r="85">
      <c r="A85" s="1"/>
      <c r="B85" s="1" t="s">
        <v>250</v>
      </c>
      <c r="C85" s="37">
        <v>32.419</v>
      </c>
      <c r="D85" s="37">
        <v>-6.232</v>
      </c>
      <c r="E85" s="37">
        <v>15.37</v>
      </c>
      <c r="F85" s="37">
        <v>19.788</v>
      </c>
      <c r="G85" s="37">
        <v>0</v>
      </c>
      <c r="H85" s="49">
        <v>0</v>
      </c>
      <c r="I85" s="1"/>
      <c r="J85" s="1"/>
    </row>
    <row r="86">
      <c r="A86" s="1"/>
      <c r="B86" s="1" t="s">
        <v>251</v>
      </c>
      <c r="C86" s="37">
        <v>0</v>
      </c>
      <c r="D86" s="37">
        <v>0</v>
      </c>
      <c r="E86" s="37">
        <v>0</v>
      </c>
      <c r="F86" s="37">
        <v>0.153</v>
      </c>
      <c r="G86" s="37">
        <v>0</v>
      </c>
      <c r="H86" s="49">
        <v>0</v>
      </c>
      <c r="I86" s="1"/>
      <c r="J86" s="1"/>
    </row>
    <row r="87">
      <c r="A87" s="1"/>
      <c r="B87" s="1" t="s">
        <v>252</v>
      </c>
      <c r="C87" s="37">
        <v>0</v>
      </c>
      <c r="D87" s="37">
        <v>0</v>
      </c>
      <c r="E87" s="37">
        <v>-1.114</v>
      </c>
      <c r="F87" s="37">
        <v>-1.114</v>
      </c>
      <c r="G87" s="37">
        <v>0</v>
      </c>
      <c r="H87" s="49">
        <v>0</v>
      </c>
      <c r="I87" s="1"/>
      <c r="J87" s="1"/>
    </row>
    <row r="88">
      <c r="A88" s="1"/>
      <c r="B88" s="1" t="s">
        <v>253</v>
      </c>
      <c r="C88" s="37">
        <v>0.421</v>
      </c>
      <c r="D88" s="37">
        <v>0</v>
      </c>
      <c r="E88" s="37">
        <v>0</v>
      </c>
      <c r="F88" s="37">
        <v>0.421</v>
      </c>
      <c r="G88" s="37">
        <v>0</v>
      </c>
      <c r="H88" s="49">
        <v>0</v>
      </c>
      <c r="I88" s="1"/>
      <c r="J88" s="1"/>
    </row>
    <row r="89">
      <c r="A89" s="1"/>
      <c r="B89" s="1" t="s">
        <v>254</v>
      </c>
      <c r="C89" s="37">
        <v>0</v>
      </c>
      <c r="D89" s="37">
        <v>0</v>
      </c>
      <c r="E89" s="37">
        <v>0</v>
      </c>
      <c r="F89" s="37">
        <v>0</v>
      </c>
      <c r="G89" s="37">
        <v>-13.549</v>
      </c>
      <c r="H89" s="49">
        <v>0</v>
      </c>
      <c r="I89" s="1"/>
      <c r="J89" s="1"/>
    </row>
    <row r="90">
      <c r="A90" s="1"/>
      <c r="B90" s="1" t="s">
        <v>255</v>
      </c>
      <c r="C90" s="37">
        <v>-13.485</v>
      </c>
      <c r="D90" s="37">
        <v>-44.056</v>
      </c>
      <c r="E90" s="37">
        <v>0</v>
      </c>
      <c r="F90" s="37">
        <v>-74.015</v>
      </c>
      <c r="G90" s="37">
        <v>0</v>
      </c>
      <c r="H90" s="49">
        <v>0</v>
      </c>
      <c r="I90" s="1"/>
      <c r="J90" s="1" t="s">
        <v>256</v>
      </c>
    </row>
    <row r="91">
      <c r="A91" s="1"/>
      <c r="B91" s="1" t="s">
        <v>257</v>
      </c>
      <c r="C91" s="37">
        <v>0.669</v>
      </c>
      <c r="D91" s="37">
        <v>0.638</v>
      </c>
      <c r="E91" s="37">
        <v>0.744</v>
      </c>
      <c r="F91" s="37">
        <v>2.933</v>
      </c>
      <c r="G91" s="37">
        <v>0.672</v>
      </c>
      <c r="H91" s="21">
        <f>H81*H162</f>
        <v>0.672</v>
      </c>
      <c r="I91" s="1"/>
      <c r="J91" s="1" t="s">
        <v>258</v>
      </c>
    </row>
    <row r="92">
      <c r="A92" s="1"/>
      <c r="B92" s="1" t="s">
        <v>259</v>
      </c>
      <c r="C92" s="37">
        <v>0.445</v>
      </c>
      <c r="D92" s="37">
        <v>0.521</v>
      </c>
      <c r="E92" s="37">
        <v>0.321</v>
      </c>
      <c r="F92" s="37">
        <v>1.444</v>
      </c>
      <c r="G92" s="37">
        <v>0.424</v>
      </c>
      <c r="H92" s="21">
        <f>H82*H163</f>
        <v>0.3636638185490136</v>
      </c>
      <c r="I92" s="1"/>
      <c r="J92" s="1" t="s">
        <v>258</v>
      </c>
    </row>
    <row r="93">
      <c r="A93" s="1"/>
      <c r="B93" s="16" t="s">
        <v>260</v>
      </c>
      <c r="C93" s="39">
        <f>C84+SUM(C85:C92)</f>
        <v>-0.5770000000000017</v>
      </c>
      <c r="D93" s="39">
        <f>D84+SUM(D85:D92)</f>
        <v>10.913000000000004</v>
      </c>
      <c r="E93" s="39">
        <f>E84+SUM(E85:E92)</f>
        <v>6.289</v>
      </c>
      <c r="F93" s="39">
        <f>F84+SUM(F85:F92)</f>
        <v>9.754000000000005</v>
      </c>
      <c r="G93" s="39">
        <f>G84+SUM(G85:G92)</f>
        <v>0.10899999999999999</v>
      </c>
      <c r="H93" s="41">
        <f>H84+SUM(H85:H92)</f>
        <v>4.423717757624999</v>
      </c>
      <c r="I93" s="1"/>
      <c r="J93" s="1"/>
    </row>
    <row r="94">
      <c r="A94" s="1"/>
      <c r="B94" s="1" t="s">
        <v>261</v>
      </c>
      <c r="C94" s="37">
        <v>33.358</v>
      </c>
      <c r="D94" s="37">
        <v>75.947</v>
      </c>
      <c r="E94" s="37">
        <v>61.414</v>
      </c>
      <c r="F94" s="37">
        <v>201.227</v>
      </c>
      <c r="G94" s="6">
        <f>Inputs!C152</f>
        <v>2.616</v>
      </c>
      <c r="H94" s="21">
        <f>C83</f>
        <v>12.966999999999985</v>
      </c>
      <c r="I94" s="1"/>
      <c r="J94" s="1"/>
    </row>
    <row r="95">
      <c r="A95" s="1"/>
      <c r="B95" s="1" t="s">
        <v>262</v>
      </c>
      <c r="C95" s="37">
        <v>5.812</v>
      </c>
      <c r="D95" s="37">
        <v>14.87</v>
      </c>
      <c r="E95" s="37">
        <v>7.995</v>
      </c>
      <c r="F95" s="37">
        <v>35.838</v>
      </c>
      <c r="G95" s="6">
        <f>Inputs!C153</f>
        <v>-6.871</v>
      </c>
      <c r="H95" s="21">
        <f>C93</f>
        <v>-0.5770000000000017</v>
      </c>
      <c r="I95" s="1"/>
      <c r="J95" s="1"/>
    </row>
    <row r="96">
      <c r="A96" s="1"/>
      <c r="B96" s="19" t="s">
        <v>263</v>
      </c>
      <c r="C96" s="3">
        <f>C93/C83</f>
        <v>-0.04449757075653601</v>
      </c>
      <c r="D96" s="3">
        <f>D93/D83</f>
        <v>0.21554414378826764</v>
      </c>
      <c r="E96" s="3">
        <f>E93/E83</f>
        <v>0.24569285463140245</v>
      </c>
      <c r="F96" s="3">
        <f>F93/F83</f>
        <v>0.10624115020150322</v>
      </c>
      <c r="G96" s="3">
        <f>G93/G83</f>
        <v>0.026834071885770427</v>
      </c>
      <c r="H96" s="20">
        <f>H93/H83</f>
        <v>0.255</v>
      </c>
      <c r="I96" s="1"/>
      <c r="J96" s="1"/>
    </row>
    <row r="97">
      <c r="A97" s="1"/>
      <c r="B97" s="19" t="s">
        <v>154</v>
      </c>
      <c r="C97" s="50">
        <f>(C96-C95/C94)*10000</f>
        <v>-2187.2863976546946</v>
      </c>
      <c r="D97" s="50">
        <f>(D96-D95/D94)*10000</f>
        <v>197.49708195025002</v>
      </c>
      <c r="E97" s="50">
        <f>(E96-E95/E94)*10000</f>
        <v>1155.1081144906616</v>
      </c>
      <c r="F97" s="50">
        <f>(F96-F95/F94)*10000</f>
        <v>-718.5622241747931</v>
      </c>
      <c r="G97" s="50">
        <f>(G96-G95/G94)*10000</f>
        <v>26533.63123873538</v>
      </c>
      <c r="H97" s="51">
        <f>(H96-H95/H94)*10000</f>
        <v>2994.9757075653597</v>
      </c>
      <c r="I97" s="1"/>
      <c r="J97" s="1"/>
    </row>
    <row r="98">
      <c r="A98" s="1"/>
      <c r="B98" s="19" t="s">
        <v>155</v>
      </c>
      <c r="C98" s="50">
        <f>(C96-(G95/G94))*10000</f>
        <v>25820.314812312314</v>
      </c>
      <c r="D98" s="50">
        <f>(D96-C96)*10000</f>
        <v>2600.417145448036</v>
      </c>
      <c r="E98" s="50">
        <f>(E96-D96)*10000</f>
        <v>301.4871084313481</v>
      </c>
      <c r="F98" s="50"/>
      <c r="G98" s="50">
        <f>(G96-E96)*10000</f>
        <v>-2188.58782745632</v>
      </c>
      <c r="H98" s="51">
        <f>(H96-G96)*10000</f>
        <v>2281.659281142296</v>
      </c>
      <c r="I98" s="1"/>
      <c r="J98" s="1"/>
    </row>
    <row r="99">
      <c r="A99" s="1"/>
      <c r="B99" s="16" t="s">
        <v>264</v>
      </c>
      <c r="C99" s="39">
        <f>C83-C93</f>
        <v>13.543999999999986</v>
      </c>
      <c r="D99" s="39">
        <f>D83-D93</f>
        <v>39.717000000000056</v>
      </c>
      <c r="E99" s="39">
        <f>E83-E93</f>
        <v>19.307999999999964</v>
      </c>
      <c r="F99" s="39">
        <f>F83-F93</f>
        <v>82.05599999999994</v>
      </c>
      <c r="G99" s="39">
        <f>G83-G93</f>
        <v>3.953000000000019</v>
      </c>
      <c r="H99" s="41">
        <f>H83-H93</f>
        <v>12.924195017374998</v>
      </c>
      <c r="I99" s="1"/>
      <c r="J99" s="1"/>
    </row>
    <row r="100">
      <c r="A100" s="1"/>
      <c r="B100" s="1" t="s">
        <v>265</v>
      </c>
      <c r="C100" s="37">
        <v>27.546</v>
      </c>
      <c r="D100" s="37">
        <v>61.077</v>
      </c>
      <c r="E100" s="37">
        <v>53.419</v>
      </c>
      <c r="F100" s="37">
        <v>165.389</v>
      </c>
      <c r="G100" s="6">
        <f>Inputs!C151</f>
        <v>9.487</v>
      </c>
      <c r="H100" s="21">
        <f>C99</f>
        <v>13.543999999999986</v>
      </c>
      <c r="I100" s="1"/>
      <c r="J100" s="1"/>
    </row>
    <row r="101">
      <c r="A101" s="1"/>
      <c r="B101" s="1" t="s">
        <v>266</v>
      </c>
      <c r="C101" s="8">
        <f>C99-C100</f>
        <v>-14.002000000000013</v>
      </c>
      <c r="D101" s="8">
        <f>D99-D100</f>
        <v>-21.359999999999943</v>
      </c>
      <c r="E101" s="8">
        <f>E99-E100</f>
        <v>-34.11100000000003</v>
      </c>
      <c r="F101" s="8">
        <f>F99-F100</f>
        <v>-83.33300000000007</v>
      </c>
      <c r="G101" s="8">
        <f>G99-G100</f>
        <v>-5.533999999999981</v>
      </c>
      <c r="H101" s="21">
        <f>H99-H100</f>
        <v>-0.6198049826249878</v>
      </c>
      <c r="I101" s="1"/>
      <c r="J101" s="1"/>
    </row>
    <row r="102">
      <c r="A102" s="1"/>
      <c r="B102" s="19" t="s">
        <v>267</v>
      </c>
      <c r="C102" s="3">
        <f>C99/C100-1</f>
        <v>-0.5083133667320123</v>
      </c>
      <c r="D102" s="3">
        <f>D99/D100-1</f>
        <v>-0.349722481457831</v>
      </c>
      <c r="E102" s="3">
        <f>E99/E100-1</f>
        <v>-0.6385555701155026</v>
      </c>
      <c r="F102" s="3">
        <f>F99/F100-1</f>
        <v>-0.5038605953237523</v>
      </c>
      <c r="G102" s="3">
        <f>G99/G100-1</f>
        <v>-0.5833245493833648</v>
      </c>
      <c r="H102" s="20">
        <f>H99/H100-1</f>
        <v>-0.045762328900250226</v>
      </c>
      <c r="I102" s="1"/>
      <c r="J102" s="1"/>
    </row>
    <row r="103">
      <c r="A103" s="1"/>
      <c r="B103" s="1" t="s">
        <v>268</v>
      </c>
      <c r="C103" s="6">
        <f>C99-(Inputs!C151)</f>
        <v>4.056999999999986</v>
      </c>
      <c r="D103" s="8">
        <f>D99-C99</f>
        <v>26.17300000000007</v>
      </c>
      <c r="E103" s="8">
        <f>E99-D99</f>
        <v>-20.40900000000009</v>
      </c>
      <c r="F103" s="8"/>
      <c r="G103" s="8">
        <f>G99-E99</f>
        <v>-15.354999999999945</v>
      </c>
      <c r="H103" s="21">
        <f>H99-G99</f>
        <v>8.97119501737498</v>
      </c>
      <c r="I103" s="1"/>
      <c r="J103" s="1"/>
    </row>
    <row r="104">
      <c r="A104" s="1"/>
      <c r="B104" s="1" t="s">
        <v>269</v>
      </c>
      <c r="C104" s="37">
        <v>13.544</v>
      </c>
      <c r="D104" s="37">
        <v>39.717</v>
      </c>
      <c r="E104" s="37">
        <v>19.308</v>
      </c>
      <c r="F104" s="37">
        <v>82.056</v>
      </c>
      <c r="G104" s="37">
        <v>3.953</v>
      </c>
      <c r="H104" s="21"/>
      <c r="I104" s="1"/>
      <c r="J104" s="1"/>
    </row>
    <row r="105">
      <c r="A105" s="1"/>
      <c r="B105" s="19" t="s">
        <v>146</v>
      </c>
      <c r="C105" s="8">
        <f>ROUND(C99-C104,3)</f>
        <v>0</v>
      </c>
      <c r="D105" s="8">
        <f>ROUND(D99-D104,3)</f>
        <v>0</v>
      </c>
      <c r="E105" s="8">
        <f>ROUND(E99-E104,3)</f>
        <v>0</v>
      </c>
      <c r="F105" s="8">
        <f>ROUND(F99-F104,3)</f>
        <v>0</v>
      </c>
      <c r="G105" s="8">
        <f>ROUND(G99-G104,3)</f>
        <v>0</v>
      </c>
      <c r="H105" s="21"/>
      <c r="I105" s="1"/>
      <c r="J105" s="1"/>
    </row>
    <row r="106">
      <c r="A106" s="1"/>
      <c r="B106" s="1" t="s">
        <v>270</v>
      </c>
      <c r="C106" s="26">
        <f>'Share Count'!C16</f>
        <v>23.012</v>
      </c>
      <c r="D106" s="26">
        <f>'Share Count'!D16</f>
        <v>23.18</v>
      </c>
      <c r="E106" s="26">
        <f>'Share Count'!E16</f>
        <v>23.234</v>
      </c>
      <c r="F106" s="26">
        <f>'Share Count'!F16</f>
        <v>23.099</v>
      </c>
      <c r="G106" s="26">
        <f>'Share Count'!G16</f>
        <v>23.758</v>
      </c>
      <c r="H106" s="44">
        <f>'Share Count'!H16</f>
        <v>23.85</v>
      </c>
      <c r="I106" s="1"/>
      <c r="J106" s="1"/>
    </row>
    <row r="107">
      <c r="A107" s="1"/>
      <c r="B107" s="16" t="s">
        <v>271</v>
      </c>
      <c r="C107" s="66">
        <f>C99/C106</f>
        <v>0.5885624891361023</v>
      </c>
      <c r="D107" s="66">
        <f>D99/D106</f>
        <v>1.7134167385677332</v>
      </c>
      <c r="E107" s="66">
        <f>E99/E106</f>
        <v>0.8310235000430388</v>
      </c>
      <c r="F107" s="66">
        <f>F99/F106</f>
        <v>3.552361574094114</v>
      </c>
      <c r="G107" s="66">
        <f>G99/G106</f>
        <v>0.16638605943261298</v>
      </c>
      <c r="H107" s="75">
        <f>H99/H106</f>
        <v>0.5418949692819706</v>
      </c>
      <c r="I107" s="1"/>
      <c r="J107" s="1" t="s">
        <v>272</v>
      </c>
    </row>
    <row r="108">
      <c r="A108" s="1"/>
      <c r="B108" s="1" t="s">
        <v>273</v>
      </c>
      <c r="C108" s="60">
        <v>0.59</v>
      </c>
      <c r="D108" s="60">
        <v>1.71</v>
      </c>
      <c r="E108" s="60">
        <v>0.83</v>
      </c>
      <c r="F108" s="60">
        <v>3.55</v>
      </c>
      <c r="G108" s="60">
        <v>0.17</v>
      </c>
      <c r="H108" s="67"/>
      <c r="I108" s="1"/>
      <c r="J108" s="1"/>
    </row>
    <row r="109">
      <c r="A109" s="1"/>
      <c r="B109" s="19" t="s">
        <v>274</v>
      </c>
      <c r="C109" s="8">
        <f>ROUND(C107,2)-C108</f>
        <v>0</v>
      </c>
      <c r="D109" s="8">
        <f>ROUND(D107,2)-D108</f>
        <v>0</v>
      </c>
      <c r="E109" s="8">
        <f>ROUND(E107,2)-E108</f>
        <v>0</v>
      </c>
      <c r="F109" s="8">
        <f>ROUND(F107,2)-F108</f>
        <v>0</v>
      </c>
      <c r="G109" s="8">
        <f>ROUND(G107,2)-G108</f>
        <v>0</v>
      </c>
      <c r="H109" s="21"/>
      <c r="I109" s="1"/>
      <c r="J109" s="1"/>
    </row>
    <row r="110">
      <c r="A110" s="1"/>
      <c r="B110" s="1" t="s">
        <v>275</v>
      </c>
      <c r="C110" s="60">
        <v>1.21</v>
      </c>
      <c r="D110" s="60">
        <v>2.67</v>
      </c>
      <c r="E110" s="4">
        <f>Inputs!E102</f>
        <v>2.33</v>
      </c>
      <c r="F110" s="60">
        <v>7.17</v>
      </c>
      <c r="G110" s="4">
        <f>Inputs!E103</f>
        <v>0.41</v>
      </c>
      <c r="H110" s="67">
        <f>C107</f>
        <v>0.5885624891361023</v>
      </c>
      <c r="I110" s="1"/>
      <c r="J110" s="1" t="s">
        <v>276</v>
      </c>
    </row>
    <row r="111">
      <c r="A111" s="1"/>
      <c r="B111" s="19" t="s">
        <v>277</v>
      </c>
      <c r="C111" s="3">
        <f>C107/C110-1</f>
        <v>-0.5135847197222294</v>
      </c>
      <c r="D111" s="3">
        <f>D107/D110-1</f>
        <v>-0.3582708844315605</v>
      </c>
      <c r="E111" s="3">
        <f>E107/E110-1</f>
        <v>-0.6433375536295971</v>
      </c>
      <c r="F111" s="3">
        <f>F107/F110-1</f>
        <v>-0.5045520817163021</v>
      </c>
      <c r="G111" s="3">
        <f>G107/G110-1</f>
        <v>-0.5941803428472854</v>
      </c>
      <c r="H111" s="20">
        <f>H107/H110-1</f>
        <v>-0.07929067977578863</v>
      </c>
      <c r="I111" s="1"/>
      <c r="J111" s="1"/>
    </row>
    <row r="112">
      <c r="A112" s="1"/>
      <c r="B112" s="1" t="s">
        <v>278</v>
      </c>
      <c r="C112" s="4">
        <f>C107-Inputs!E103</f>
        <v>0.17856248913610234</v>
      </c>
      <c r="D112" s="9">
        <f>D107-C107</f>
        <v>1.124854249431631</v>
      </c>
      <c r="E112" s="9">
        <f>E107-D107</f>
        <v>-0.8823932385246944</v>
      </c>
      <c r="F112" s="9"/>
      <c r="G112" s="9">
        <f>G107-E107</f>
        <v>-0.6646374406104258</v>
      </c>
      <c r="H112" s="67">
        <f>H107-G107</f>
        <v>0.3755089098493576</v>
      </c>
      <c r="I112" s="1"/>
      <c r="J112" s="1"/>
    </row>
    <row r="113">
      <c r="A113" s="1"/>
      <c r="B113" s="1"/>
      <c r="C113" s="1"/>
      <c r="D113" s="1"/>
      <c r="E113" s="1"/>
      <c r="F113" s="1"/>
      <c r="G113" s="1"/>
      <c r="H113" s="32"/>
      <c r="I113" s="1"/>
      <c r="J113" s="1"/>
    </row>
    <row r="114">
      <c r="A114" s="1"/>
      <c r="B114" s="16" t="s">
        <v>279</v>
      </c>
      <c r="C114" s="1"/>
      <c r="D114" s="1"/>
      <c r="E114" s="1"/>
      <c r="F114" s="1"/>
      <c r="G114" s="1"/>
      <c r="H114" s="32"/>
      <c r="I114" s="1"/>
      <c r="J114" s="1"/>
    </row>
    <row r="115">
      <c r="A115" s="1"/>
      <c r="B115" s="1" t="s">
        <v>280</v>
      </c>
      <c r="C115" s="9">
        <f>C54/C106</f>
        <v>-13.412263167043283</v>
      </c>
      <c r="D115" s="9">
        <f>D54/D106</f>
        <v>-3.6262295081967193</v>
      </c>
      <c r="E115" s="9">
        <f>E54/E106</f>
        <v>-2.391538262890592</v>
      </c>
      <c r="F115" s="9">
        <f>F54/F106</f>
        <v>-38.91865448720725</v>
      </c>
      <c r="G115" s="9">
        <f>G54/G106</f>
        <v>1.5052613856385226</v>
      </c>
      <c r="H115" s="67">
        <f>H54/H106</f>
        <v>0.17961672268025208</v>
      </c>
      <c r="I115" s="1"/>
      <c r="J115" s="1"/>
    </row>
    <row r="116">
      <c r="A116" s="1"/>
      <c r="B116" s="1" t="s">
        <v>281</v>
      </c>
      <c r="C116" s="9">
        <f>(C76-C85)/C106</f>
        <v>12.774856596558319</v>
      </c>
      <c r="D116" s="9">
        <f>(D76-D85)/D106</f>
        <v>3.1120793787748062</v>
      </c>
      <c r="E116" s="9">
        <f>(E76-E85)/E106</f>
        <v>2.746233967461478</v>
      </c>
      <c r="F116" s="9">
        <f>(F76-F85)/F106</f>
        <v>37.49396077752284</v>
      </c>
      <c r="G116" s="9">
        <f>(G76-G85)/G106</f>
        <v>0</v>
      </c>
      <c r="H116" s="67">
        <f>(H76-H85)/H106</f>
        <v>0</v>
      </c>
      <c r="I116" s="1"/>
      <c r="J116" s="1"/>
    </row>
    <row r="117">
      <c r="A117" s="1"/>
      <c r="B117" s="1" t="s">
        <v>282</v>
      </c>
      <c r="C117" s="9">
        <f>(C77-C86)/C106</f>
        <v>0</v>
      </c>
      <c r="D117" s="9">
        <f>(D77-D86)/D106</f>
        <v>0</v>
      </c>
      <c r="E117" s="9">
        <f>(E77-E86)/E106</f>
        <v>0</v>
      </c>
      <c r="F117" s="9">
        <f>(F77-F86)/F106</f>
        <v>0.14420537685614096</v>
      </c>
      <c r="G117" s="9">
        <f>(G77-G86)/G106</f>
        <v>0</v>
      </c>
      <c r="H117" s="67">
        <f>(H77-H86)/H106</f>
        <v>0</v>
      </c>
      <c r="I117" s="1"/>
      <c r="J117" s="1"/>
    </row>
    <row r="118">
      <c r="A118" s="1"/>
      <c r="B118" s="1" t="s">
        <v>283</v>
      </c>
      <c r="C118" s="9">
        <f>(C78-C87)/C106</f>
        <v>0</v>
      </c>
      <c r="D118" s="9">
        <f>(D78-D87)/D106</f>
        <v>0</v>
      </c>
      <c r="E118" s="9">
        <f>(E78-E87)/E106</f>
        <v>0.23534475337866917</v>
      </c>
      <c r="F118" s="9">
        <f>(F78-F87)/F106</f>
        <v>0.23672020433785013</v>
      </c>
      <c r="G118" s="9">
        <f>(G78-G87)/G106</f>
        <v>0</v>
      </c>
      <c r="H118" s="67">
        <f>(H78-H87)/H106</f>
        <v>0</v>
      </c>
      <c r="I118" s="1"/>
      <c r="J118" s="1"/>
    </row>
    <row r="119">
      <c r="A119" s="1"/>
      <c r="B119" s="1" t="s">
        <v>284</v>
      </c>
      <c r="C119" s="9">
        <f>(C79-C88)/C106</f>
        <v>0.11228924039631497</v>
      </c>
      <c r="D119" s="9">
        <f>(D79-D88)/D106</f>
        <v>0</v>
      </c>
      <c r="E119" s="9">
        <f>(E79-E88)/E106</f>
        <v>0</v>
      </c>
      <c r="F119" s="9">
        <f>(F79-F88)/F106</f>
        <v>0.11186631455907182</v>
      </c>
      <c r="G119" s="9">
        <f>(G79-G88)/G106</f>
        <v>0</v>
      </c>
      <c r="H119" s="67">
        <f>(H79-H88)/H106</f>
        <v>0</v>
      </c>
      <c r="I119" s="1"/>
      <c r="J119" s="1"/>
    </row>
    <row r="120">
      <c r="A120" s="1"/>
      <c r="B120" s="1" t="s">
        <v>285</v>
      </c>
      <c r="C120" s="9">
        <f>(C80-C89)/C106</f>
        <v>0</v>
      </c>
      <c r="D120" s="9">
        <f>(D80-D89)/D106</f>
        <v>0</v>
      </c>
      <c r="E120" s="9">
        <f>(E80-E89)/E106</f>
        <v>0</v>
      </c>
      <c r="F120" s="9">
        <f>(F80-F89)/F106</f>
        <v>0</v>
      </c>
      <c r="G120" s="9">
        <f>(G80-G89)/G106</f>
        <v>-1.7385722703931308</v>
      </c>
      <c r="H120" s="67">
        <f>(H80-H89)/H106</f>
        <v>0</v>
      </c>
      <c r="I120" s="1"/>
      <c r="J120" s="1"/>
    </row>
    <row r="121">
      <c r="A121" s="1"/>
      <c r="B121" s="1" t="s">
        <v>286</v>
      </c>
      <c r="C121" s="9">
        <f>-C90/C106</f>
        <v>0.5859986094211715</v>
      </c>
      <c r="D121" s="9">
        <f>-D90/D106</f>
        <v>1.9006039689387402</v>
      </c>
      <c r="E121" s="9">
        <f>-E90/E106</f>
        <v>0</v>
      </c>
      <c r="F121" s="9">
        <f>-F90/F106</f>
        <v>3.204251266288584</v>
      </c>
      <c r="G121" s="9">
        <f>-G90/G106</f>
        <v>0</v>
      </c>
      <c r="H121" s="67">
        <f>-H90/H106</f>
        <v>0</v>
      </c>
      <c r="I121" s="1"/>
      <c r="J121" s="1"/>
    </row>
    <row r="122">
      <c r="A122" s="1"/>
      <c r="B122" s="1" t="s">
        <v>287</v>
      </c>
      <c r="C122" s="9">
        <f>(C81-C91)/C106</f>
        <v>0.13975317225795236</v>
      </c>
      <c r="D122" s="9">
        <f>(D81-D91)/D106</f>
        <v>0.13244176013805006</v>
      </c>
      <c r="E122" s="9">
        <f>(E81-E91)/E106</f>
        <v>0.16066970818627874</v>
      </c>
      <c r="F122" s="9">
        <f>(F81-F91)/F106</f>
        <v>0.6115416251785792</v>
      </c>
      <c r="G122" s="9">
        <f>(G81-G91)/G106</f>
        <v>0.14660324943177036</v>
      </c>
      <c r="H122" s="67">
        <f>(H81-H91)/H106</f>
        <v>0.1460377358490566</v>
      </c>
      <c r="I122" s="1"/>
      <c r="J122" s="1"/>
    </row>
    <row r="123">
      <c r="A123" s="1"/>
      <c r="B123" s="1" t="s">
        <v>288</v>
      </c>
      <c r="C123" s="9">
        <f>(C82-C92)/C106</f>
        <v>0.3879280375456283</v>
      </c>
      <c r="D123" s="9">
        <f>(D82-D92)/D106</f>
        <v>0.19452113891285588</v>
      </c>
      <c r="E123" s="9">
        <f>(E82-E92)/E106</f>
        <v>0.08031333390720496</v>
      </c>
      <c r="F123" s="9">
        <f>(F82-F92)/F106</f>
        <v>0.6684704965582925</v>
      </c>
      <c r="G123" s="9">
        <f>(G82-G92)/G106</f>
        <v>0.25309369475545074</v>
      </c>
      <c r="H123" s="67">
        <f>(H82-H92)/H106</f>
        <v>0.21624051075266193</v>
      </c>
      <c r="I123" s="1"/>
      <c r="J123" s="1"/>
    </row>
    <row r="124">
      <c r="A124" s="1"/>
      <c r="B124" s="16" t="s">
        <v>289</v>
      </c>
      <c r="C124" s="66">
        <f>SUM(C115:C123)</f>
        <v>0.5885624891361027</v>
      </c>
      <c r="D124" s="66">
        <f>SUM(D115:D123)</f>
        <v>1.713416738567733</v>
      </c>
      <c r="E124" s="66">
        <f>SUM(E115:E123)</f>
        <v>0.8310235000430389</v>
      </c>
      <c r="F124" s="66">
        <f>SUM(F115:F123)</f>
        <v>3.5523615740941064</v>
      </c>
      <c r="G124" s="66">
        <f>SUM(G115:G123)</f>
        <v>0.16638605943261295</v>
      </c>
      <c r="H124" s="75">
        <f>SUM(H115:H123)</f>
        <v>0.5418949692819706</v>
      </c>
      <c r="I124" s="1"/>
      <c r="J124" s="1"/>
    </row>
    <row r="125">
      <c r="A125" s="1"/>
      <c r="B125" s="19" t="s">
        <v>290</v>
      </c>
      <c r="C125" s="8">
        <f>ROUND(C124-C107,6)</f>
        <v>0</v>
      </c>
      <c r="D125" s="8">
        <f>ROUND(D124-D107,6)</f>
        <v>0</v>
      </c>
      <c r="E125" s="8">
        <f>ROUND(E124-E107,6)</f>
        <v>0</v>
      </c>
      <c r="F125" s="8">
        <f>ROUND(F124-F107,6)</f>
        <v>0</v>
      </c>
      <c r="G125" s="8">
        <f>ROUND(G124-G107,6)</f>
        <v>0</v>
      </c>
      <c r="H125" s="21">
        <f>ROUND(H124-H107,6)</f>
        <v>0</v>
      </c>
      <c r="I125" s="1"/>
      <c r="J125" s="1" t="s">
        <v>291</v>
      </c>
    </row>
    <row r="126">
      <c r="A126" s="1"/>
      <c r="B126" s="1"/>
      <c r="C126" s="1"/>
      <c r="D126" s="1"/>
      <c r="E126" s="1"/>
      <c r="F126" s="1"/>
      <c r="G126" s="1"/>
      <c r="H126" s="32"/>
      <c r="I126" s="1"/>
      <c r="J126" s="1"/>
    </row>
    <row r="127">
      <c r="A127" s="1"/>
      <c r="B127" s="16" t="s">
        <v>292</v>
      </c>
      <c r="C127" s="1"/>
      <c r="D127" s="1"/>
      <c r="E127" s="1"/>
      <c r="F127" s="1"/>
      <c r="G127" s="1"/>
      <c r="H127" s="32"/>
      <c r="I127" s="1"/>
      <c r="J127" s="1"/>
    </row>
    <row r="128">
      <c r="A128" s="1"/>
      <c r="B128" s="16" t="s">
        <v>143</v>
      </c>
      <c r="C128" s="43">
        <f>'Segment - Home &amp; Outdoor'!C54+'Segment - Beauty &amp; Wellness'!C54</f>
        <v>26.938999999999993</v>
      </c>
      <c r="D128" s="43">
        <f>'Segment - Home &amp; Outdoor'!D54+'Segment - Beauty &amp; Wellness'!D54</f>
        <v>66.274</v>
      </c>
      <c r="E128" s="43">
        <f>'Segment - Home &amp; Outdoor'!E54+'Segment - Beauty &amp; Wellness'!E54</f>
        <v>39.238</v>
      </c>
      <c r="F128" s="43">
        <f>'Segment - Home &amp; Outdoor'!F54+'Segment - Beauty &amp; Wellness'!F54</f>
        <v>148.56700000000006</v>
      </c>
      <c r="G128" s="43">
        <f>'Segment - Home &amp; Outdoor'!G54+'Segment - Beauty &amp; Wellness'!G54</f>
        <v>16.086999999999996</v>
      </c>
      <c r="H128" s="46">
        <f>'Segment - Home &amp; Outdoor'!H54+'Segment - Beauty &amp; Wellness'!H54</f>
        <v>28.566912775</v>
      </c>
      <c r="I128" s="1"/>
      <c r="J128" s="1"/>
    </row>
    <row r="129">
      <c r="A129" s="1"/>
      <c r="B129" s="1" t="s">
        <v>147</v>
      </c>
      <c r="C129" s="6">
        <f>'Segment - Home &amp; Outdoor'!C57+'Segment - Beauty &amp; Wellness'!C57</f>
        <v>46.404</v>
      </c>
      <c r="D129" s="6">
        <f>'Segment - Home &amp; Outdoor'!D57+'Segment - Beauty &amp; Wellness'!D57</f>
        <v>87.91300000000001</v>
      </c>
      <c r="E129" s="6">
        <f>'Segment - Home &amp; Outdoor'!E57+'Segment - Beauty &amp; Wellness'!E57</f>
        <v>75.043</v>
      </c>
      <c r="F129" s="6">
        <f>'Segment - Home &amp; Outdoor'!F57+'Segment - Beauty &amp; Wellness'!F57</f>
        <v>252.31099999999998</v>
      </c>
      <c r="G129" s="6">
        <f>'Segment - Home &amp; Outdoor'!G57+'Segment - Beauty &amp; Wellness'!G57</f>
        <v>16.116</v>
      </c>
      <c r="H129" s="47">
        <f>'Segment - Home &amp; Outdoor'!H57+'Segment - Beauty &amp; Wellness'!H57</f>
        <v>26.938999999999993</v>
      </c>
      <c r="I129" s="1"/>
      <c r="J129" s="1"/>
    </row>
    <row r="130">
      <c r="A130" s="1"/>
      <c r="B130" s="19" t="s">
        <v>148</v>
      </c>
      <c r="C130" s="3">
        <f>C128/C129-1</f>
        <v>-0.41946814929747456</v>
      </c>
      <c r="D130" s="3">
        <f>D128/D129-1</f>
        <v>-0.24614107128638552</v>
      </c>
      <c r="E130" s="3">
        <f>E128/E129-1</f>
        <v>-0.47712644750343136</v>
      </c>
      <c r="F130" s="3">
        <f>F128/F129-1</f>
        <v>-0.4111750973996374</v>
      </c>
      <c r="G130" s="3">
        <f>G128/G129-1</f>
        <v>-0.00179945395879888</v>
      </c>
      <c r="H130" s="20">
        <f>H128/H129-1</f>
        <v>0.06042959185567409</v>
      </c>
      <c r="I130" s="1"/>
      <c r="J130" s="1"/>
    </row>
    <row r="131">
      <c r="A131" s="1"/>
      <c r="B131" s="1" t="s">
        <v>149</v>
      </c>
      <c r="C131" s="8">
        <f>C128-(G129)</f>
        <v>10.822999999999993</v>
      </c>
      <c r="D131" s="8">
        <f>D128-C128</f>
        <v>39.33500000000001</v>
      </c>
      <c r="E131" s="8">
        <f>E128-D128</f>
        <v>-27.036</v>
      </c>
      <c r="F131" s="8"/>
      <c r="G131" s="8">
        <f>G128-E128</f>
        <v>-23.151000000000003</v>
      </c>
      <c r="H131" s="21">
        <f>H128-G128</f>
        <v>12.479912775000003</v>
      </c>
      <c r="I131" s="1"/>
      <c r="J131" s="1"/>
    </row>
    <row r="132">
      <c r="A132" s="1"/>
      <c r="B132" s="19" t="s">
        <v>157</v>
      </c>
      <c r="C132" s="3">
        <f>C128/C10</f>
        <v>0.06239042477552277</v>
      </c>
      <c r="D132" s="3">
        <f>D128/D10</f>
        <v>0.129232161207732</v>
      </c>
      <c r="E132" s="3">
        <f>E128/E10</f>
        <v>0.08348066592202542</v>
      </c>
      <c r="F132" s="3">
        <f>F128/F10</f>
        <v>0.08317070576446157</v>
      </c>
      <c r="G132" s="3">
        <f>G128/G10</f>
        <v>0.04000596844186364</v>
      </c>
      <c r="H132" s="20">
        <f>H128/H10</f>
        <v>0.06458883048222265</v>
      </c>
      <c r="I132" s="1"/>
      <c r="J132" s="1"/>
    </row>
    <row r="133">
      <c r="A133" s="1"/>
      <c r="B133" s="19" t="s">
        <v>154</v>
      </c>
      <c r="C133" s="50">
        <f>(C132-C129/C11)*10000</f>
        <v>-354.6268590494056</v>
      </c>
      <c r="D133" s="50">
        <f>(D132-D129/D11)*10000</f>
        <v>-364.20761502770625</v>
      </c>
      <c r="E133" s="50">
        <f>(E132-E129/E11)*10000</f>
        <v>-709.6343779670987</v>
      </c>
      <c r="F133" s="50">
        <f>(F132-F129/F11)*10000</f>
        <v>-490.90985884753565</v>
      </c>
      <c r="G133" s="50">
        <f>(G132-G129/G11)*10000</f>
        <v>-33.568276997192825</v>
      </c>
      <c r="H133" s="51">
        <f>(H132-H129/H11)*10000</f>
        <v>21.984057066998798</v>
      </c>
      <c r="I133" s="1"/>
      <c r="J133" s="1"/>
    </row>
    <row r="134">
      <c r="A134" s="1"/>
      <c r="B134" s="19" t="s">
        <v>155</v>
      </c>
      <c r="C134" s="50">
        <f>(C132-(G129/G11))*10000</f>
        <v>190.2762863393985</v>
      </c>
      <c r="D134" s="50">
        <f>(D132-C132)*10000</f>
        <v>668.4173643220923</v>
      </c>
      <c r="E134" s="50">
        <f>(E132-D132)*10000</f>
        <v>-457.51495285706585</v>
      </c>
      <c r="F134" s="50"/>
      <c r="G134" s="50">
        <f>(G132-E132)*10000</f>
        <v>-434.74697480161785</v>
      </c>
      <c r="H134" s="51">
        <f>(H132-G132)*10000</f>
        <v>245.82862040359012</v>
      </c>
      <c r="I134" s="1"/>
      <c r="J134" s="1"/>
    </row>
    <row r="135">
      <c r="A135" s="1"/>
      <c r="B135" s="16" t="s">
        <v>293</v>
      </c>
      <c r="C135" s="43">
        <f>'Segment - Home &amp; Outdoor'!C74+'Segment - Beauty &amp; Wellness'!C74</f>
        <v>36.16299999999999</v>
      </c>
      <c r="D135" s="43">
        <f>'Segment - Home &amp; Outdoor'!D74+'Segment - Beauty &amp; Wellness'!D74</f>
        <v>75.614</v>
      </c>
      <c r="E135" s="43">
        <f>'Segment - Home &amp; Outdoor'!E74+'Segment - Beauty &amp; Wellness'!E74</f>
        <v>48.48899999999999</v>
      </c>
      <c r="F135" s="43">
        <f>'Segment - Home &amp; Outdoor'!F74+'Segment - Beauty &amp; Wellness'!F74</f>
        <v>185.78500000000008</v>
      </c>
      <c r="G135" s="43">
        <f>'Segment - Home &amp; Outdoor'!G74+'Segment - Beauty &amp; Wellness'!G74</f>
        <v>25.527</v>
      </c>
      <c r="H135" s="46">
        <f>'Segment - Home &amp; Outdoor'!H74+'Segment - Beauty &amp; Wellness'!H74</f>
        <v>36.81957944166667</v>
      </c>
      <c r="I135" s="1"/>
      <c r="J135" s="1"/>
    </row>
    <row r="136">
      <c r="A136" s="1"/>
      <c r="B136" s="1" t="s">
        <v>166</v>
      </c>
      <c r="C136" s="6">
        <f>'Segment - Home &amp; Outdoor'!C77+'Segment - Beauty &amp; Wellness'!C77</f>
        <v>55.827</v>
      </c>
      <c r="D136" s="6">
        <f>'Segment - Home &amp; Outdoor'!D77+'Segment - Beauty &amp; Wellness'!D77</f>
        <v>96.786</v>
      </c>
      <c r="E136" s="6">
        <f>'Segment - Home &amp; Outdoor'!E77+'Segment - Beauty &amp; Wellness'!E77</f>
        <v>84.342</v>
      </c>
      <c r="F136" s="6">
        <f>'Segment - Home &amp; Outdoor'!F77+'Segment - Beauty &amp; Wellness'!F77</f>
        <v>289.322</v>
      </c>
      <c r="G136" s="6">
        <f>'Segment - Home &amp; Outdoor'!G77+'Segment - Beauty &amp; Wellness'!G77</f>
        <v>25.519</v>
      </c>
      <c r="H136" s="47">
        <f>'Segment - Home &amp; Outdoor'!H77+'Segment - Beauty &amp; Wellness'!H77</f>
        <v>36.16299999999999</v>
      </c>
      <c r="I136" s="1"/>
      <c r="J136" s="1"/>
    </row>
    <row r="137">
      <c r="A137" s="1"/>
      <c r="B137" s="19" t="s">
        <v>167</v>
      </c>
      <c r="C137" s="3">
        <f>C135/C136-1</f>
        <v>-0.35223099933723845</v>
      </c>
      <c r="D137" s="3">
        <f>D135/D136-1</f>
        <v>-0.21875064575455128</v>
      </c>
      <c r="E137" s="3">
        <f>E135/E136-1</f>
        <v>-0.4250907021412821</v>
      </c>
      <c r="F137" s="3">
        <f>F135/F136-1</f>
        <v>-0.35786079178216634</v>
      </c>
      <c r="G137" s="3">
        <f>G135/G136-1</f>
        <v>0.0003134919079901266</v>
      </c>
      <c r="H137" s="20">
        <f>H135/H136-1</f>
        <v>0.018156110988211127</v>
      </c>
      <c r="I137" s="1"/>
      <c r="J137" s="1"/>
    </row>
    <row r="138">
      <c r="A138" s="1"/>
      <c r="B138" s="1" t="s">
        <v>168</v>
      </c>
      <c r="C138" s="8">
        <f>C135-(G136)</f>
        <v>10.643999999999991</v>
      </c>
      <c r="D138" s="8">
        <f>D135-C135</f>
        <v>39.451000000000015</v>
      </c>
      <c r="E138" s="8">
        <f>E135-D135</f>
        <v>-27.125000000000014</v>
      </c>
      <c r="F138" s="8"/>
      <c r="G138" s="8">
        <f>G135-E135</f>
        <v>-22.96199999999999</v>
      </c>
      <c r="H138" s="21">
        <f>H135-G135</f>
        <v>11.292579441666668</v>
      </c>
      <c r="I138" s="1"/>
      <c r="J138" s="1"/>
    </row>
    <row r="139">
      <c r="A139" s="1"/>
      <c r="B139" s="19" t="s">
        <v>169</v>
      </c>
      <c r="C139" s="3">
        <f>C135/C10</f>
        <v>0.08375310632010208</v>
      </c>
      <c r="D139" s="3">
        <f>D135/D10</f>
        <v>0.1474448597875705</v>
      </c>
      <c r="E139" s="3">
        <f>E135/E10</f>
        <v>0.10316259773416306</v>
      </c>
      <c r="F139" s="3">
        <f>F135/F10</f>
        <v>0.10400606844353386</v>
      </c>
      <c r="G139" s="3">
        <f>G135/G10</f>
        <v>0.06348183977220447</v>
      </c>
      <c r="H139" s="20">
        <f>H135/H10</f>
        <v>0.08324783268375205</v>
      </c>
      <c r="I139" s="1"/>
      <c r="J139" s="1"/>
    </row>
    <row r="140">
      <c r="A140" s="1"/>
      <c r="B140" s="19" t="s">
        <v>154</v>
      </c>
      <c r="C140" s="50">
        <f>(C139-C136/C11)*10000</f>
        <v>-339.7048668822104</v>
      </c>
      <c r="D140" s="50">
        <f>(D139-D136/D11)*10000</f>
        <v>-349.27301069853394</v>
      </c>
      <c r="E140" s="50">
        <f>(E139-E136/E11)*10000</f>
        <v>-704.1954311635692</v>
      </c>
      <c r="F140" s="50">
        <f>(F139-F136/F11)*10000</f>
        <v>-476.568283439</v>
      </c>
      <c r="G140" s="50">
        <f>(G139-G136/G11)*10000</f>
        <v>-51.81302120141937</v>
      </c>
      <c r="H140" s="51">
        <f>(H139-H136/H11)*10000</f>
        <v>-5.052736363500287</v>
      </c>
      <c r="I140" s="1"/>
      <c r="J140" s="1"/>
    </row>
    <row r="141">
      <c r="A141" s="1"/>
      <c r="B141" s="19" t="s">
        <v>155</v>
      </c>
      <c r="C141" s="50">
        <f>(C139-(G136/G11))*10000</f>
        <v>150.89964427755675</v>
      </c>
      <c r="D141" s="50">
        <f>(D139-C139)*10000</f>
        <v>636.9175346746841</v>
      </c>
      <c r="E141" s="50">
        <f>(E139-D139)*10000</f>
        <v>-442.82262053407436</v>
      </c>
      <c r="F141" s="50"/>
      <c r="G141" s="50">
        <f>(G139-E139)*10000</f>
        <v>-396.8075796195859</v>
      </c>
      <c r="H141" s="51">
        <f>(H139-G139)*10000</f>
        <v>197.65992911547585</v>
      </c>
      <c r="I141" s="1"/>
      <c r="J141" s="1"/>
    </row>
    <row r="142">
      <c r="A142" s="1"/>
      <c r="B142" s="1" t="s">
        <v>165</v>
      </c>
      <c r="C142" s="37">
        <v>36.163</v>
      </c>
      <c r="D142" s="37">
        <v>75.614</v>
      </c>
      <c r="E142" s="37">
        <v>48.489</v>
      </c>
      <c r="F142" s="37">
        <v>185.785</v>
      </c>
      <c r="G142" s="37">
        <v>25.527</v>
      </c>
      <c r="H142" s="21"/>
      <c r="I142" s="1"/>
      <c r="J142" s="1"/>
    </row>
    <row r="143">
      <c r="A143" s="1"/>
      <c r="B143" s="19" t="s">
        <v>146</v>
      </c>
      <c r="C143" s="8">
        <f>ROUND(C135-C142,3)</f>
        <v>0</v>
      </c>
      <c r="D143" s="8">
        <f>ROUND(D135-D142,3)</f>
        <v>0</v>
      </c>
      <c r="E143" s="8">
        <f>ROUND(E135-E142,3)</f>
        <v>0</v>
      </c>
      <c r="F143" s="8">
        <f>ROUND(F135-F142,3)</f>
        <v>0</v>
      </c>
      <c r="G143" s="8">
        <f>ROUND(G135-G142,3)</f>
        <v>0</v>
      </c>
      <c r="H143" s="21"/>
      <c r="I143" s="1"/>
      <c r="J143" s="1"/>
    </row>
    <row r="144">
      <c r="A144" s="1"/>
      <c r="B144" s="1"/>
      <c r="C144" s="1"/>
      <c r="D144" s="1"/>
      <c r="E144" s="1"/>
      <c r="F144" s="1"/>
      <c r="G144" s="1"/>
      <c r="H144" s="32"/>
      <c r="I144" s="1"/>
      <c r="J144" s="1"/>
    </row>
    <row r="145">
      <c r="A145" s="1"/>
      <c r="B145" s="16" t="s">
        <v>294</v>
      </c>
      <c r="C145" s="1"/>
      <c r="D145" s="1"/>
      <c r="E145" s="1"/>
      <c r="F145" s="1"/>
      <c r="G145" s="1"/>
      <c r="H145" s="32"/>
      <c r="I145" s="1"/>
      <c r="J145" s="1"/>
    </row>
    <row r="146">
      <c r="A146" s="1"/>
      <c r="B146" s="1" t="s">
        <v>295</v>
      </c>
      <c r="C146" s="4">
        <f>Inputs!E104</f>
        <v>0.59</v>
      </c>
      <c r="D146" s="4">
        <f>Inputs!E105</f>
        <v>1.71</v>
      </c>
      <c r="E146" s="4">
        <f>Inputs!E106</f>
        <v>0.83</v>
      </c>
      <c r="F146" s="9"/>
      <c r="G146" s="4">
        <f>Inputs!E107</f>
        <v>0.17</v>
      </c>
      <c r="H146" s="67"/>
      <c r="I146" s="1"/>
      <c r="J146" s="1" t="s">
        <v>87</v>
      </c>
    </row>
    <row r="147">
      <c r="A147" s="1"/>
      <c r="B147" s="1" t="s">
        <v>296</v>
      </c>
      <c r="C147" s="4">
        <f>Inputs!D104</f>
        <v>0.53</v>
      </c>
      <c r="D147" s="4">
        <f>Inputs!D105</f>
        <v>1.68</v>
      </c>
      <c r="E147" s="4">
        <f>Inputs!D106</f>
        <v>0.7</v>
      </c>
      <c r="F147" s="9"/>
      <c r="G147" s="4">
        <f>Inputs!D107</f>
        <v>0.02</v>
      </c>
      <c r="H147" s="76">
        <f>Inputs!C39</f>
        <v>0.5</v>
      </c>
      <c r="I147" s="1"/>
      <c r="J147" s="1" t="s">
        <v>297</v>
      </c>
    </row>
    <row r="148">
      <c r="A148" s="1"/>
      <c r="B148" s="1" t="s">
        <v>298</v>
      </c>
      <c r="C148" s="9">
        <f>C107-C147</f>
        <v>0.05856248913610229</v>
      </c>
      <c r="D148" s="9">
        <f>D107-D147</f>
        <v>0.033416738567733306</v>
      </c>
      <c r="E148" s="9">
        <f>E107-E147</f>
        <v>0.13102350004303887</v>
      </c>
      <c r="F148" s="9"/>
      <c r="G148" s="9">
        <f>G107-G147</f>
        <v>0.14638605943261299</v>
      </c>
      <c r="H148" s="67">
        <f>H107-H147</f>
        <v>0.04189496928197056</v>
      </c>
      <c r="I148" s="1"/>
      <c r="J148" s="1"/>
    </row>
    <row r="149">
      <c r="A149" s="1"/>
      <c r="B149" s="19" t="s">
        <v>299</v>
      </c>
      <c r="C149" s="8">
        <f>C108-C146</f>
        <v>0</v>
      </c>
      <c r="D149" s="8">
        <f>D108-D146</f>
        <v>0</v>
      </c>
      <c r="E149" s="8">
        <f>E108-E146</f>
        <v>0</v>
      </c>
      <c r="F149" s="8"/>
      <c r="G149" s="8">
        <f>G108-G146</f>
        <v>0</v>
      </c>
      <c r="H149" s="21"/>
      <c r="I149" s="1"/>
      <c r="J149" s="1"/>
    </row>
    <row r="150">
      <c r="A150" s="1"/>
      <c r="B150" s="1" t="s">
        <v>300</v>
      </c>
      <c r="C150" s="4">
        <f>Inputs!G104</f>
        <v>-13.44</v>
      </c>
      <c r="D150" s="4">
        <f>Inputs!G105</f>
        <v>-3.65</v>
      </c>
      <c r="E150" s="4">
        <f>Inputs!G106</f>
        <v>-2.41</v>
      </c>
      <c r="F150" s="9"/>
      <c r="G150" s="4">
        <f>Inputs!G107</f>
        <v>1.51</v>
      </c>
      <c r="H150" s="67"/>
      <c r="I150" s="1"/>
      <c r="J150" s="1"/>
    </row>
    <row r="151">
      <c r="A151" s="1"/>
      <c r="B151" s="1" t="s">
        <v>301</v>
      </c>
      <c r="C151" s="4">
        <f>Inputs!F104</f>
        <v>0.27</v>
      </c>
      <c r="D151" s="4">
        <f>Inputs!F105</f>
        <v>1.36</v>
      </c>
      <c r="E151" s="4">
        <f>Inputs!F106</f>
        <v>0.44</v>
      </c>
      <c r="F151" s="9"/>
      <c r="G151" s="4">
        <f>Inputs!F107</f>
        <v>-0.22</v>
      </c>
      <c r="H151" s="76">
        <f>Inputs!C48</f>
        <v>0.25</v>
      </c>
      <c r="I151" s="1"/>
      <c r="J151" s="1" t="s">
        <v>302</v>
      </c>
    </row>
    <row r="152">
      <c r="A152" s="1"/>
      <c r="B152" s="1"/>
      <c r="C152" s="1"/>
      <c r="D152" s="1"/>
      <c r="E152" s="1"/>
      <c r="F152" s="1"/>
      <c r="G152" s="1"/>
      <c r="H152" s="32"/>
      <c r="I152" s="1"/>
      <c r="J152" s="1"/>
    </row>
    <row r="153">
      <c r="A153" s="1"/>
      <c r="B153" s="16" t="s">
        <v>303</v>
      </c>
      <c r="C153" s="1"/>
      <c r="D153" s="1"/>
      <c r="E153" s="1"/>
      <c r="F153" s="1"/>
      <c r="G153" s="1"/>
      <c r="H153" s="32"/>
      <c r="I153" s="1"/>
      <c r="J153" s="1"/>
    </row>
    <row r="154">
      <c r="A154" s="1"/>
      <c r="B154" s="19" t="s">
        <v>304</v>
      </c>
      <c r="C154" s="8"/>
      <c r="D154" s="8"/>
      <c r="E154" s="8"/>
      <c r="F154" s="6">
        <f>ROUND(F10-(Inputs!C139+C10+D10+E10),3)</f>
        <v>0</v>
      </c>
      <c r="G154" s="8"/>
      <c r="H154" s="21"/>
      <c r="I154" s="1"/>
      <c r="J154" s="1"/>
    </row>
    <row r="155">
      <c r="A155" s="1"/>
      <c r="B155" s="19" t="s">
        <v>305</v>
      </c>
      <c r="C155" s="8"/>
      <c r="D155" s="8"/>
      <c r="E155" s="8"/>
      <c r="F155" s="6">
        <f>ROUND(F17-(Inputs!C142+C17+D17+E17),3)</f>
        <v>0</v>
      </c>
      <c r="G155" s="8"/>
      <c r="H155" s="21"/>
      <c r="I155" s="1"/>
      <c r="J155" s="1"/>
    </row>
    <row r="156">
      <c r="A156" s="1"/>
      <c r="B156" s="19" t="s">
        <v>306</v>
      </c>
      <c r="C156" s="8"/>
      <c r="D156" s="8"/>
      <c r="E156" s="8"/>
      <c r="F156" s="6">
        <f>ROUND(F33-(Inputs!C143+C33+D33+E33),3)</f>
        <v>0</v>
      </c>
      <c r="G156" s="8"/>
      <c r="H156" s="21"/>
      <c r="I156" s="1"/>
      <c r="J156" s="1"/>
    </row>
    <row r="157">
      <c r="A157" s="1"/>
      <c r="B157" s="19" t="s">
        <v>307</v>
      </c>
      <c r="C157" s="8"/>
      <c r="D157" s="8"/>
      <c r="E157" s="8"/>
      <c r="F157" s="6">
        <f>ROUND(F54-(Inputs!C144+C54+D54+E54),3)</f>
        <v>0</v>
      </c>
      <c r="G157" s="8"/>
      <c r="H157" s="21"/>
      <c r="I157" s="1"/>
      <c r="J157" s="1"/>
    </row>
    <row r="158">
      <c r="A158" s="1"/>
      <c r="B158" s="1"/>
      <c r="C158" s="1"/>
      <c r="D158" s="1"/>
      <c r="E158" s="1"/>
      <c r="F158" s="1"/>
      <c r="G158" s="1"/>
      <c r="H158" s="32"/>
      <c r="I158" s="1"/>
      <c r="J158" s="1"/>
    </row>
    <row r="159">
      <c r="A159" s="1"/>
      <c r="B159" s="16" t="s">
        <v>308</v>
      </c>
      <c r="C159" s="1"/>
      <c r="D159" s="1"/>
      <c r="E159" s="1"/>
      <c r="F159" s="1"/>
      <c r="G159" s="1"/>
      <c r="H159" s="32"/>
      <c r="I159" s="1"/>
      <c r="J159" s="1"/>
    </row>
    <row r="160">
      <c r="A160" s="1"/>
      <c r="B160" s="19" t="s">
        <v>309</v>
      </c>
      <c r="C160" s="3"/>
      <c r="D160" s="3"/>
      <c r="E160" s="3"/>
      <c r="F160" s="3"/>
      <c r="G160" s="3"/>
      <c r="H160" s="56">
        <v>0.45</v>
      </c>
      <c r="I160" s="1"/>
      <c r="J160" s="1" t="s">
        <v>310</v>
      </c>
    </row>
    <row r="161">
      <c r="A161" s="1"/>
      <c r="B161" s="19" t="s">
        <v>311</v>
      </c>
      <c r="C161" s="3"/>
      <c r="D161" s="3"/>
      <c r="E161" s="3"/>
      <c r="F161" s="3"/>
      <c r="G161" s="3"/>
      <c r="H161" s="56">
        <v>0.255</v>
      </c>
      <c r="I161" s="1"/>
      <c r="J161" s="1" t="s">
        <v>312</v>
      </c>
    </row>
    <row r="162">
      <c r="A162" s="1"/>
      <c r="B162" s="19" t="s">
        <v>313</v>
      </c>
      <c r="C162" s="3"/>
      <c r="D162" s="3"/>
      <c r="E162" s="3"/>
      <c r="F162" s="3"/>
      <c r="G162" s="3"/>
      <c r="H162" s="20">
        <f>G91/G81</f>
        <v>0.16173285198555956</v>
      </c>
      <c r="I162" s="1"/>
      <c r="J162" s="1" t="s">
        <v>314</v>
      </c>
    </row>
    <row r="163">
      <c r="A163" s="1"/>
      <c r="B163" s="19" t="s">
        <v>315</v>
      </c>
      <c r="C163" s="3"/>
      <c r="D163" s="3"/>
      <c r="E163" s="3"/>
      <c r="F163" s="3"/>
      <c r="G163" s="3"/>
      <c r="H163" s="20">
        <f>G92/G82</f>
        <v>0.06586919372378437</v>
      </c>
      <c r="I163" s="1"/>
      <c r="J163" s="1" t="s">
        <v>314</v>
      </c>
    </row>
    <row r="164">
      <c r="A164" s="1"/>
      <c r="B164" s="1" t="s">
        <v>316</v>
      </c>
      <c r="C164" s="8"/>
      <c r="D164" s="8"/>
      <c r="E164" s="8"/>
      <c r="F164" s="8"/>
      <c r="G164" s="8"/>
      <c r="H164" s="47">
        <f>(Guidance!G74-G43)/3</f>
        <v>11.418999999999999</v>
      </c>
      <c r="I164" s="1"/>
      <c r="J164" s="1" t="s">
        <v>317</v>
      </c>
    </row>
    <row r="165">
      <c r="A165" s="1"/>
      <c r="B165" s="1"/>
      <c r="C165" s="1"/>
      <c r="D165" s="1"/>
      <c r="E165" s="1"/>
      <c r="F165" s="1"/>
      <c r="G165" s="1"/>
      <c r="H165" s="32"/>
      <c r="I165" s="1"/>
      <c r="J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J5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318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18" t="s">
        <v>4</v>
      </c>
      <c r="I5" s="1"/>
      <c r="J5" s="16" t="s">
        <v>36</v>
      </c>
    </row>
    <row r="6">
      <c r="A6" s="1"/>
      <c r="B6" s="14" t="s">
        <v>5</v>
      </c>
      <c r="C6" s="25">
        <v>45900</v>
      </c>
      <c r="D6" s="25">
        <v>45991</v>
      </c>
      <c r="E6" s="25">
        <v>46081</v>
      </c>
      <c r="F6" s="25">
        <v>46081</v>
      </c>
      <c r="G6" s="25">
        <v>46173</v>
      </c>
      <c r="H6" s="40">
        <v>46265</v>
      </c>
      <c r="I6" s="1"/>
      <c r="J6" s="1"/>
    </row>
    <row r="7">
      <c r="A7" s="1"/>
      <c r="B7" s="33" t="s">
        <v>6</v>
      </c>
      <c r="C7" s="17">
        <v>92</v>
      </c>
      <c r="D7" s="17">
        <v>91</v>
      </c>
      <c r="E7" s="17">
        <v>90</v>
      </c>
      <c r="F7" s="17">
        <v>365</v>
      </c>
      <c r="G7" s="17">
        <v>92</v>
      </c>
      <c r="H7" s="10">
        <v>92</v>
      </c>
      <c r="I7" s="1"/>
      <c r="J7" s="1"/>
    </row>
    <row r="8">
      <c r="A8" s="1"/>
      <c r="B8" s="1"/>
      <c r="C8" s="1"/>
      <c r="D8" s="1"/>
      <c r="E8" s="1"/>
      <c r="F8" s="1"/>
      <c r="G8" s="1"/>
      <c r="H8" s="32"/>
      <c r="I8" s="1"/>
      <c r="J8" s="1"/>
    </row>
    <row r="9">
      <c r="A9" s="1"/>
      <c r="B9" s="16" t="s">
        <v>319</v>
      </c>
      <c r="C9" s="1"/>
      <c r="D9" s="1"/>
      <c r="E9" s="1"/>
      <c r="F9" s="1"/>
      <c r="G9" s="1"/>
      <c r="H9" s="32"/>
      <c r="I9" s="1"/>
      <c r="J9" s="1"/>
    </row>
    <row r="10">
      <c r="A10" s="1"/>
      <c r="B10" s="1" t="s">
        <v>320</v>
      </c>
      <c r="C10" s="6">
        <f>Inputs!D195</f>
        <v>22.37</v>
      </c>
      <c r="D10" s="6">
        <f>Inputs!E195</f>
        <v>27.137</v>
      </c>
      <c r="E10" s="6">
        <f>Inputs!F195</f>
        <v>18.886</v>
      </c>
      <c r="F10" s="8">
        <f>E10</f>
        <v>18.886</v>
      </c>
      <c r="G10" s="6">
        <f>Inputs!G195</f>
        <v>21.682</v>
      </c>
      <c r="H10" s="21"/>
      <c r="I10" s="1"/>
      <c r="J10" s="1" t="s">
        <v>321</v>
      </c>
    </row>
    <row r="11">
      <c r="A11" s="1"/>
      <c r="B11" s="1" t="s">
        <v>322</v>
      </c>
      <c r="C11" s="37">
        <v>350.231</v>
      </c>
      <c r="D11" s="37">
        <v>435.977</v>
      </c>
      <c r="E11" s="37">
        <v>361.3</v>
      </c>
      <c r="F11" s="8">
        <f>E11</f>
        <v>361.3</v>
      </c>
      <c r="G11" s="37">
        <v>323.835</v>
      </c>
      <c r="H11" s="21"/>
      <c r="I11" s="1"/>
      <c r="J11" s="1"/>
    </row>
    <row r="12">
      <c r="A12" s="1"/>
      <c r="B12" s="1" t="s">
        <v>323</v>
      </c>
      <c r="C12" s="37">
        <v>528.893</v>
      </c>
      <c r="D12" s="37">
        <v>505.265</v>
      </c>
      <c r="E12" s="37">
        <v>455.812</v>
      </c>
      <c r="F12" s="8">
        <f>E12</f>
        <v>455.812</v>
      </c>
      <c r="G12" s="37">
        <v>467.395</v>
      </c>
      <c r="H12" s="21"/>
      <c r="I12" s="1"/>
      <c r="J12" s="1"/>
    </row>
    <row r="13">
      <c r="A13" s="1"/>
      <c r="B13" s="1" t="s">
        <v>324</v>
      </c>
      <c r="C13" s="37">
        <v>29.772</v>
      </c>
      <c r="D13" s="37">
        <v>27.639</v>
      </c>
      <c r="E13" s="37">
        <v>24.146</v>
      </c>
      <c r="F13" s="8">
        <f>E13</f>
        <v>24.146</v>
      </c>
      <c r="G13" s="37">
        <v>34.382</v>
      </c>
      <c r="H13" s="21"/>
      <c r="I13" s="1"/>
      <c r="J13" s="1"/>
    </row>
    <row r="14">
      <c r="A14" s="1"/>
      <c r="B14" s="1" t="s">
        <v>325</v>
      </c>
      <c r="C14" s="37">
        <v>6.863</v>
      </c>
      <c r="D14" s="37">
        <v>8.094</v>
      </c>
      <c r="E14" s="37">
        <v>5.375</v>
      </c>
      <c r="F14" s="8">
        <f>E14</f>
        <v>5.375</v>
      </c>
      <c r="G14" s="37">
        <v>8.96</v>
      </c>
      <c r="H14" s="21"/>
      <c r="I14" s="1"/>
      <c r="J14" s="1"/>
    </row>
    <row r="15">
      <c r="A15" s="1"/>
      <c r="B15" s="16" t="s">
        <v>326</v>
      </c>
      <c r="C15" s="39">
        <f>SUM(C10:C14)</f>
        <v>938.129</v>
      </c>
      <c r="D15" s="39">
        <f>SUM(D10:D14)</f>
        <v>1004.112</v>
      </c>
      <c r="E15" s="39">
        <f>SUM(E10:E14)</f>
        <v>865.519</v>
      </c>
      <c r="F15" s="39">
        <f>SUM(F10:F14)</f>
        <v>865.519</v>
      </c>
      <c r="G15" s="39">
        <f>SUM(G10:G14)</f>
        <v>856.254</v>
      </c>
      <c r="H15" s="41"/>
      <c r="I15" s="1"/>
      <c r="J15" s="1"/>
    </row>
    <row r="16">
      <c r="A16" s="1"/>
      <c r="B16" s="1" t="s">
        <v>327</v>
      </c>
      <c r="C16" s="37">
        <v>335.644</v>
      </c>
      <c r="D16" s="37">
        <v>331.248</v>
      </c>
      <c r="E16" s="37">
        <v>308.021</v>
      </c>
      <c r="F16" s="8">
        <f>E16</f>
        <v>308.021</v>
      </c>
      <c r="G16" s="37">
        <v>303.255</v>
      </c>
      <c r="H16" s="21"/>
      <c r="I16" s="1"/>
      <c r="J16" s="1"/>
    </row>
    <row r="17">
      <c r="A17" s="1"/>
      <c r="B17" s="1" t="s">
        <v>328</v>
      </c>
      <c r="C17" s="37">
        <v>569.15</v>
      </c>
      <c r="D17" s="37">
        <v>530.186</v>
      </c>
      <c r="E17" s="37">
        <v>472.281</v>
      </c>
      <c r="F17" s="8">
        <f>E17</f>
        <v>472.281</v>
      </c>
      <c r="G17" s="37">
        <v>472.281</v>
      </c>
      <c r="H17" s="21"/>
      <c r="I17" s="1"/>
      <c r="J17" s="1"/>
    </row>
    <row r="18">
      <c r="A18" s="1"/>
      <c r="B18" s="1" t="s">
        <v>329</v>
      </c>
      <c r="C18" s="37">
        <v>429.025</v>
      </c>
      <c r="D18" s="37">
        <v>398.527</v>
      </c>
      <c r="E18" s="37">
        <v>372.85</v>
      </c>
      <c r="F18" s="8">
        <f>E18</f>
        <v>372.85</v>
      </c>
      <c r="G18" s="37">
        <v>368.791</v>
      </c>
      <c r="H18" s="21"/>
      <c r="I18" s="1"/>
      <c r="J18" s="1"/>
    </row>
    <row r="19">
      <c r="A19" s="1"/>
      <c r="B19" s="1" t="s">
        <v>330</v>
      </c>
      <c r="C19" s="37">
        <v>35.296</v>
      </c>
      <c r="D19" s="37">
        <v>50.885</v>
      </c>
      <c r="E19" s="37">
        <v>49.371</v>
      </c>
      <c r="F19" s="8">
        <f>E19</f>
        <v>49.371</v>
      </c>
      <c r="G19" s="37">
        <v>54.741</v>
      </c>
      <c r="H19" s="21"/>
      <c r="I19" s="1"/>
      <c r="J19" s="1"/>
    </row>
    <row r="20">
      <c r="A20" s="1"/>
      <c r="B20" s="1" t="s">
        <v>331</v>
      </c>
      <c r="C20" s="37">
        <v>79.297</v>
      </c>
      <c r="D20" s="37">
        <v>3.648</v>
      </c>
      <c r="E20" s="37">
        <v>4.224</v>
      </c>
      <c r="F20" s="8">
        <f>E20</f>
        <v>4.224</v>
      </c>
      <c r="G20" s="37">
        <v>4.096</v>
      </c>
      <c r="H20" s="21"/>
      <c r="I20" s="1"/>
      <c r="J20" s="1"/>
    </row>
    <row r="21">
      <c r="A21" s="1"/>
      <c r="B21" s="1" t="s">
        <v>332</v>
      </c>
      <c r="C21" s="37">
        <v>0</v>
      </c>
      <c r="D21" s="37">
        <v>0</v>
      </c>
      <c r="E21" s="37">
        <v>23.104</v>
      </c>
      <c r="F21" s="8">
        <f>E21</f>
        <v>23.104</v>
      </c>
      <c r="G21" s="37">
        <v>0</v>
      </c>
      <c r="H21" s="21"/>
      <c r="I21" s="1"/>
      <c r="J21" s="1"/>
    </row>
    <row r="22">
      <c r="A22" s="1"/>
      <c r="B22" s="1" t="s">
        <v>333</v>
      </c>
      <c r="C22" s="37">
        <v>21.013</v>
      </c>
      <c r="D22" s="37">
        <v>22.203</v>
      </c>
      <c r="E22" s="37">
        <v>20.178</v>
      </c>
      <c r="F22" s="8">
        <f>E22</f>
        <v>20.178</v>
      </c>
      <c r="G22" s="37">
        <v>20.646</v>
      </c>
      <c r="H22" s="21"/>
      <c r="I22" s="1"/>
      <c r="J22" s="1"/>
    </row>
    <row r="23">
      <c r="A23" s="1"/>
      <c r="B23" s="16" t="s">
        <v>334</v>
      </c>
      <c r="C23" s="39">
        <f>C15+SUM(C16:C22)</f>
        <v>2407.554</v>
      </c>
      <c r="D23" s="39">
        <f>D15+SUM(D16:D22)</f>
        <v>2340.809</v>
      </c>
      <c r="E23" s="39">
        <f>E15+SUM(E16:E22)</f>
        <v>2115.548</v>
      </c>
      <c r="F23" s="39">
        <f>F15+SUM(F16:F22)</f>
        <v>2115.548</v>
      </c>
      <c r="G23" s="39">
        <f>G15+SUM(G16:G22)</f>
        <v>2080.064</v>
      </c>
      <c r="H23" s="41"/>
      <c r="I23" s="1"/>
      <c r="J23" s="1"/>
    </row>
    <row r="24">
      <c r="A24" s="1"/>
      <c r="B24" s="1"/>
      <c r="C24" s="1"/>
      <c r="D24" s="1"/>
      <c r="E24" s="1"/>
      <c r="F24" s="1"/>
      <c r="G24" s="1"/>
      <c r="H24" s="32"/>
      <c r="I24" s="1"/>
      <c r="J24" s="1"/>
    </row>
    <row r="25">
      <c r="A25" s="1"/>
      <c r="B25" s="16" t="s">
        <v>335</v>
      </c>
      <c r="C25" s="1"/>
      <c r="D25" s="1"/>
      <c r="E25" s="1"/>
      <c r="F25" s="1"/>
      <c r="G25" s="1"/>
      <c r="H25" s="32"/>
      <c r="I25" s="1"/>
      <c r="J25" s="1"/>
    </row>
    <row r="26">
      <c r="A26" s="1"/>
      <c r="B26" s="1" t="s">
        <v>336</v>
      </c>
      <c r="C26" s="37">
        <v>283.154</v>
      </c>
      <c r="D26" s="37">
        <v>284.395</v>
      </c>
      <c r="E26" s="37">
        <v>256.414</v>
      </c>
      <c r="F26" s="8">
        <f>E26</f>
        <v>256.414</v>
      </c>
      <c r="G26" s="37">
        <v>245.945</v>
      </c>
      <c r="H26" s="21"/>
      <c r="I26" s="1"/>
      <c r="J26" s="1"/>
    </row>
    <row r="27">
      <c r="A27" s="1"/>
      <c r="B27" s="1" t="s">
        <v>337</v>
      </c>
      <c r="C27" s="37">
        <v>196.664</v>
      </c>
      <c r="D27" s="37">
        <v>216.337</v>
      </c>
      <c r="E27" s="37">
        <v>199.606</v>
      </c>
      <c r="F27" s="8">
        <f>E27</f>
        <v>199.606</v>
      </c>
      <c r="G27" s="37">
        <v>188.753</v>
      </c>
      <c r="H27" s="21"/>
      <c r="I27" s="1"/>
      <c r="J27" s="1"/>
    </row>
    <row r="28">
      <c r="A28" s="1"/>
      <c r="B28" s="1" t="s">
        <v>338</v>
      </c>
      <c r="C28" s="37">
        <v>48.259</v>
      </c>
      <c r="D28" s="37">
        <v>29.893</v>
      </c>
      <c r="E28" s="37">
        <v>23.945</v>
      </c>
      <c r="F28" s="8">
        <f>E28</f>
        <v>23.945</v>
      </c>
      <c r="G28" s="37">
        <v>20.492</v>
      </c>
      <c r="H28" s="21"/>
      <c r="I28" s="1"/>
      <c r="J28" s="1"/>
    </row>
    <row r="29">
      <c r="A29" s="1"/>
      <c r="B29" s="1" t="s">
        <v>339</v>
      </c>
      <c r="C29" s="37">
        <v>21.875</v>
      </c>
      <c r="D29" s="37">
        <v>23.438</v>
      </c>
      <c r="E29" s="37">
        <v>25</v>
      </c>
      <c r="F29" s="8">
        <f>E29</f>
        <v>25</v>
      </c>
      <c r="G29" s="37">
        <v>25</v>
      </c>
      <c r="H29" s="21"/>
      <c r="I29" s="1"/>
      <c r="J29" s="1"/>
    </row>
    <row r="30">
      <c r="A30" s="1"/>
      <c r="B30" s="16" t="s">
        <v>340</v>
      </c>
      <c r="C30" s="39">
        <f>SUM(C26:C29)</f>
        <v>549.952</v>
      </c>
      <c r="D30" s="39">
        <f>SUM(D26:D29)</f>
        <v>554.063</v>
      </c>
      <c r="E30" s="39">
        <f>SUM(E26:E29)</f>
        <v>504.965</v>
      </c>
      <c r="F30" s="39">
        <f>SUM(F26:F29)</f>
        <v>504.965</v>
      </c>
      <c r="G30" s="39">
        <f>SUM(G26:G29)</f>
        <v>480.19</v>
      </c>
      <c r="H30" s="41"/>
      <c r="I30" s="1"/>
      <c r="J30" s="1"/>
    </row>
    <row r="31">
      <c r="A31" s="1"/>
      <c r="B31" s="1" t="s">
        <v>341</v>
      </c>
      <c r="C31" s="37">
        <v>871.345</v>
      </c>
      <c r="D31" s="37">
        <v>868.955</v>
      </c>
      <c r="E31" s="37">
        <v>755.811</v>
      </c>
      <c r="F31" s="8">
        <f>E31</f>
        <v>755.811</v>
      </c>
      <c r="G31" s="37">
        <v>691.147</v>
      </c>
      <c r="H31" s="21"/>
      <c r="I31" s="1"/>
      <c r="J31" s="1"/>
    </row>
    <row r="32">
      <c r="A32" s="1"/>
      <c r="B32" s="1" t="s">
        <v>342</v>
      </c>
      <c r="C32" s="37">
        <v>39.455</v>
      </c>
      <c r="D32" s="37">
        <v>54.491</v>
      </c>
      <c r="E32" s="37">
        <v>52.884</v>
      </c>
      <c r="F32" s="8">
        <f>E32</f>
        <v>52.884</v>
      </c>
      <c r="G32" s="37">
        <v>55.198</v>
      </c>
      <c r="H32" s="21"/>
      <c r="I32" s="1"/>
      <c r="J32" s="1"/>
    </row>
    <row r="33">
      <c r="A33" s="1"/>
      <c r="B33" s="1" t="s">
        <v>343</v>
      </c>
      <c r="C33" s="37">
        <v>13.1</v>
      </c>
      <c r="D33" s="37">
        <v>9.584</v>
      </c>
      <c r="E33" s="37">
        <v>2.699</v>
      </c>
      <c r="F33" s="8">
        <f>E33</f>
        <v>2.699</v>
      </c>
      <c r="G33" s="37">
        <v>7.667</v>
      </c>
      <c r="H33" s="21"/>
      <c r="I33" s="1"/>
      <c r="J33" s="1"/>
    </row>
    <row r="34">
      <c r="A34" s="1"/>
      <c r="B34" s="1" t="s">
        <v>344</v>
      </c>
      <c r="C34" s="37">
        <v>7.42</v>
      </c>
      <c r="D34" s="37">
        <v>1.458</v>
      </c>
      <c r="E34" s="37">
        <v>0.992</v>
      </c>
      <c r="F34" s="8">
        <f>E34</f>
        <v>0.992</v>
      </c>
      <c r="G34" s="37">
        <v>2.343</v>
      </c>
      <c r="H34" s="21"/>
      <c r="I34" s="1"/>
      <c r="J34" s="1"/>
    </row>
    <row r="35">
      <c r="A35" s="1"/>
      <c r="B35" s="16" t="s">
        <v>345</v>
      </c>
      <c r="C35" s="39">
        <f>C30+SUM(C31:C34)</f>
        <v>1481.272</v>
      </c>
      <c r="D35" s="39">
        <f>D30+SUM(D31:D34)</f>
        <v>1488.551</v>
      </c>
      <c r="E35" s="39">
        <f>E30+SUM(E31:E34)</f>
        <v>1317.351</v>
      </c>
      <c r="F35" s="39">
        <f>F30+SUM(F31:F34)</f>
        <v>1317.351</v>
      </c>
      <c r="G35" s="39">
        <f>G30+SUM(G31:G34)</f>
        <v>1236.545</v>
      </c>
      <c r="H35" s="41"/>
      <c r="I35" s="1"/>
      <c r="J35" s="1"/>
    </row>
    <row r="36">
      <c r="A36" s="1"/>
      <c r="B36" s="1" t="s">
        <v>346</v>
      </c>
      <c r="C36" s="37">
        <v>2.296</v>
      </c>
      <c r="D36" s="37">
        <v>2.305</v>
      </c>
      <c r="E36" s="37">
        <v>2.308</v>
      </c>
      <c r="F36" s="8">
        <f>E36</f>
        <v>2.308</v>
      </c>
      <c r="G36" s="37">
        <v>2.329</v>
      </c>
      <c r="H36" s="21"/>
      <c r="I36" s="1"/>
      <c r="J36" s="1"/>
    </row>
    <row r="37">
      <c r="A37" s="1"/>
      <c r="B37" s="1" t="s">
        <v>347</v>
      </c>
      <c r="C37" s="37">
        <v>377.039</v>
      </c>
      <c r="D37" s="37">
        <v>383.005</v>
      </c>
      <c r="E37" s="37">
        <v>384.979</v>
      </c>
      <c r="F37" s="8">
        <f>E37</f>
        <v>384.979</v>
      </c>
      <c r="G37" s="37">
        <v>391.514</v>
      </c>
      <c r="H37" s="21"/>
      <c r="I37" s="1"/>
      <c r="J37" s="1"/>
    </row>
    <row r="38">
      <c r="A38" s="1"/>
      <c r="B38" s="1" t="s">
        <v>348</v>
      </c>
      <c r="C38" s="37">
        <v>-5.461</v>
      </c>
      <c r="D38" s="37">
        <v>-1.404</v>
      </c>
      <c r="E38" s="37">
        <v>-1.877</v>
      </c>
      <c r="F38" s="8">
        <f>E38</f>
        <v>-1.877</v>
      </c>
      <c r="G38" s="37">
        <v>1.127</v>
      </c>
      <c r="H38" s="21"/>
      <c r="I38" s="1"/>
      <c r="J38" s="1"/>
    </row>
    <row r="39">
      <c r="A39" s="1"/>
      <c r="B39" s="1" t="s">
        <v>349</v>
      </c>
      <c r="C39" s="37">
        <v>552.408</v>
      </c>
      <c r="D39" s="37">
        <v>468.352</v>
      </c>
      <c r="E39" s="37">
        <v>412.787</v>
      </c>
      <c r="F39" s="8">
        <f>E39</f>
        <v>412.787</v>
      </c>
      <c r="G39" s="37">
        <v>448.549</v>
      </c>
      <c r="H39" s="21"/>
      <c r="I39" s="1"/>
      <c r="J39" s="1"/>
    </row>
    <row r="40">
      <c r="A40" s="1"/>
      <c r="B40" s="16" t="s">
        <v>350</v>
      </c>
      <c r="C40" s="39">
        <f>SUM(C36:C39)</f>
        <v>926.2819999999999</v>
      </c>
      <c r="D40" s="39">
        <f>SUM(D36:D39)</f>
        <v>852.258</v>
      </c>
      <c r="E40" s="39">
        <f>SUM(E36:E39)</f>
        <v>798.1969999999999</v>
      </c>
      <c r="F40" s="39">
        <f>SUM(F36:F39)</f>
        <v>798.1969999999999</v>
      </c>
      <c r="G40" s="39">
        <f>SUM(G36:G39)</f>
        <v>843.519</v>
      </c>
      <c r="H40" s="41"/>
      <c r="I40" s="1"/>
      <c r="J40" s="1"/>
    </row>
    <row r="41">
      <c r="A41" s="1"/>
      <c r="B41" s="16" t="s">
        <v>351</v>
      </c>
      <c r="C41" s="39">
        <f>C35+C40</f>
        <v>2407.554</v>
      </c>
      <c r="D41" s="39">
        <f>D35+D40</f>
        <v>2340.809</v>
      </c>
      <c r="E41" s="39">
        <f>E35+E40</f>
        <v>2115.548</v>
      </c>
      <c r="F41" s="39">
        <f>F35+F40</f>
        <v>2115.548</v>
      </c>
      <c r="G41" s="39">
        <f>G35+G40</f>
        <v>2080.0640000000003</v>
      </c>
      <c r="H41" s="41"/>
      <c r="I41" s="1"/>
      <c r="J41" s="1"/>
    </row>
    <row r="42">
      <c r="A42" s="1"/>
      <c r="B42" s="19" t="s">
        <v>352</v>
      </c>
      <c r="C42" s="8">
        <f>ROUND(C23-C35-C40,3)</f>
        <v>0</v>
      </c>
      <c r="D42" s="8">
        <f>ROUND(D23-D35-D40,3)</f>
        <v>0</v>
      </c>
      <c r="E42" s="8">
        <f>ROUND(E23-E35-E40,3)</f>
        <v>0</v>
      </c>
      <c r="F42" s="8">
        <f>ROUND(F23-F35-F40,3)</f>
        <v>0</v>
      </c>
      <c r="G42" s="8">
        <f>ROUND(G23-G35-G40,3)</f>
        <v>0</v>
      </c>
      <c r="H42" s="21"/>
      <c r="I42" s="1"/>
      <c r="J42" s="1"/>
    </row>
    <row r="43">
      <c r="A43" s="1"/>
      <c r="B43" s="1" t="s">
        <v>353</v>
      </c>
      <c r="C43" s="37">
        <v>2407.554</v>
      </c>
      <c r="D43" s="37">
        <v>2340.809</v>
      </c>
      <c r="E43" s="37">
        <v>2115.548</v>
      </c>
      <c r="F43" s="8">
        <f>E43</f>
        <v>2115.548</v>
      </c>
      <c r="G43" s="37">
        <v>2080.064</v>
      </c>
      <c r="H43" s="21"/>
      <c r="I43" s="1"/>
      <c r="J43" s="1"/>
    </row>
    <row r="44">
      <c r="A44" s="1"/>
      <c r="B44" s="19" t="s">
        <v>354</v>
      </c>
      <c r="C44" s="8">
        <f>ROUND(C23-C43,3)</f>
        <v>0</v>
      </c>
      <c r="D44" s="8">
        <f>ROUND(D23-D43,3)</f>
        <v>0</v>
      </c>
      <c r="E44" s="8">
        <f>ROUND(E23-E43,3)</f>
        <v>0</v>
      </c>
      <c r="F44" s="8">
        <f>ROUND(F23-F43,3)</f>
        <v>0</v>
      </c>
      <c r="G44" s="8">
        <f>ROUND(G23-G43,3)</f>
        <v>0</v>
      </c>
      <c r="H44" s="21"/>
      <c r="I44" s="1"/>
      <c r="J44" s="1"/>
    </row>
    <row r="45">
      <c r="A45" s="1"/>
      <c r="B45" s="1"/>
      <c r="C45" s="1"/>
      <c r="D45" s="1"/>
      <c r="E45" s="1"/>
      <c r="F45" s="1"/>
      <c r="G45" s="1"/>
      <c r="H45" s="32"/>
      <c r="I45" s="1"/>
      <c r="J45" s="1"/>
    </row>
    <row r="46">
      <c r="A46" s="1"/>
      <c r="B46" s="16" t="s">
        <v>355</v>
      </c>
      <c r="C46" s="1"/>
      <c r="D46" s="1"/>
      <c r="E46" s="1"/>
      <c r="F46" s="1"/>
      <c r="G46" s="1"/>
      <c r="H46" s="32"/>
      <c r="I46" s="1"/>
      <c r="J46" s="1"/>
    </row>
    <row r="47">
      <c r="A47" s="1"/>
      <c r="B47" s="16" t="s">
        <v>356</v>
      </c>
      <c r="C47" s="39">
        <f>C29+C31</f>
        <v>893.22</v>
      </c>
      <c r="D47" s="39">
        <f>D29+D31</f>
        <v>892.393</v>
      </c>
      <c r="E47" s="39">
        <f>E29+E31</f>
        <v>780.811</v>
      </c>
      <c r="F47" s="39">
        <f>F29+F31</f>
        <v>780.811</v>
      </c>
      <c r="G47" s="39">
        <f>G29+G31</f>
        <v>716.147</v>
      </c>
      <c r="H47" s="41"/>
      <c r="I47" s="1"/>
      <c r="J47" s="1"/>
    </row>
    <row r="48">
      <c r="A48" s="1"/>
      <c r="B48" s="1" t="s">
        <v>357</v>
      </c>
      <c r="C48" s="8">
        <f>C47-C10</f>
        <v>870.85</v>
      </c>
      <c r="D48" s="8">
        <f>D47-D10</f>
        <v>865.2560000000001</v>
      </c>
      <c r="E48" s="8">
        <f>E47-E10</f>
        <v>761.9250000000001</v>
      </c>
      <c r="F48" s="8">
        <f>F47-F10</f>
        <v>761.9250000000001</v>
      </c>
      <c r="G48" s="8">
        <f>G47-G10</f>
        <v>694.465</v>
      </c>
      <c r="H48" s="21"/>
      <c r="I48" s="1"/>
      <c r="J48" s="1"/>
    </row>
    <row r="49">
      <c r="A49" s="1"/>
      <c r="B49" s="1" t="s">
        <v>358</v>
      </c>
      <c r="C49" s="8"/>
      <c r="D49" s="8">
        <f>D47-C47</f>
        <v>-0.8269999999999982</v>
      </c>
      <c r="E49" s="8">
        <f>E47-D47</f>
        <v>-111.582</v>
      </c>
      <c r="F49" s="8"/>
      <c r="G49" s="8">
        <f>G47-E47</f>
        <v>-64.66399999999999</v>
      </c>
      <c r="H49" s="21"/>
      <c r="I49" s="1"/>
      <c r="J49" s="1" t="s">
        <v>359</v>
      </c>
    </row>
    <row r="50">
      <c r="A50" s="1"/>
      <c r="B50" s="1" t="s">
        <v>360</v>
      </c>
      <c r="C50" s="8"/>
      <c r="D50" s="8">
        <f>D12-C12</f>
        <v>-23.628000000000043</v>
      </c>
      <c r="E50" s="8">
        <f>E12-D12</f>
        <v>-49.452999999999975</v>
      </c>
      <c r="F50" s="8"/>
      <c r="G50" s="8">
        <f>G12-E12</f>
        <v>11.58299999999997</v>
      </c>
      <c r="H50" s="21"/>
      <c r="I50" s="1"/>
      <c r="J50" s="1"/>
    </row>
    <row r="51">
      <c r="A51" s="1"/>
      <c r="B51" s="1" t="s">
        <v>361</v>
      </c>
      <c r="C51" s="8"/>
      <c r="D51" s="8">
        <f>D11-C11</f>
        <v>85.74599999999998</v>
      </c>
      <c r="E51" s="8">
        <f>E11-D11</f>
        <v>-74.67699999999996</v>
      </c>
      <c r="F51" s="8"/>
      <c r="G51" s="8">
        <f>G11-E11</f>
        <v>-37.46500000000003</v>
      </c>
      <c r="H51" s="21"/>
      <c r="I51" s="1"/>
      <c r="J51" s="1"/>
    </row>
    <row r="52">
      <c r="A52" s="1"/>
      <c r="B52" s="1" t="s">
        <v>362</v>
      </c>
      <c r="C52" s="8">
        <f>C11+C12-C26</f>
        <v>595.97</v>
      </c>
      <c r="D52" s="8">
        <f>D11+D12-D26</f>
        <v>656.847</v>
      </c>
      <c r="E52" s="8">
        <f>E11+E12-E26</f>
        <v>560.6980000000001</v>
      </c>
      <c r="F52" s="8">
        <f>F11+F12-F26</f>
        <v>560.6980000000001</v>
      </c>
      <c r="G52" s="8">
        <f>G11+G12-G26</f>
        <v>545.2850000000001</v>
      </c>
      <c r="H52" s="21"/>
      <c r="I52" s="1"/>
      <c r="J52" s="1" t="s">
        <v>363</v>
      </c>
    </row>
    <row r="53">
      <c r="A53" s="1"/>
      <c r="B53" s="1" t="s">
        <v>364</v>
      </c>
      <c r="C53" s="1"/>
      <c r="D53" s="1"/>
      <c r="E53" s="1"/>
      <c r="F53" s="1"/>
      <c r="G53" s="1"/>
      <c r="H53" s="32"/>
      <c r="I53" s="1"/>
      <c r="J53" s="1"/>
    </row>
    <row r="54">
      <c r="A54" s="1"/>
      <c r="B54" s="1"/>
      <c r="C54" s="1"/>
      <c r="D54" s="1"/>
      <c r="E54" s="1"/>
      <c r="F54" s="1"/>
      <c r="G54" s="1"/>
      <c r="H54" s="32"/>
      <c r="I54" s="1"/>
      <c r="J54" s="1"/>
    </row>
    <row r="55">
      <c r="A55" s="1"/>
      <c r="B55" s="90" t="s">
        <v>365</v>
      </c>
      <c r="C55" s="88" t="s">
        <v>44</v>
      </c>
      <c r="D55" s="89">
        <f>ROUND(D39-C39-'Income Statement'!D54,3)</f>
        <v>0</v>
      </c>
      <c r="E55" s="89">
        <f>ROUND(E39-D39-'Income Statement'!E54,3)</f>
        <v>0</v>
      </c>
      <c r="F55" s="88" t="s">
        <v>44</v>
      </c>
      <c r="G55" s="89">
        <f>ROUND(G39-E39-'Income Statement'!G54,3)</f>
        <v>0</v>
      </c>
      <c r="H55" s="91"/>
      <c r="I55" s="85"/>
      <c r="J55" s="85" t="s">
        <v>366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J7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367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18" t="s">
        <v>4</v>
      </c>
      <c r="I5" s="1"/>
      <c r="J5" s="16" t="s">
        <v>36</v>
      </c>
    </row>
    <row r="6">
      <c r="A6" s="1"/>
      <c r="B6" s="14" t="s">
        <v>5</v>
      </c>
      <c r="C6" s="25">
        <v>45900</v>
      </c>
      <c r="D6" s="25">
        <v>45991</v>
      </c>
      <c r="E6" s="25">
        <v>46081</v>
      </c>
      <c r="F6" s="25">
        <v>46081</v>
      </c>
      <c r="G6" s="25">
        <v>46173</v>
      </c>
      <c r="H6" s="40">
        <v>46265</v>
      </c>
      <c r="I6" s="1"/>
      <c r="J6" s="1"/>
    </row>
    <row r="7">
      <c r="A7" s="1"/>
      <c r="B7" s="33" t="s">
        <v>6</v>
      </c>
      <c r="C7" s="17">
        <v>92</v>
      </c>
      <c r="D7" s="17">
        <v>91</v>
      </c>
      <c r="E7" s="17">
        <v>90</v>
      </c>
      <c r="F7" s="17">
        <v>365</v>
      </c>
      <c r="G7" s="17">
        <v>92</v>
      </c>
      <c r="H7" s="10">
        <v>92</v>
      </c>
      <c r="I7" s="1"/>
      <c r="J7" s="1"/>
    </row>
    <row r="8">
      <c r="A8" s="1"/>
      <c r="B8" s="1"/>
      <c r="C8" s="1"/>
      <c r="D8" s="1"/>
      <c r="E8" s="1"/>
      <c r="F8" s="1"/>
      <c r="G8" s="1"/>
      <c r="H8" s="32"/>
      <c r="I8" s="1"/>
      <c r="J8" s="1"/>
    </row>
    <row r="9">
      <c r="A9" s="1"/>
      <c r="B9" s="16" t="s">
        <v>368</v>
      </c>
      <c r="C9" s="1"/>
      <c r="D9" s="1"/>
      <c r="E9" s="1"/>
      <c r="F9" s="1"/>
      <c r="G9" s="1"/>
      <c r="H9" s="32"/>
      <c r="I9" s="1"/>
      <c r="J9" s="1"/>
    </row>
    <row r="10">
      <c r="A10" s="1"/>
      <c r="B10" s="1" t="s">
        <v>369</v>
      </c>
      <c r="C10" s="6">
        <f>Inputs!D157-Inputs!C157</f>
        <v>-308.643</v>
      </c>
      <c r="D10" s="6">
        <f>Inputs!E157-Inputs!D157</f>
        <v>-84.05600000000004</v>
      </c>
      <c r="E10" s="6">
        <f>Inputs!F157-Inputs!E157</f>
        <v>-55.56499999999994</v>
      </c>
      <c r="F10" s="6">
        <f>Inputs!F157</f>
        <v>-898.982</v>
      </c>
      <c r="G10" s="6">
        <f>Inputs!G157</f>
        <v>35.762</v>
      </c>
      <c r="H10" s="21"/>
      <c r="I10" s="1"/>
      <c r="J10" s="1"/>
    </row>
    <row r="11">
      <c r="A11" s="1"/>
      <c r="B11" s="1" t="s">
        <v>161</v>
      </c>
      <c r="C11" s="6">
        <f>Inputs!D158-Inputs!C158</f>
        <v>12.86</v>
      </c>
      <c r="D11" s="6">
        <f>Inputs!E158-Inputs!D158</f>
        <v>12.837</v>
      </c>
      <c r="E11" s="6">
        <f>Inputs!F158-Inputs!E158</f>
        <v>13.514000000000003</v>
      </c>
      <c r="F11" s="6">
        <f>Inputs!F158</f>
        <v>53.295</v>
      </c>
      <c r="G11" s="6">
        <f>Inputs!G158</f>
        <v>13.377</v>
      </c>
      <c r="H11" s="21"/>
      <c r="I11" s="1"/>
      <c r="J11" s="1"/>
    </row>
    <row r="12">
      <c r="A12" s="1"/>
      <c r="B12" s="1" t="s">
        <v>370</v>
      </c>
      <c r="C12" s="6">
        <f>Inputs!D159-Inputs!C159</f>
        <v>0.395</v>
      </c>
      <c r="D12" s="6">
        <f>Inputs!E159-Inputs!D159</f>
        <v>0.395</v>
      </c>
      <c r="E12" s="6">
        <f>Inputs!F159-Inputs!E159</f>
        <v>0.405</v>
      </c>
      <c r="F12" s="6">
        <f>Inputs!F159</f>
        <v>1.564</v>
      </c>
      <c r="G12" s="6">
        <f>Inputs!G159</f>
        <v>0.406</v>
      </c>
      <c r="H12" s="21"/>
      <c r="I12" s="1"/>
      <c r="J12" s="1"/>
    </row>
    <row r="13">
      <c r="A13" s="1"/>
      <c r="B13" s="1" t="s">
        <v>371</v>
      </c>
      <c r="C13" s="6">
        <f>Inputs!D160-Inputs!C160</f>
        <v>2.1470000000000002</v>
      </c>
      <c r="D13" s="6">
        <f>Inputs!E160-Inputs!D160</f>
        <v>2.4339999999999993</v>
      </c>
      <c r="E13" s="6">
        <f>Inputs!F160-Inputs!E160</f>
        <v>2.4299999999999997</v>
      </c>
      <c r="F13" s="6">
        <f>Inputs!F160</f>
        <v>9.2</v>
      </c>
      <c r="G13" s="6">
        <f>Inputs!G160</f>
        <v>3.344</v>
      </c>
      <c r="H13" s="21"/>
      <c r="I13" s="1"/>
      <c r="J13" s="1"/>
    </row>
    <row r="14">
      <c r="A14" s="1"/>
      <c r="B14" s="1" t="s">
        <v>372</v>
      </c>
      <c r="C14" s="6">
        <f>Inputs!D161-Inputs!C161</f>
        <v>-0.27899999999999997</v>
      </c>
      <c r="D14" s="6">
        <f>Inputs!E161-Inputs!D161</f>
        <v>-0.14800000000000002</v>
      </c>
      <c r="E14" s="6">
        <f>Inputs!F161-Inputs!E161</f>
        <v>0.44</v>
      </c>
      <c r="F14" s="6">
        <f>Inputs!F161</f>
        <v>0.634</v>
      </c>
      <c r="G14" s="6">
        <f>Inputs!G161</f>
        <v>1.198</v>
      </c>
      <c r="H14" s="21"/>
      <c r="I14" s="1"/>
      <c r="J14" s="1"/>
    </row>
    <row r="15">
      <c r="A15" s="1"/>
      <c r="B15" s="1" t="s">
        <v>141</v>
      </c>
      <c r="C15" s="6">
        <f>Inputs!D162-Inputs!C162</f>
        <v>9.372</v>
      </c>
      <c r="D15" s="6">
        <f>Inputs!E162-Inputs!D162</f>
        <v>5.030000000000001</v>
      </c>
      <c r="E15" s="6">
        <f>Inputs!F162-Inputs!E162</f>
        <v>2.187000000000001</v>
      </c>
      <c r="F15" s="6">
        <f>Inputs!F162</f>
        <v>16.885</v>
      </c>
      <c r="G15" s="6">
        <f>Inputs!G162</f>
        <v>6.437</v>
      </c>
      <c r="H15" s="21"/>
      <c r="I15" s="1"/>
      <c r="J15" s="1"/>
    </row>
    <row r="16">
      <c r="A16" s="1"/>
      <c r="B16" s="1" t="s">
        <v>132</v>
      </c>
      <c r="C16" s="6">
        <f>Inputs!D163-Inputs!C163</f>
        <v>326.394</v>
      </c>
      <c r="D16" s="6">
        <f>Inputs!E163-Inputs!D163</f>
        <v>65.90599999999995</v>
      </c>
      <c r="E16" s="6">
        <f>Inputs!F163-Inputs!E163</f>
        <v>79.17600000000004</v>
      </c>
      <c r="F16" s="6">
        <f>Inputs!F163</f>
        <v>885.861</v>
      </c>
      <c r="G16" s="6">
        <f>Inputs!G163</f>
        <v>0</v>
      </c>
      <c r="H16" s="21"/>
      <c r="I16" s="1"/>
      <c r="J16" s="1"/>
    </row>
    <row r="17">
      <c r="A17" s="1"/>
      <c r="B17" s="1" t="s">
        <v>373</v>
      </c>
      <c r="C17" s="6">
        <f>Inputs!D164-Inputs!C164</f>
        <v>0</v>
      </c>
      <c r="D17" s="6">
        <f>Inputs!E164-Inputs!D164</f>
        <v>0.855</v>
      </c>
      <c r="E17" s="6">
        <f>Inputs!F164-Inputs!E164</f>
        <v>0</v>
      </c>
      <c r="F17" s="6">
        <f>Inputs!F164</f>
        <v>0.855</v>
      </c>
      <c r="G17" s="6">
        <f>Inputs!G164</f>
        <v>0</v>
      </c>
      <c r="H17" s="21"/>
      <c r="I17" s="1"/>
      <c r="J17" s="1"/>
    </row>
    <row r="18">
      <c r="A18" s="1"/>
      <c r="B18" s="1" t="s">
        <v>137</v>
      </c>
      <c r="C18" s="6">
        <f>Inputs!D165-Inputs!C165</f>
        <v>0</v>
      </c>
      <c r="D18" s="6">
        <f>Inputs!E165-Inputs!D165</f>
        <v>0</v>
      </c>
      <c r="E18" s="6">
        <f>Inputs!F165-Inputs!E165</f>
        <v>0</v>
      </c>
      <c r="F18" s="6">
        <f>Inputs!F165</f>
        <v>0</v>
      </c>
      <c r="G18" s="6">
        <f>Inputs!G165</f>
        <v>-54.854</v>
      </c>
      <c r="H18" s="21"/>
      <c r="I18" s="1"/>
      <c r="J18" s="1"/>
    </row>
    <row r="19">
      <c r="A19" s="1"/>
      <c r="B19" s="1" t="s">
        <v>374</v>
      </c>
      <c r="C19" s="6">
        <f>Inputs!D166-Inputs!C166</f>
        <v>-0.036</v>
      </c>
      <c r="D19" s="6">
        <f>Inputs!E166-Inputs!D166</f>
        <v>-0.14200000000000002</v>
      </c>
      <c r="E19" s="6">
        <f>Inputs!F166-Inputs!E166</f>
        <v>-0.06899999999999998</v>
      </c>
      <c r="F19" s="6">
        <f>Inputs!F166</f>
        <v>-0.286</v>
      </c>
      <c r="G19" s="6">
        <f>Inputs!G166</f>
        <v>-0.032</v>
      </c>
      <c r="H19" s="21"/>
      <c r="I19" s="1"/>
      <c r="J19" s="1"/>
    </row>
    <row r="20">
      <c r="A20" s="1"/>
      <c r="B20" s="1" t="s">
        <v>375</v>
      </c>
      <c r="C20" s="6">
        <f>Inputs!D167-Inputs!C167</f>
        <v>-5.782</v>
      </c>
      <c r="D20" s="6">
        <f>Inputs!E167-Inputs!D167</f>
        <v>71.074</v>
      </c>
      <c r="E20" s="6">
        <f>Inputs!F167-Inputs!E167</f>
        <v>-7.295000000000002</v>
      </c>
      <c r="F20" s="6">
        <f>Inputs!F167</f>
        <v>38.009</v>
      </c>
      <c r="G20" s="6">
        <f>Inputs!G167</f>
        <v>4.346</v>
      </c>
      <c r="H20" s="21"/>
      <c r="I20" s="1"/>
      <c r="J20" s="1"/>
    </row>
    <row r="21">
      <c r="A21" s="1"/>
      <c r="B21" s="1" t="s">
        <v>376</v>
      </c>
      <c r="C21" s="6">
        <f>Inputs!D168-Inputs!C168</f>
        <v>-36.739000000000004</v>
      </c>
      <c r="D21" s="6">
        <f>Inputs!E168-Inputs!D168</f>
        <v>-83.592</v>
      </c>
      <c r="E21" s="6">
        <f>Inputs!F168-Inputs!E168</f>
        <v>74.188</v>
      </c>
      <c r="F21" s="6">
        <f>Inputs!F168</f>
        <v>67.949</v>
      </c>
      <c r="G21" s="6">
        <f>Inputs!G168</f>
        <v>34.405</v>
      </c>
      <c r="H21" s="21"/>
      <c r="I21" s="1"/>
      <c r="J21" s="1"/>
    </row>
    <row r="22">
      <c r="A22" s="1"/>
      <c r="B22" s="1" t="s">
        <v>377</v>
      </c>
      <c r="C22" s="6">
        <f>Inputs!D169-Inputs!C169</f>
        <v>-44.766000000000005</v>
      </c>
      <c r="D22" s="6">
        <f>Inputs!E169-Inputs!D169</f>
        <v>23.628000000000007</v>
      </c>
      <c r="E22" s="6">
        <f>Inputs!F169-Inputs!E169</f>
        <v>49.452999999999996</v>
      </c>
      <c r="F22" s="6">
        <f>Inputs!F169</f>
        <v>-3.197</v>
      </c>
      <c r="G22" s="6">
        <f>Inputs!G169</f>
        <v>-11.583</v>
      </c>
      <c r="H22" s="21"/>
      <c r="I22" s="1"/>
      <c r="J22" s="1"/>
    </row>
    <row r="23">
      <c r="A23" s="1"/>
      <c r="B23" s="1" t="s">
        <v>378</v>
      </c>
      <c r="C23" s="6">
        <f>Inputs!D170-Inputs!C170</f>
        <v>-6.229</v>
      </c>
      <c r="D23" s="6">
        <f>Inputs!E170-Inputs!D170</f>
        <v>1.391</v>
      </c>
      <c r="E23" s="6">
        <f>Inputs!F170-Inputs!E170</f>
        <v>2.6470000000000002</v>
      </c>
      <c r="F23" s="6">
        <f>Inputs!F170</f>
        <v>-3.968</v>
      </c>
      <c r="G23" s="6">
        <f>Inputs!G170</f>
        <v>-9.132</v>
      </c>
      <c r="H23" s="21"/>
      <c r="I23" s="1"/>
      <c r="J23" s="1"/>
    </row>
    <row r="24">
      <c r="A24" s="1"/>
      <c r="B24" s="1" t="s">
        <v>379</v>
      </c>
      <c r="C24" s="6">
        <f>Inputs!D171-Inputs!C171</f>
        <v>-1.4849999999999999</v>
      </c>
      <c r="D24" s="6">
        <f>Inputs!E171-Inputs!D171</f>
        <v>-0.08299999999999996</v>
      </c>
      <c r="E24" s="6">
        <f>Inputs!F171-Inputs!E171</f>
        <v>1.494</v>
      </c>
      <c r="F24" s="6">
        <f>Inputs!F171</f>
        <v>-0.345</v>
      </c>
      <c r="G24" s="6">
        <f>Inputs!G171</f>
        <v>0.084</v>
      </c>
      <c r="H24" s="21"/>
      <c r="I24" s="1"/>
      <c r="J24" s="1"/>
    </row>
    <row r="25">
      <c r="A25" s="1"/>
      <c r="B25" s="1" t="s">
        <v>380</v>
      </c>
      <c r="C25" s="6">
        <f>Inputs!D172-Inputs!C172</f>
        <v>54.095</v>
      </c>
      <c r="D25" s="6">
        <f>Inputs!E172-Inputs!D172</f>
        <v>0.548</v>
      </c>
      <c r="E25" s="6">
        <f>Inputs!F172-Inputs!E172</f>
        <v>-28.725</v>
      </c>
      <c r="F25" s="6">
        <f>Inputs!F172</f>
        <v>-16.454</v>
      </c>
      <c r="G25" s="6">
        <f>Inputs!G172</f>
        <v>-7.555</v>
      </c>
      <c r="H25" s="21"/>
      <c r="I25" s="1"/>
      <c r="J25" s="1"/>
    </row>
    <row r="26">
      <c r="A26" s="1"/>
      <c r="B26" s="1" t="s">
        <v>381</v>
      </c>
      <c r="C26" s="6">
        <f>Inputs!D173-Inputs!C173</f>
        <v>11.359</v>
      </c>
      <c r="D26" s="6">
        <f>Inputs!E173-Inputs!D173</f>
        <v>18.381999999999998</v>
      </c>
      <c r="E26" s="6">
        <f>Inputs!F173-Inputs!E173</f>
        <v>-19.744</v>
      </c>
      <c r="F26" s="6">
        <f>Inputs!F173</f>
        <v>25.016</v>
      </c>
      <c r="G26" s="6">
        <f>Inputs!G173</f>
        <v>-11.248</v>
      </c>
      <c r="H26" s="21"/>
      <c r="I26" s="1"/>
      <c r="J26" s="1"/>
    </row>
    <row r="27">
      <c r="A27" s="1"/>
      <c r="B27" s="1" t="s">
        <v>382</v>
      </c>
      <c r="C27" s="6">
        <f>Inputs!D174-Inputs!C174</f>
        <v>-23.133</v>
      </c>
      <c r="D27" s="6">
        <f>Inputs!E174-Inputs!D174</f>
        <v>-22.514000000000003</v>
      </c>
      <c r="E27" s="6">
        <f>Inputs!F174-Inputs!E174</f>
        <v>-3.213</v>
      </c>
      <c r="F27" s="6">
        <f>Inputs!F174</f>
        <v>-4.9</v>
      </c>
      <c r="G27" s="6">
        <f>Inputs!G174</f>
        <v>-5.591</v>
      </c>
      <c r="H27" s="21"/>
      <c r="I27" s="1"/>
      <c r="J27" s="1"/>
    </row>
    <row r="28">
      <c r="A28" s="1"/>
      <c r="B28" s="16" t="s">
        <v>383</v>
      </c>
      <c r="C28" s="39">
        <f>SUM(C10:C27)</f>
        <v>-10.469999999999969</v>
      </c>
      <c r="D28" s="39">
        <f>SUM(D10:D27)</f>
        <v>11.944999999999908</v>
      </c>
      <c r="E28" s="39">
        <f>SUM(E10:E27)</f>
        <v>111.32300000000009</v>
      </c>
      <c r="F28" s="39">
        <f>SUM(F10:F27)</f>
        <v>171.136</v>
      </c>
      <c r="G28" s="39">
        <f>SUM(G10:G27)</f>
        <v>-0.6359999999999966</v>
      </c>
      <c r="H28" s="41"/>
      <c r="I28" s="1"/>
      <c r="J28" s="1"/>
    </row>
    <row r="29">
      <c r="A29" s="1"/>
      <c r="B29" s="1" t="s">
        <v>384</v>
      </c>
      <c r="C29" s="6">
        <f>Inputs!D190-Inputs!C190</f>
        <v>-10.469999999999999</v>
      </c>
      <c r="D29" s="6">
        <f>Inputs!E190-Inputs!D190</f>
        <v>11.945</v>
      </c>
      <c r="E29" s="6">
        <f>Inputs!F190-Inputs!E190</f>
        <v>111.323</v>
      </c>
      <c r="F29" s="6">
        <f>Inputs!F190</f>
        <v>171.136</v>
      </c>
      <c r="G29" s="6">
        <f>Inputs!G190</f>
        <v>-0.636</v>
      </c>
      <c r="H29" s="21"/>
      <c r="I29" s="1"/>
      <c r="J29" s="1"/>
    </row>
    <row r="30">
      <c r="A30" s="1"/>
      <c r="B30" s="19" t="s">
        <v>146</v>
      </c>
      <c r="C30" s="8">
        <f>ROUND(C28-C29,3)</f>
        <v>0</v>
      </c>
      <c r="D30" s="8">
        <f>ROUND(D28-D29,3)</f>
        <v>0</v>
      </c>
      <c r="E30" s="8">
        <f>ROUND(E28-E29,3)</f>
        <v>0</v>
      </c>
      <c r="F30" s="8">
        <f>ROUND(F28-F29,3)</f>
        <v>0</v>
      </c>
      <c r="G30" s="8">
        <f>ROUND(G28-G29,3)</f>
        <v>0</v>
      </c>
      <c r="H30" s="21"/>
      <c r="I30" s="1"/>
      <c r="J30" s="1"/>
    </row>
    <row r="31">
      <c r="A31" s="1"/>
      <c r="B31" s="1"/>
      <c r="C31" s="1"/>
      <c r="D31" s="1"/>
      <c r="E31" s="1"/>
      <c r="F31" s="1"/>
      <c r="G31" s="1"/>
      <c r="H31" s="32"/>
      <c r="I31" s="1"/>
      <c r="J31" s="1"/>
    </row>
    <row r="32">
      <c r="A32" s="1"/>
      <c r="B32" s="16" t="s">
        <v>385</v>
      </c>
      <c r="C32" s="1"/>
      <c r="D32" s="1"/>
      <c r="E32" s="1"/>
      <c r="F32" s="1"/>
      <c r="G32" s="1"/>
      <c r="H32" s="32"/>
      <c r="I32" s="1"/>
      <c r="J32" s="1"/>
    </row>
    <row r="33">
      <c r="A33" s="1"/>
      <c r="B33" s="1" t="s">
        <v>386</v>
      </c>
      <c r="C33" s="6">
        <f>Inputs!D175-Inputs!C175</f>
        <v>-11.47</v>
      </c>
      <c r="D33" s="6">
        <f>Inputs!E175-Inputs!D175</f>
        <v>-6.1739999999999995</v>
      </c>
      <c r="E33" s="6">
        <f>Inputs!F175-Inputs!E175</f>
        <v>-8.219999999999999</v>
      </c>
      <c r="F33" s="6">
        <f>Inputs!F175</f>
        <v>-39.226</v>
      </c>
      <c r="G33" s="6">
        <f>Inputs!G175</f>
        <v>-5.806</v>
      </c>
      <c r="H33" s="21"/>
      <c r="I33" s="1"/>
      <c r="J33" s="1"/>
    </row>
    <row r="34">
      <c r="A34" s="1"/>
      <c r="B34" s="1" t="s">
        <v>387</v>
      </c>
      <c r="C34" s="6">
        <f>Inputs!D176-Inputs!C176</f>
        <v>0</v>
      </c>
      <c r="D34" s="6">
        <f>Inputs!E176-Inputs!D176</f>
        <v>0</v>
      </c>
      <c r="E34" s="6">
        <f>Inputs!F176-Inputs!E176</f>
        <v>0</v>
      </c>
      <c r="F34" s="6">
        <f>Inputs!F176</f>
        <v>3.88</v>
      </c>
      <c r="G34" s="6">
        <f>Inputs!G176</f>
        <v>0</v>
      </c>
      <c r="H34" s="21"/>
      <c r="I34" s="1"/>
      <c r="J34" s="1"/>
    </row>
    <row r="35">
      <c r="A35" s="1"/>
      <c r="B35" s="1" t="s">
        <v>388</v>
      </c>
      <c r="C35" s="6">
        <f>Inputs!D177-Inputs!C177</f>
        <v>-0.7</v>
      </c>
      <c r="D35" s="6">
        <f>Inputs!E177-Inputs!D177</f>
        <v>-0.7050000000000001</v>
      </c>
      <c r="E35" s="6">
        <f>Inputs!F177-Inputs!E177</f>
        <v>-0.06400000000000006</v>
      </c>
      <c r="F35" s="6">
        <f>Inputs!F177</f>
        <v>-2.156</v>
      </c>
      <c r="G35" s="6">
        <f>Inputs!G177</f>
        <v>-0.724</v>
      </c>
      <c r="H35" s="21"/>
      <c r="I35" s="1"/>
      <c r="J35" s="1"/>
    </row>
    <row r="36">
      <c r="A36" s="1"/>
      <c r="B36" s="1" t="s">
        <v>389</v>
      </c>
      <c r="C36" s="6">
        <f>Inputs!D178-Inputs!C178</f>
        <v>0.6359999999999999</v>
      </c>
      <c r="D36" s="6">
        <f>Inputs!E178-Inputs!D178</f>
        <v>0.641</v>
      </c>
      <c r="E36" s="6">
        <f>Inputs!F178-Inputs!E178</f>
        <v>0.6440000000000001</v>
      </c>
      <c r="F36" s="6">
        <f>Inputs!F178</f>
        <v>2.56</v>
      </c>
      <c r="G36" s="6">
        <f>Inputs!G178</f>
        <v>0.657</v>
      </c>
      <c r="H36" s="21"/>
      <c r="I36" s="1"/>
      <c r="J36" s="1"/>
    </row>
    <row r="37">
      <c r="A37" s="1"/>
      <c r="B37" s="1" t="s">
        <v>390</v>
      </c>
      <c r="C37" s="6">
        <f>Inputs!D179-Inputs!C179</f>
        <v>0</v>
      </c>
      <c r="D37" s="6">
        <f>Inputs!E179-Inputs!D179</f>
        <v>0</v>
      </c>
      <c r="E37" s="6">
        <f>Inputs!F179-Inputs!E179</f>
        <v>0</v>
      </c>
      <c r="F37" s="6">
        <f>Inputs!F179</f>
        <v>0</v>
      </c>
      <c r="G37" s="6">
        <f>Inputs!G179</f>
        <v>78.16</v>
      </c>
      <c r="H37" s="21"/>
      <c r="I37" s="1"/>
      <c r="J37" s="1"/>
    </row>
    <row r="38">
      <c r="A38" s="1"/>
      <c r="B38" s="1" t="s">
        <v>391</v>
      </c>
      <c r="C38" s="6">
        <f>Inputs!D180-Inputs!C180</f>
        <v>0.043</v>
      </c>
      <c r="D38" s="6">
        <f>Inputs!E180-Inputs!D180</f>
        <v>0.163</v>
      </c>
      <c r="E38" s="6">
        <f>Inputs!F180-Inputs!E180</f>
        <v>0.09699999999999998</v>
      </c>
      <c r="F38" s="6">
        <f>Inputs!F180</f>
        <v>0.349</v>
      </c>
      <c r="G38" s="6">
        <f>Inputs!G180</f>
        <v>0.032</v>
      </c>
      <c r="H38" s="21"/>
      <c r="I38" s="1"/>
      <c r="J38" s="1"/>
    </row>
    <row r="39">
      <c r="A39" s="1"/>
      <c r="B39" s="1" t="s">
        <v>392</v>
      </c>
      <c r="C39" s="6">
        <f>Inputs!D181-Inputs!C181</f>
        <v>0</v>
      </c>
      <c r="D39" s="6">
        <f>Inputs!E181-Inputs!D181</f>
        <v>0</v>
      </c>
      <c r="E39" s="6">
        <f>Inputs!F181-Inputs!E181</f>
        <v>0.164</v>
      </c>
      <c r="F39" s="6">
        <f>Inputs!F181</f>
        <v>0.164</v>
      </c>
      <c r="G39" s="6">
        <f>Inputs!G181</f>
        <v>0.164</v>
      </c>
      <c r="H39" s="21"/>
      <c r="I39" s="1"/>
      <c r="J39" s="1"/>
    </row>
    <row r="40">
      <c r="A40" s="1"/>
      <c r="B40" s="16" t="s">
        <v>393</v>
      </c>
      <c r="C40" s="39">
        <f>SUM(C33:C39)</f>
        <v>-11.491000000000001</v>
      </c>
      <c r="D40" s="39">
        <f>SUM(D33:D39)</f>
        <v>-6.074999999999999</v>
      </c>
      <c r="E40" s="39">
        <f>SUM(E33:E39)</f>
        <v>-7.378999999999999</v>
      </c>
      <c r="F40" s="39">
        <f>SUM(F33:F39)</f>
        <v>-34.429</v>
      </c>
      <c r="G40" s="39">
        <f>SUM(G33:G39)</f>
        <v>72.48299999999999</v>
      </c>
      <c r="H40" s="41"/>
      <c r="I40" s="1"/>
      <c r="J40" s="1"/>
    </row>
    <row r="41">
      <c r="A41" s="1"/>
      <c r="B41" s="1" t="s">
        <v>394</v>
      </c>
      <c r="C41" s="6">
        <f>Inputs!D191-Inputs!C191</f>
        <v>-11.491000000000001</v>
      </c>
      <c r="D41" s="6">
        <f>Inputs!E191-Inputs!D191</f>
        <v>-6.074999999999999</v>
      </c>
      <c r="E41" s="6">
        <f>Inputs!F191-Inputs!E191</f>
        <v>-7.379000000000001</v>
      </c>
      <c r="F41" s="6">
        <f>Inputs!F191</f>
        <v>-34.429</v>
      </c>
      <c r="G41" s="6">
        <f>Inputs!G191</f>
        <v>72.483</v>
      </c>
      <c r="H41" s="21"/>
      <c r="I41" s="1"/>
      <c r="J41" s="1"/>
    </row>
    <row r="42">
      <c r="A42" s="1"/>
      <c r="B42" s="19" t="s">
        <v>146</v>
      </c>
      <c r="C42" s="8">
        <f>ROUND(C40-C41,3)</f>
        <v>0</v>
      </c>
      <c r="D42" s="8">
        <f>ROUND(D40-D41,3)</f>
        <v>0</v>
      </c>
      <c r="E42" s="8">
        <f>ROUND(E40-E41,3)</f>
        <v>0</v>
      </c>
      <c r="F42" s="8">
        <f>ROUND(F40-F41,3)</f>
        <v>0</v>
      </c>
      <c r="G42" s="8">
        <f>ROUND(G40-G41,3)</f>
        <v>0</v>
      </c>
      <c r="H42" s="21"/>
      <c r="I42" s="1"/>
      <c r="J42" s="1"/>
    </row>
    <row r="43">
      <c r="A43" s="1"/>
      <c r="B43" s="1"/>
      <c r="C43" s="1"/>
      <c r="D43" s="1"/>
      <c r="E43" s="1"/>
      <c r="F43" s="1"/>
      <c r="G43" s="1"/>
      <c r="H43" s="32"/>
      <c r="I43" s="1"/>
      <c r="J43" s="1"/>
    </row>
    <row r="44">
      <c r="A44" s="1"/>
      <c r="B44" s="16" t="s">
        <v>395</v>
      </c>
      <c r="C44" s="1"/>
      <c r="D44" s="1"/>
      <c r="E44" s="1"/>
      <c r="F44" s="1"/>
      <c r="G44" s="1"/>
      <c r="H44" s="32"/>
      <c r="I44" s="1"/>
      <c r="J44" s="1"/>
    </row>
    <row r="45">
      <c r="A45" s="1"/>
      <c r="B45" s="1" t="s">
        <v>396</v>
      </c>
      <c r="C45" s="6">
        <f>Inputs!D182-Inputs!C182</f>
        <v>185.7</v>
      </c>
      <c r="D45" s="6">
        <f>Inputs!E182-Inputs!D182</f>
        <v>133.31</v>
      </c>
      <c r="E45" s="6">
        <f>Inputs!F182-Inputs!E182</f>
        <v>115.84000000000003</v>
      </c>
      <c r="F45" s="6">
        <f>Inputs!F182</f>
        <v>566.35</v>
      </c>
      <c r="G45" s="6">
        <f>Inputs!G182</f>
        <v>257.74</v>
      </c>
      <c r="H45" s="21"/>
      <c r="I45" s="1"/>
      <c r="J45" s="1"/>
    </row>
    <row r="46">
      <c r="A46" s="1"/>
      <c r="B46" s="1" t="s">
        <v>397</v>
      </c>
      <c r="C46" s="6">
        <f>Inputs!D183-Inputs!C183</f>
        <v>-159.2</v>
      </c>
      <c r="D46" s="6">
        <f>Inputs!E183-Inputs!D183</f>
        <v>-129.71000000000004</v>
      </c>
      <c r="E46" s="6">
        <f>Inputs!F183-Inputs!E183</f>
        <v>-223.14</v>
      </c>
      <c r="F46" s="6">
        <f>Inputs!F183</f>
        <v>-936.25</v>
      </c>
      <c r="G46" s="6">
        <f>Inputs!G183</f>
        <v>-316.56</v>
      </c>
      <c r="H46" s="21"/>
      <c r="I46" s="1"/>
      <c r="J46" s="1"/>
    </row>
    <row r="47">
      <c r="A47" s="1"/>
      <c r="B47" s="1" t="s">
        <v>398</v>
      </c>
      <c r="C47" s="6">
        <f>Inputs!D184-Inputs!C184</f>
        <v>0</v>
      </c>
      <c r="D47" s="6">
        <f>Inputs!E184-Inputs!D184</f>
        <v>0</v>
      </c>
      <c r="E47" s="6">
        <f>Inputs!F184-Inputs!E184</f>
        <v>0</v>
      </c>
      <c r="F47" s="6">
        <f>Inputs!F184</f>
        <v>250</v>
      </c>
      <c r="G47" s="6">
        <f>Inputs!G184</f>
        <v>0</v>
      </c>
      <c r="H47" s="21"/>
      <c r="I47" s="1"/>
      <c r="J47" s="1"/>
    </row>
    <row r="48">
      <c r="A48" s="1"/>
      <c r="B48" s="1" t="s">
        <v>399</v>
      </c>
      <c r="C48" s="6">
        <f>Inputs!D185-Inputs!C185</f>
        <v>-4.686999999999999</v>
      </c>
      <c r="D48" s="6">
        <f>Inputs!E185-Inputs!D185</f>
        <v>-4.688</v>
      </c>
      <c r="E48" s="6">
        <f>Inputs!F185-Inputs!E185</f>
        <v>-4.686999999999999</v>
      </c>
      <c r="F48" s="6">
        <f>Inputs!F185</f>
        <v>-16.406</v>
      </c>
      <c r="G48" s="6">
        <f>Inputs!G185</f>
        <v>-6.25</v>
      </c>
      <c r="H48" s="21"/>
      <c r="I48" s="1"/>
      <c r="J48" s="1"/>
    </row>
    <row r="49">
      <c r="A49" s="1"/>
      <c r="B49" s="1" t="s">
        <v>400</v>
      </c>
      <c r="C49" s="6">
        <f>Inputs!D186-Inputs!C186</f>
        <v>0</v>
      </c>
      <c r="D49" s="6">
        <f>Inputs!E186-Inputs!D186</f>
        <v>-0.958</v>
      </c>
      <c r="E49" s="6">
        <f>Inputs!F186-Inputs!E186</f>
        <v>0</v>
      </c>
      <c r="F49" s="6">
        <f>Inputs!F186</f>
        <v>-1.392</v>
      </c>
      <c r="G49" s="6">
        <f>Inputs!G186</f>
        <v>0</v>
      </c>
      <c r="H49" s="21"/>
      <c r="I49" s="1"/>
      <c r="J49" s="1"/>
    </row>
    <row r="50">
      <c r="A50" s="1"/>
      <c r="B50" s="1" t="s">
        <v>401</v>
      </c>
      <c r="C50" s="6">
        <f>Inputs!D187-Inputs!C187</f>
        <v>0</v>
      </c>
      <c r="D50" s="6">
        <f>Inputs!E187-Inputs!D187</f>
        <v>0</v>
      </c>
      <c r="E50" s="6">
        <f>Inputs!F187-Inputs!E187</f>
        <v>0</v>
      </c>
      <c r="F50" s="6">
        <f>Inputs!F187</f>
        <v>0</v>
      </c>
      <c r="G50" s="6">
        <f>Inputs!G187</f>
        <v>-4.1</v>
      </c>
      <c r="H50" s="21"/>
      <c r="I50" s="1"/>
      <c r="J50" s="1"/>
    </row>
    <row r="51">
      <c r="A51" s="1"/>
      <c r="B51" s="1" t="s">
        <v>402</v>
      </c>
      <c r="C51" s="6">
        <f>Inputs!D188-Inputs!C188</f>
        <v>0</v>
      </c>
      <c r="D51" s="6">
        <f>Inputs!E188-Inputs!D188</f>
        <v>1.167</v>
      </c>
      <c r="E51" s="6">
        <f>Inputs!F188-Inputs!E188</f>
        <v>0.0009999999999998899</v>
      </c>
      <c r="F51" s="6">
        <f>Inputs!F188</f>
        <v>2.925</v>
      </c>
      <c r="G51" s="6">
        <f>Inputs!G188</f>
        <v>1.334</v>
      </c>
      <c r="H51" s="21"/>
      <c r="I51" s="1"/>
      <c r="J51" s="1"/>
    </row>
    <row r="52">
      <c r="A52" s="1"/>
      <c r="B52" s="1" t="s">
        <v>403</v>
      </c>
      <c r="C52" s="6">
        <f>Inputs!D189-Inputs!C189</f>
        <v>-0.15100000000000002</v>
      </c>
      <c r="D52" s="6">
        <f>Inputs!E189-Inputs!D189</f>
        <v>-0.22399999999999998</v>
      </c>
      <c r="E52" s="6">
        <f>Inputs!F189-Inputs!E189</f>
        <v>-0.20900000000000007</v>
      </c>
      <c r="F52" s="6">
        <f>Inputs!F189</f>
        <v>-1.915</v>
      </c>
      <c r="G52" s="6">
        <f>Inputs!G189</f>
        <v>-1.215</v>
      </c>
      <c r="H52" s="21"/>
      <c r="I52" s="1"/>
      <c r="J52" s="1"/>
    </row>
    <row r="53">
      <c r="A53" s="1"/>
      <c r="B53" s="16" t="s">
        <v>404</v>
      </c>
      <c r="C53" s="39">
        <f>SUM(C45:C52)</f>
        <v>21.662</v>
      </c>
      <c r="D53" s="39">
        <f>SUM(D45:D52)</f>
        <v>-1.1030000000000337</v>
      </c>
      <c r="E53" s="39">
        <f>SUM(E45:E52)</f>
        <v>-112.19499999999995</v>
      </c>
      <c r="F53" s="39">
        <f>SUM(F45:F52)</f>
        <v>-136.688</v>
      </c>
      <c r="G53" s="39">
        <f>SUM(G45:G52)</f>
        <v>-69.05099999999999</v>
      </c>
      <c r="H53" s="41"/>
      <c r="I53" s="1"/>
      <c r="J53" s="1"/>
    </row>
    <row r="54">
      <c r="A54" s="1"/>
      <c r="B54" s="1" t="s">
        <v>405</v>
      </c>
      <c r="C54" s="6">
        <f>Inputs!D192-Inputs!C192</f>
        <v>21.662</v>
      </c>
      <c r="D54" s="6">
        <f>Inputs!E192-Inputs!D192</f>
        <v>-1.102999999999998</v>
      </c>
      <c r="E54" s="6">
        <f>Inputs!F192-Inputs!E192</f>
        <v>-112.195</v>
      </c>
      <c r="F54" s="6">
        <f>Inputs!F192</f>
        <v>-136.688</v>
      </c>
      <c r="G54" s="6">
        <f>Inputs!G192</f>
        <v>-69.051</v>
      </c>
      <c r="H54" s="21"/>
      <c r="I54" s="1"/>
      <c r="J54" s="1"/>
    </row>
    <row r="55">
      <c r="A55" s="1"/>
      <c r="B55" s="19" t="s">
        <v>146</v>
      </c>
      <c r="C55" s="8">
        <f>ROUND(C53-C54,3)</f>
        <v>0</v>
      </c>
      <c r="D55" s="8">
        <f>ROUND(D53-D54,3)</f>
        <v>0</v>
      </c>
      <c r="E55" s="8">
        <f>ROUND(E53-E54,3)</f>
        <v>0</v>
      </c>
      <c r="F55" s="8">
        <f>ROUND(F53-F54,3)</f>
        <v>0</v>
      </c>
      <c r="G55" s="8">
        <f>ROUND(G53-G54,3)</f>
        <v>0</v>
      </c>
      <c r="H55" s="21"/>
      <c r="I55" s="1"/>
      <c r="J55" s="1"/>
    </row>
    <row r="56">
      <c r="A56" s="1"/>
      <c r="B56" s="1"/>
      <c r="C56" s="1"/>
      <c r="D56" s="1"/>
      <c r="E56" s="1"/>
      <c r="F56" s="1"/>
      <c r="G56" s="1"/>
      <c r="H56" s="32"/>
      <c r="I56" s="1"/>
      <c r="J56" s="1"/>
    </row>
    <row r="57">
      <c r="A57" s="1"/>
      <c r="B57" s="16" t="s">
        <v>406</v>
      </c>
      <c r="C57" s="1"/>
      <c r="D57" s="1"/>
      <c r="E57" s="1"/>
      <c r="F57" s="1"/>
      <c r="G57" s="1"/>
      <c r="H57" s="32"/>
      <c r="I57" s="1"/>
      <c r="J57" s="1"/>
    </row>
    <row r="58">
      <c r="A58" s="1"/>
      <c r="B58" s="16" t="s">
        <v>407</v>
      </c>
      <c r="C58" s="39">
        <f>C28+C40+C53</f>
        <v>-0.29899999999997107</v>
      </c>
      <c r="D58" s="39">
        <f>D28+D40+D53</f>
        <v>4.766999999999875</v>
      </c>
      <c r="E58" s="39">
        <f>E28+E40+E53</f>
        <v>-8.250999999999863</v>
      </c>
      <c r="F58" s="39">
        <f>F28+F40+F53</f>
        <v>0.019000000000005457</v>
      </c>
      <c r="G58" s="39">
        <f>G28+G40+G53</f>
        <v>2.7960000000000065</v>
      </c>
      <c r="H58" s="41"/>
      <c r="I58" s="1"/>
      <c r="J58" s="1"/>
    </row>
    <row r="59">
      <c r="A59" s="1"/>
      <c r="B59" s="1" t="s">
        <v>408</v>
      </c>
      <c r="C59" s="6">
        <f>Inputs!C195</f>
        <v>22.669</v>
      </c>
      <c r="D59" s="6">
        <f>'Balance Sheet'!C10</f>
        <v>22.37</v>
      </c>
      <c r="E59" s="6">
        <f>'Balance Sheet'!D10</f>
        <v>27.137</v>
      </c>
      <c r="F59" s="6">
        <f>Inputs!F194</f>
        <v>18.867</v>
      </c>
      <c r="G59" s="6">
        <f>'Balance Sheet'!E10</f>
        <v>18.886</v>
      </c>
      <c r="H59" s="21"/>
      <c r="I59" s="1"/>
      <c r="J59" s="1" t="s">
        <v>409</v>
      </c>
    </row>
    <row r="60">
      <c r="A60" s="1"/>
      <c r="B60" s="16" t="s">
        <v>410</v>
      </c>
      <c r="C60" s="39">
        <f>C59+C58</f>
        <v>22.37000000000003</v>
      </c>
      <c r="D60" s="39">
        <f>D59+D58</f>
        <v>27.136999999999876</v>
      </c>
      <c r="E60" s="39">
        <f>E59+E58</f>
        <v>18.886000000000138</v>
      </c>
      <c r="F60" s="39">
        <f>F59+F58</f>
        <v>18.886000000000006</v>
      </c>
      <c r="G60" s="39">
        <f>G59+G58</f>
        <v>21.682000000000006</v>
      </c>
      <c r="H60" s="41"/>
      <c r="I60" s="1"/>
      <c r="J60" s="1"/>
    </row>
    <row r="61">
      <c r="A61" s="1"/>
      <c r="B61" s="1" t="s">
        <v>411</v>
      </c>
      <c r="C61" s="6">
        <f>'Balance Sheet'!C10</f>
        <v>22.37</v>
      </c>
      <c r="D61" s="6">
        <f>'Balance Sheet'!D10</f>
        <v>27.137</v>
      </c>
      <c r="E61" s="6">
        <f>'Balance Sheet'!E10</f>
        <v>18.886</v>
      </c>
      <c r="F61" s="6">
        <f>'Balance Sheet'!F10</f>
        <v>18.886</v>
      </c>
      <c r="G61" s="6">
        <f>'Balance Sheet'!G10</f>
        <v>21.682</v>
      </c>
      <c r="H61" s="21"/>
      <c r="I61" s="1"/>
      <c r="J61" s="1"/>
    </row>
    <row r="62">
      <c r="A62" s="1"/>
      <c r="B62" s="19" t="s">
        <v>412</v>
      </c>
      <c r="C62" s="8">
        <f>ROUND(C60-C61,3)</f>
        <v>0</v>
      </c>
      <c r="D62" s="8">
        <f>ROUND(D60-D61,3)</f>
        <v>0</v>
      </c>
      <c r="E62" s="8">
        <f>ROUND(E60-E61,3)</f>
        <v>0</v>
      </c>
      <c r="F62" s="8">
        <f>ROUND(F60-F61,3)</f>
        <v>0</v>
      </c>
      <c r="G62" s="8">
        <f>ROUND(G60-G61,3)</f>
        <v>0</v>
      </c>
      <c r="H62" s="21"/>
      <c r="I62" s="1"/>
      <c r="J62" s="1"/>
    </row>
    <row r="63">
      <c r="A63" s="1"/>
      <c r="B63" s="19" t="s">
        <v>413</v>
      </c>
      <c r="C63" s="8"/>
      <c r="D63" s="8"/>
      <c r="E63" s="8"/>
      <c r="F63" s="6">
        <f>ROUND(F28-(Inputs!C190+C28+D28+E28),3)</f>
        <v>0</v>
      </c>
      <c r="G63" s="8"/>
      <c r="H63" s="21"/>
      <c r="I63" s="1"/>
      <c r="J63" s="1" t="s">
        <v>414</v>
      </c>
    </row>
    <row r="64">
      <c r="A64" s="1"/>
      <c r="B64" s="1"/>
      <c r="C64" s="1"/>
      <c r="D64" s="1"/>
      <c r="E64" s="1"/>
      <c r="F64" s="1"/>
      <c r="G64" s="1"/>
      <c r="H64" s="32"/>
      <c r="I64" s="1"/>
      <c r="J64" s="1"/>
    </row>
    <row r="65">
      <c r="A65" s="1"/>
      <c r="B65" s="16" t="s">
        <v>415</v>
      </c>
      <c r="C65" s="1"/>
      <c r="D65" s="1"/>
      <c r="E65" s="1"/>
      <c r="F65" s="1"/>
      <c r="G65" s="1"/>
      <c r="H65" s="32"/>
      <c r="I65" s="1"/>
      <c r="J65" s="1"/>
    </row>
    <row r="66">
      <c r="A66" s="1"/>
      <c r="B66" s="16" t="s">
        <v>416</v>
      </c>
      <c r="C66" s="39">
        <f>C28+C33</f>
        <v>-21.93999999999997</v>
      </c>
      <c r="D66" s="39">
        <f>D28+D33</f>
        <v>5.770999999999908</v>
      </c>
      <c r="E66" s="39">
        <f>E28+E33</f>
        <v>103.1030000000001</v>
      </c>
      <c r="F66" s="39">
        <f>F28+F33</f>
        <v>131.91</v>
      </c>
      <c r="G66" s="39">
        <f>G28+G33</f>
        <v>-6.441999999999997</v>
      </c>
      <c r="H66" s="41"/>
      <c r="I66" s="1"/>
      <c r="J66" s="1"/>
    </row>
    <row r="67">
      <c r="A67" s="1"/>
      <c r="B67" s="19" t="s">
        <v>417</v>
      </c>
      <c r="C67" s="45">
        <f>C66/'Income Statement'!C10</f>
        <v>-0.050812796301828875</v>
      </c>
      <c r="D67" s="45">
        <f>D66/'Income Statement'!D10</f>
        <v>0.011253263758484617</v>
      </c>
      <c r="E67" s="45">
        <f>E66/'Income Statement'!E10</f>
        <v>0.21935641721185065</v>
      </c>
      <c r="F67" s="45">
        <f>F66/'Income Statement'!F10</f>
        <v>0.0738457921166216</v>
      </c>
      <c r="G67" s="45">
        <f>G66/'Income Statement'!G10</f>
        <v>-0.01602029270233639</v>
      </c>
      <c r="H67" s="20"/>
      <c r="I67" s="1"/>
      <c r="J67" s="1"/>
    </row>
    <row r="68">
      <c r="A68" s="1"/>
      <c r="B68" s="1" t="s">
        <v>418</v>
      </c>
      <c r="C68" s="1"/>
      <c r="D68" s="1"/>
      <c r="E68" s="1"/>
      <c r="F68" s="1"/>
      <c r="G68" s="1"/>
      <c r="H68" s="32"/>
      <c r="I68" s="1"/>
      <c r="J68" s="1"/>
    </row>
    <row r="69">
      <c r="A69" s="1"/>
      <c r="B69" s="1"/>
      <c r="C69" s="1"/>
      <c r="D69" s="1"/>
      <c r="E69" s="1"/>
      <c r="F69" s="1"/>
      <c r="G69" s="1"/>
      <c r="H69" s="32"/>
      <c r="I69" s="1"/>
      <c r="J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419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18" t="s">
        <v>4</v>
      </c>
      <c r="I5" s="1"/>
      <c r="J5" s="16" t="s">
        <v>36</v>
      </c>
    </row>
    <row r="6">
      <c r="A6" s="1"/>
      <c r="B6" s="14" t="s">
        <v>5</v>
      </c>
      <c r="C6" s="25">
        <v>45900</v>
      </c>
      <c r="D6" s="25">
        <v>45991</v>
      </c>
      <c r="E6" s="25">
        <v>46081</v>
      </c>
      <c r="F6" s="25">
        <v>46081</v>
      </c>
      <c r="G6" s="25">
        <v>46173</v>
      </c>
      <c r="H6" s="40">
        <v>46265</v>
      </c>
      <c r="I6" s="1"/>
      <c r="J6" s="1"/>
    </row>
    <row r="7">
      <c r="A7" s="1"/>
      <c r="B7" s="33" t="s">
        <v>6</v>
      </c>
      <c r="C7" s="17">
        <v>92</v>
      </c>
      <c r="D7" s="17">
        <v>91</v>
      </c>
      <c r="E7" s="17">
        <v>90</v>
      </c>
      <c r="F7" s="17">
        <v>365</v>
      </c>
      <c r="G7" s="17">
        <v>92</v>
      </c>
      <c r="H7" s="10">
        <v>92</v>
      </c>
      <c r="I7" s="1"/>
      <c r="J7" s="1"/>
    </row>
    <row r="8">
      <c r="A8" s="1"/>
      <c r="B8" s="1"/>
      <c r="C8" s="1"/>
      <c r="D8" s="1"/>
      <c r="E8" s="1"/>
      <c r="F8" s="1"/>
      <c r="G8" s="1"/>
      <c r="H8" s="32"/>
      <c r="I8" s="1"/>
      <c r="J8" s="1"/>
    </row>
    <row r="9">
      <c r="A9" s="1"/>
      <c r="B9" s="16" t="s">
        <v>420</v>
      </c>
      <c r="C9" s="1"/>
      <c r="D9" s="1"/>
      <c r="E9" s="1"/>
      <c r="F9" s="1"/>
      <c r="G9" s="1"/>
      <c r="H9" s="32"/>
      <c r="I9" s="1"/>
      <c r="J9" s="1"/>
    </row>
    <row r="10">
      <c r="A10" s="1"/>
      <c r="B10" s="19" t="s">
        <v>421</v>
      </c>
      <c r="C10" s="3"/>
      <c r="D10" s="3"/>
      <c r="E10" s="3"/>
      <c r="F10" s="3"/>
      <c r="G10" s="3"/>
      <c r="H10" s="56">
        <v>0.01</v>
      </c>
      <c r="I10" s="1"/>
      <c r="J10" s="1" t="s">
        <v>422</v>
      </c>
    </row>
    <row r="11">
      <c r="A11" s="1"/>
      <c r="B11" s="1"/>
      <c r="C11" s="1"/>
      <c r="D11" s="1"/>
      <c r="E11" s="1"/>
      <c r="F11" s="1"/>
      <c r="G11" s="1"/>
      <c r="H11" s="32"/>
      <c r="I11" s="1"/>
      <c r="J11" s="1"/>
    </row>
    <row r="12">
      <c r="A12" s="1"/>
      <c r="B12" s="16" t="s">
        <v>423</v>
      </c>
      <c r="C12" s="1"/>
      <c r="D12" s="1"/>
      <c r="E12" s="1"/>
      <c r="F12" s="1"/>
      <c r="G12" s="1"/>
      <c r="H12" s="32"/>
      <c r="I12" s="1"/>
      <c r="J12" s="1"/>
    </row>
    <row r="13">
      <c r="A13" s="1"/>
      <c r="B13" s="16" t="s">
        <v>424</v>
      </c>
      <c r="C13" s="62">
        <v>101.285</v>
      </c>
      <c r="D13" s="62">
        <v>119.562</v>
      </c>
      <c r="E13" s="62">
        <v>119.699</v>
      </c>
      <c r="F13" s="62">
        <v>434.241</v>
      </c>
      <c r="G13" s="62">
        <v>94.767</v>
      </c>
      <c r="H13" s="41">
        <f>H14*(1+H10)</f>
        <v>102.29785</v>
      </c>
      <c r="I13" s="1"/>
      <c r="J13" s="1" t="s">
        <v>425</v>
      </c>
    </row>
    <row r="14">
      <c r="A14" s="1"/>
      <c r="B14" s="1" t="s">
        <v>65</v>
      </c>
      <c r="C14" s="37">
        <v>108.471</v>
      </c>
      <c r="D14" s="37">
        <v>130.167</v>
      </c>
      <c r="E14" s="37">
        <v>113.609</v>
      </c>
      <c r="F14" s="37">
        <v>468.414</v>
      </c>
      <c r="G14" s="6">
        <f>Inputs!C146</f>
        <v>93.695</v>
      </c>
      <c r="H14" s="21">
        <f>C13</f>
        <v>101.285</v>
      </c>
      <c r="I14" s="1"/>
      <c r="J14" s="1"/>
    </row>
    <row r="15">
      <c r="A15" s="1"/>
      <c r="B15" s="19" t="s">
        <v>66</v>
      </c>
      <c r="C15" s="3">
        <f>C13/C14-1</f>
        <v>-0.06624812161775961</v>
      </c>
      <c r="D15" s="3">
        <f>D13/D14-1</f>
        <v>-0.08147226255502549</v>
      </c>
      <c r="E15" s="3">
        <f>E13/E14-1</f>
        <v>0.053604908061861245</v>
      </c>
      <c r="F15" s="3">
        <f>F13/F14-1</f>
        <v>-0.07295469392460519</v>
      </c>
      <c r="G15" s="3">
        <f>G13/G14-1</f>
        <v>0.011441378942312896</v>
      </c>
      <c r="H15" s="20">
        <f>H13/H14-1</f>
        <v>0.010000000000000009</v>
      </c>
      <c r="I15" s="1"/>
      <c r="J15" s="1"/>
    </row>
    <row r="16">
      <c r="A16" s="1"/>
      <c r="B16" s="1" t="s">
        <v>69</v>
      </c>
      <c r="C16" s="8">
        <f>C13-C14</f>
        <v>-7.186000000000007</v>
      </c>
      <c r="D16" s="8">
        <f>D13-D14</f>
        <v>-10.605000000000004</v>
      </c>
      <c r="E16" s="8">
        <f>E13-E14</f>
        <v>6.090000000000003</v>
      </c>
      <c r="F16" s="8">
        <f>F13-F14</f>
        <v>-34.173</v>
      </c>
      <c r="G16" s="8">
        <f>G13-G14</f>
        <v>1.0720000000000027</v>
      </c>
      <c r="H16" s="21">
        <f>H13-H14</f>
        <v>1.0128500000000003</v>
      </c>
      <c r="I16" s="1"/>
      <c r="J16" s="1"/>
    </row>
    <row r="17">
      <c r="A17" s="1"/>
      <c r="B17" s="1" t="s">
        <v>70</v>
      </c>
      <c r="C17" s="6">
        <f>C13-Inputs!C146</f>
        <v>7.590000000000003</v>
      </c>
      <c r="D17" s="8">
        <f>D13-C13</f>
        <v>18.277</v>
      </c>
      <c r="E17" s="8">
        <f>E13-D13</f>
        <v>0.13700000000000045</v>
      </c>
      <c r="F17" s="8"/>
      <c r="G17" s="8">
        <f>G13-E13</f>
        <v>-24.932000000000002</v>
      </c>
      <c r="H17" s="21">
        <f>H13-G13</f>
        <v>7.530850000000001</v>
      </c>
      <c r="I17" s="1"/>
      <c r="J17" s="1"/>
    </row>
    <row r="18">
      <c r="A18" s="1"/>
      <c r="B18" s="19" t="s">
        <v>67</v>
      </c>
      <c r="C18" s="45">
        <f>C13/Inputs!C146-1</f>
        <v>0.08100752441432313</v>
      </c>
      <c r="D18" s="3">
        <f>D13/C13-1</f>
        <v>0.1804512020536111</v>
      </c>
      <c r="E18" s="3">
        <f>E13/D13-1</f>
        <v>0.0011458490155735745</v>
      </c>
      <c r="F18" s="3"/>
      <c r="G18" s="3">
        <f>G13/E13-1</f>
        <v>-0.20828912522243292</v>
      </c>
      <c r="H18" s="20">
        <f>H13/G13-1</f>
        <v>0.07946700855783129</v>
      </c>
      <c r="I18" s="1"/>
      <c r="J18" s="1"/>
    </row>
    <row r="19">
      <c r="A19" s="1"/>
      <c r="B19" s="19" t="s">
        <v>68</v>
      </c>
      <c r="C19" s="3">
        <f>C13/C33</f>
        <v>0.23457493497861187</v>
      </c>
      <c r="D19" s="3">
        <f>D13/D33</f>
        <v>0.2331420414992132</v>
      </c>
      <c r="E19" s="3">
        <f>E13/E33</f>
        <v>0.25466517738418165</v>
      </c>
      <c r="F19" s="3">
        <f>F13/F33</f>
        <v>0.24309658566078296</v>
      </c>
      <c r="G19" s="3">
        <f>G13/G33</f>
        <v>0.23567138753839073</v>
      </c>
      <c r="H19" s="20">
        <f>H13/H33</f>
        <v>0.23129200359823765</v>
      </c>
      <c r="I19" s="1"/>
      <c r="J19" s="1"/>
    </row>
    <row r="20">
      <c r="A20" s="1"/>
      <c r="B20" s="1" t="s">
        <v>71</v>
      </c>
      <c r="C20" s="27" t="s">
        <v>123</v>
      </c>
      <c r="D20" s="27" t="s">
        <v>123</v>
      </c>
      <c r="E20" s="27" t="s">
        <v>123</v>
      </c>
      <c r="F20" s="27" t="s">
        <v>123</v>
      </c>
      <c r="G20" s="27" t="s">
        <v>123</v>
      </c>
      <c r="H20" s="28" t="s">
        <v>123</v>
      </c>
      <c r="I20" s="1"/>
      <c r="J20" s="1" t="s">
        <v>426</v>
      </c>
    </row>
    <row r="21">
      <c r="A21" s="1"/>
      <c r="B21" s="1"/>
      <c r="C21" s="1"/>
      <c r="D21" s="1"/>
      <c r="E21" s="1"/>
      <c r="F21" s="1"/>
      <c r="G21" s="1"/>
      <c r="H21" s="32"/>
      <c r="I21" s="1"/>
      <c r="J21" s="1"/>
    </row>
    <row r="22">
      <c r="A22" s="1"/>
      <c r="B22" s="16" t="s">
        <v>427</v>
      </c>
      <c r="C22" s="1"/>
      <c r="D22" s="1"/>
      <c r="E22" s="1"/>
      <c r="F22" s="1"/>
      <c r="G22" s="1"/>
      <c r="H22" s="32"/>
      <c r="I22" s="1"/>
      <c r="J22" s="1"/>
    </row>
    <row r="23">
      <c r="A23" s="1"/>
      <c r="B23" s="16" t="s">
        <v>428</v>
      </c>
      <c r="C23" s="62">
        <v>330.496</v>
      </c>
      <c r="D23" s="62">
        <v>393.267</v>
      </c>
      <c r="E23" s="62">
        <v>350.326</v>
      </c>
      <c r="F23" s="62">
        <v>1352.049</v>
      </c>
      <c r="G23" s="62">
        <v>307.348</v>
      </c>
      <c r="H23" s="46">
        <f>'Revenue summary'!H36-H13</f>
        <v>339.99089499999997</v>
      </c>
      <c r="I23" s="1"/>
      <c r="J23" s="1" t="s">
        <v>429</v>
      </c>
    </row>
    <row r="24">
      <c r="A24" s="1"/>
      <c r="B24" s="1" t="s">
        <v>65</v>
      </c>
      <c r="C24" s="37">
        <v>365.75</v>
      </c>
      <c r="D24" s="37">
        <v>400.539</v>
      </c>
      <c r="E24" s="37">
        <v>372.282</v>
      </c>
      <c r="F24" s="37">
        <v>1439.251</v>
      </c>
      <c r="G24" s="6">
        <f>Inputs!C145</f>
        <v>277.96</v>
      </c>
      <c r="H24" s="21">
        <f>C23</f>
        <v>330.496</v>
      </c>
      <c r="I24" s="1"/>
      <c r="J24" s="1"/>
    </row>
    <row r="25">
      <c r="A25" s="1"/>
      <c r="B25" s="19" t="s">
        <v>66</v>
      </c>
      <c r="C25" s="3">
        <f>C23/C24-1</f>
        <v>-0.0963882433356118</v>
      </c>
      <c r="D25" s="3">
        <f>D23/D24-1</f>
        <v>-0.01815553541602688</v>
      </c>
      <c r="E25" s="3">
        <f>E23/E24-1</f>
        <v>-0.058976797159142724</v>
      </c>
      <c r="F25" s="3">
        <f>F23/F24-1</f>
        <v>-0.06058845885811437</v>
      </c>
      <c r="G25" s="3">
        <f>G23/G24-1</f>
        <v>0.105727442797525</v>
      </c>
      <c r="H25" s="20">
        <f>H23/H24-1</f>
        <v>0.02872922819035617</v>
      </c>
      <c r="I25" s="1"/>
      <c r="J25" s="1"/>
    </row>
    <row r="26">
      <c r="A26" s="1"/>
      <c r="B26" s="1" t="s">
        <v>69</v>
      </c>
      <c r="C26" s="8">
        <f>C23-C24</f>
        <v>-35.25400000000002</v>
      </c>
      <c r="D26" s="8">
        <f>D23-D24</f>
        <v>-7.271999999999991</v>
      </c>
      <c r="E26" s="8">
        <f>E23-E24</f>
        <v>-21.95599999999996</v>
      </c>
      <c r="F26" s="8">
        <f>F23-F24</f>
        <v>-87.202</v>
      </c>
      <c r="G26" s="8">
        <f>G23-G24</f>
        <v>29.388000000000034</v>
      </c>
      <c r="H26" s="21">
        <f>H23-H24</f>
        <v>9.494894999999985</v>
      </c>
      <c r="I26" s="1"/>
      <c r="J26" s="1"/>
    </row>
    <row r="27">
      <c r="A27" s="1"/>
      <c r="B27" s="1" t="s">
        <v>70</v>
      </c>
      <c r="C27" s="6">
        <f>C23-Inputs!C145</f>
        <v>52.536</v>
      </c>
      <c r="D27" s="8">
        <f>D23-C23</f>
        <v>62.771000000000015</v>
      </c>
      <c r="E27" s="8">
        <f>E23-D23</f>
        <v>-42.940999999999974</v>
      </c>
      <c r="F27" s="8"/>
      <c r="G27" s="8">
        <f>G23-E23</f>
        <v>-42.97800000000001</v>
      </c>
      <c r="H27" s="21">
        <f>H23-G23</f>
        <v>32.64289499999995</v>
      </c>
      <c r="I27" s="1"/>
      <c r="J27" s="1"/>
    </row>
    <row r="28">
      <c r="A28" s="1"/>
      <c r="B28" s="19" t="s">
        <v>67</v>
      </c>
      <c r="C28" s="45">
        <f>C23/Inputs!C145-1</f>
        <v>0.18900561231831925</v>
      </c>
      <c r="D28" s="3">
        <f>D23/C23-1</f>
        <v>0.18992968144848965</v>
      </c>
      <c r="E28" s="3">
        <f>E23/D23-1</f>
        <v>-0.10919044821965729</v>
      </c>
      <c r="F28" s="3"/>
      <c r="G28" s="3">
        <f>G23/E23-1</f>
        <v>-0.12268001804033957</v>
      </c>
      <c r="H28" s="20">
        <f>H23/G23-1</f>
        <v>0.1062082557882269</v>
      </c>
      <c r="I28" s="1"/>
      <c r="J28" s="1"/>
    </row>
    <row r="29">
      <c r="A29" s="1"/>
      <c r="B29" s="19" t="s">
        <v>68</v>
      </c>
      <c r="C29" s="3">
        <f>C23/C33</f>
        <v>0.7654250650213882</v>
      </c>
      <c r="D29" s="3">
        <f>D23/D33</f>
        <v>0.7668579585007869</v>
      </c>
      <c r="E29" s="3">
        <f>E23/E33</f>
        <v>0.7453348226158183</v>
      </c>
      <c r="F29" s="3">
        <f>F23/F33</f>
        <v>0.756903414339217</v>
      </c>
      <c r="G29" s="3">
        <f>G23/G33</f>
        <v>0.7643286124616092</v>
      </c>
      <c r="H29" s="20">
        <f>H23/H33</f>
        <v>0.7687079964017624</v>
      </c>
      <c r="I29" s="1"/>
      <c r="J29" s="1"/>
    </row>
    <row r="30">
      <c r="A30" s="1"/>
      <c r="B30" s="1" t="s">
        <v>71</v>
      </c>
      <c r="C30" s="27" t="s">
        <v>123</v>
      </c>
      <c r="D30" s="27" t="s">
        <v>123</v>
      </c>
      <c r="E30" s="27" t="s">
        <v>123</v>
      </c>
      <c r="F30" s="27" t="s">
        <v>123</v>
      </c>
      <c r="G30" s="27" t="s">
        <v>123</v>
      </c>
      <c r="H30" s="28" t="s">
        <v>123</v>
      </c>
      <c r="I30" s="1"/>
      <c r="J30" s="1" t="s">
        <v>426</v>
      </c>
    </row>
    <row r="31">
      <c r="A31" s="1"/>
      <c r="B31" s="1"/>
      <c r="C31" s="1"/>
      <c r="D31" s="1"/>
      <c r="E31" s="1"/>
      <c r="F31" s="1"/>
      <c r="G31" s="1"/>
      <c r="H31" s="32"/>
      <c r="I31" s="1"/>
      <c r="J31" s="1"/>
    </row>
    <row r="32">
      <c r="A32" s="1"/>
      <c r="B32" s="16" t="s">
        <v>430</v>
      </c>
      <c r="C32" s="1"/>
      <c r="D32" s="1"/>
      <c r="E32" s="1"/>
      <c r="F32" s="1"/>
      <c r="G32" s="1"/>
      <c r="H32" s="32"/>
      <c r="I32" s="1"/>
      <c r="J32" s="1"/>
    </row>
    <row r="33">
      <c r="A33" s="1"/>
      <c r="B33" s="16" t="s">
        <v>431</v>
      </c>
      <c r="C33" s="39">
        <f>C23+C13</f>
        <v>431.78099999999995</v>
      </c>
      <c r="D33" s="39">
        <f>D23+D13</f>
        <v>512.829</v>
      </c>
      <c r="E33" s="39">
        <f>E23+E13</f>
        <v>470.02500000000003</v>
      </c>
      <c r="F33" s="39">
        <f>F23+F13</f>
        <v>1786.29</v>
      </c>
      <c r="G33" s="39">
        <f>G23+G13</f>
        <v>402.115</v>
      </c>
      <c r="H33" s="41">
        <f>H23+H13</f>
        <v>442.28874499999995</v>
      </c>
      <c r="I33" s="1"/>
      <c r="J33" s="1"/>
    </row>
    <row r="34">
      <c r="A34" s="1"/>
      <c r="B34" s="1" t="s">
        <v>432</v>
      </c>
      <c r="C34" s="6">
        <f>'Revenue summary'!C36</f>
        <v>431.78099999999995</v>
      </c>
      <c r="D34" s="6">
        <f>'Revenue summary'!D36</f>
        <v>512.8290000000001</v>
      </c>
      <c r="E34" s="6">
        <f>'Revenue summary'!E36</f>
        <v>470.025</v>
      </c>
      <c r="F34" s="6">
        <f>'Revenue summary'!F36</f>
        <v>1786.29</v>
      </c>
      <c r="G34" s="6">
        <f>'Revenue summary'!G36</f>
        <v>402.115</v>
      </c>
      <c r="H34" s="47">
        <f>'Revenue summary'!H36</f>
        <v>442.28874499999995</v>
      </c>
      <c r="I34" s="1"/>
      <c r="J34" s="1"/>
    </row>
    <row r="35">
      <c r="A35" s="1"/>
      <c r="B35" s="19" t="s">
        <v>433</v>
      </c>
      <c r="C35" s="8">
        <f>ROUND(C33-C34,3)</f>
        <v>0</v>
      </c>
      <c r="D35" s="8">
        <f>ROUND(D33-D34,3)</f>
        <v>0</v>
      </c>
      <c r="E35" s="8">
        <f>ROUND(E33-E34,3)</f>
        <v>0</v>
      </c>
      <c r="F35" s="8">
        <f>ROUND(F33-F34,3)</f>
        <v>0</v>
      </c>
      <c r="G35" s="8">
        <f>ROUND(G33-G34,3)</f>
        <v>0</v>
      </c>
      <c r="H35" s="21">
        <f>ROUND(H33-H34,3)</f>
        <v>0</v>
      </c>
      <c r="I35" s="1"/>
      <c r="J35" s="1" t="s">
        <v>434</v>
      </c>
    </row>
    <row r="36">
      <c r="A36" s="1"/>
      <c r="B36" s="19" t="s">
        <v>435</v>
      </c>
      <c r="C36" s="8"/>
      <c r="D36" s="8"/>
      <c r="E36" s="8"/>
      <c r="F36" s="6">
        <f>ROUND(F13-(Inputs!C146+C13+D13+E13),3)</f>
        <v>0</v>
      </c>
      <c r="G36" s="8"/>
      <c r="H36" s="21"/>
      <c r="I36" s="1"/>
      <c r="J36" s="1"/>
    </row>
    <row r="37">
      <c r="A37" s="1"/>
      <c r="B37" s="1"/>
      <c r="C37" s="1"/>
      <c r="D37" s="1"/>
      <c r="E37" s="1"/>
      <c r="F37" s="1"/>
      <c r="G37" s="1"/>
      <c r="H37" s="32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J2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436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437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18" t="s">
        <v>4</v>
      </c>
      <c r="I5" s="1"/>
      <c r="J5" s="16" t="s">
        <v>36</v>
      </c>
    </row>
    <row r="6">
      <c r="A6" s="1"/>
      <c r="B6" s="14" t="s">
        <v>5</v>
      </c>
      <c r="C6" s="25">
        <v>45900</v>
      </c>
      <c r="D6" s="25">
        <v>45991</v>
      </c>
      <c r="E6" s="25">
        <v>46081</v>
      </c>
      <c r="F6" s="25">
        <v>46081</v>
      </c>
      <c r="G6" s="25">
        <v>46173</v>
      </c>
      <c r="H6" s="40">
        <v>46265</v>
      </c>
      <c r="I6" s="1"/>
      <c r="J6" s="1"/>
    </row>
    <row r="7">
      <c r="A7" s="1"/>
      <c r="B7" s="33" t="s">
        <v>6</v>
      </c>
      <c r="C7" s="17">
        <v>92</v>
      </c>
      <c r="D7" s="17">
        <v>91</v>
      </c>
      <c r="E7" s="17">
        <v>90</v>
      </c>
      <c r="F7" s="17">
        <v>365</v>
      </c>
      <c r="G7" s="17">
        <v>92</v>
      </c>
      <c r="H7" s="10">
        <v>92</v>
      </c>
      <c r="I7" s="1"/>
      <c r="J7" s="1"/>
    </row>
    <row r="8">
      <c r="A8" s="1"/>
      <c r="B8" s="1"/>
      <c r="C8" s="1"/>
      <c r="D8" s="1"/>
      <c r="E8" s="1"/>
      <c r="F8" s="1"/>
      <c r="G8" s="1"/>
      <c r="H8" s="32"/>
      <c r="I8" s="1"/>
      <c r="J8" s="1"/>
    </row>
    <row r="9">
      <c r="A9" s="1"/>
      <c r="B9" s="16" t="s">
        <v>438</v>
      </c>
      <c r="C9" s="1"/>
      <c r="D9" s="1"/>
      <c r="E9" s="1"/>
      <c r="F9" s="1"/>
      <c r="G9" s="1"/>
      <c r="H9" s="32"/>
      <c r="I9" s="1"/>
      <c r="J9" s="1"/>
    </row>
    <row r="10">
      <c r="A10" s="1"/>
      <c r="B10" s="1" t="s">
        <v>439</v>
      </c>
      <c r="C10" s="13">
        <v>22.959</v>
      </c>
      <c r="D10" s="13">
        <v>23.035</v>
      </c>
      <c r="E10" s="13">
        <v>23.069</v>
      </c>
      <c r="F10" s="13">
        <v>23.002</v>
      </c>
      <c r="G10" s="13">
        <v>23.265</v>
      </c>
      <c r="H10" s="35">
        <v>23.35</v>
      </c>
      <c r="I10" s="1"/>
      <c r="J10" s="1" t="s">
        <v>440</v>
      </c>
    </row>
    <row r="11">
      <c r="A11" s="1"/>
      <c r="B11" s="1" t="s">
        <v>441</v>
      </c>
      <c r="C11" s="13">
        <v>22.959</v>
      </c>
      <c r="D11" s="13">
        <v>23.035</v>
      </c>
      <c r="E11" s="13">
        <v>23.069</v>
      </c>
      <c r="F11" s="13">
        <v>23.002</v>
      </c>
      <c r="G11" s="13">
        <v>23.758</v>
      </c>
      <c r="H11" s="35">
        <v>23.85</v>
      </c>
      <c r="I11" s="1"/>
      <c r="J11" s="1" t="s">
        <v>442</v>
      </c>
    </row>
    <row r="12">
      <c r="A12" s="1"/>
      <c r="B12" s="1" t="s">
        <v>443</v>
      </c>
      <c r="C12" s="12">
        <f>C11-C10</f>
        <v>0</v>
      </c>
      <c r="D12" s="12">
        <f>D11-D10</f>
        <v>0</v>
      </c>
      <c r="E12" s="12">
        <f>E11-E10</f>
        <v>0</v>
      </c>
      <c r="F12" s="12">
        <f>F11-F10</f>
        <v>0</v>
      </c>
      <c r="G12" s="12">
        <f>G11-G10</f>
        <v>0.49299999999999855</v>
      </c>
      <c r="H12" s="24">
        <f>H11-H10</f>
        <v>0.5</v>
      </c>
      <c r="I12" s="1"/>
      <c r="J12" s="1"/>
    </row>
    <row r="13">
      <c r="A13" s="1"/>
      <c r="B13" s="1" t="s">
        <v>444</v>
      </c>
      <c r="C13" s="13">
        <v>22.839</v>
      </c>
      <c r="D13" s="13">
        <v>22.882</v>
      </c>
      <c r="E13" s="13">
        <v>22.904</v>
      </c>
      <c r="F13" s="13">
        <v>23.065</v>
      </c>
      <c r="G13" s="26">
        <f>Inputs!C147</f>
        <v>22.943</v>
      </c>
      <c r="H13" s="24">
        <f>C11</f>
        <v>22.959</v>
      </c>
      <c r="I13" s="1"/>
      <c r="J13" s="1"/>
    </row>
    <row r="14">
      <c r="A14" s="1"/>
      <c r="B14" s="1" t="s">
        <v>445</v>
      </c>
      <c r="C14" s="12">
        <f>C11-C13</f>
        <v>0.120000000000001</v>
      </c>
      <c r="D14" s="12">
        <f>D11-D13</f>
        <v>0.1529999999999987</v>
      </c>
      <c r="E14" s="12">
        <f>E11-E13</f>
        <v>0.16499999999999915</v>
      </c>
      <c r="F14" s="12">
        <f>F11-F13</f>
        <v>-0.06300000000000239</v>
      </c>
      <c r="G14" s="12">
        <f>G11-G13</f>
        <v>0.8149999999999977</v>
      </c>
      <c r="H14" s="24">
        <f>H11-H13</f>
        <v>0.8910000000000018</v>
      </c>
      <c r="I14" s="1"/>
      <c r="J14" s="1"/>
    </row>
    <row r="15">
      <c r="A15" s="1"/>
      <c r="B15" s="1" t="s">
        <v>446</v>
      </c>
      <c r="C15" s="26">
        <f>C11-Inputs!C147</f>
        <v>0.015999999999998238</v>
      </c>
      <c r="D15" s="12">
        <f>D11-C11</f>
        <v>0.07600000000000051</v>
      </c>
      <c r="E15" s="12">
        <f>E11-D11</f>
        <v>0.03399999999999892</v>
      </c>
      <c r="F15" s="12"/>
      <c r="G15" s="12">
        <f>G11-E11</f>
        <v>0.6890000000000001</v>
      </c>
      <c r="H15" s="24">
        <f>H11-G11</f>
        <v>0.0920000000000023</v>
      </c>
      <c r="I15" s="1"/>
      <c r="J15" s="1"/>
    </row>
    <row r="16">
      <c r="A16" s="1"/>
      <c r="B16" s="1" t="s">
        <v>447</v>
      </c>
      <c r="C16" s="13">
        <v>23.012</v>
      </c>
      <c r="D16" s="13">
        <v>23.18</v>
      </c>
      <c r="E16" s="13">
        <v>23.234</v>
      </c>
      <c r="F16" s="13">
        <v>23.099</v>
      </c>
      <c r="G16" s="13">
        <v>23.758</v>
      </c>
      <c r="H16" s="24">
        <f>H11</f>
        <v>23.85</v>
      </c>
      <c r="I16" s="1"/>
      <c r="J16" s="1" t="s">
        <v>448</v>
      </c>
    </row>
    <row r="17">
      <c r="A17" s="1"/>
      <c r="B17" s="1" t="s">
        <v>449</v>
      </c>
      <c r="C17" s="12">
        <f>C16-C11</f>
        <v>0.053000000000000824</v>
      </c>
      <c r="D17" s="12">
        <f>D16-D11</f>
        <v>0.14499999999999957</v>
      </c>
      <c r="E17" s="12">
        <f>E16-E11</f>
        <v>0.1650000000000027</v>
      </c>
      <c r="F17" s="12">
        <f>F16-F11</f>
        <v>0.09700000000000131</v>
      </c>
      <c r="G17" s="12">
        <f>G16-G11</f>
        <v>0</v>
      </c>
      <c r="H17" s="24">
        <f>H16-H11</f>
        <v>0</v>
      </c>
      <c r="I17" s="1"/>
      <c r="J17" s="1"/>
    </row>
    <row r="18">
      <c r="A18" s="1"/>
      <c r="B18" s="1"/>
      <c r="C18" s="1"/>
      <c r="D18" s="1"/>
      <c r="E18" s="1"/>
      <c r="F18" s="1"/>
      <c r="G18" s="1"/>
      <c r="H18" s="32"/>
      <c r="I18" s="1"/>
      <c r="J18" s="1"/>
    </row>
    <row r="19">
      <c r="A19" s="1"/>
      <c r="B19" s="16" t="s">
        <v>450</v>
      </c>
      <c r="C19" s="1"/>
      <c r="D19" s="1"/>
      <c r="E19" s="1"/>
      <c r="F19" s="1"/>
      <c r="G19" s="1"/>
      <c r="H19" s="32"/>
      <c r="I19" s="1"/>
      <c r="J19" s="1"/>
    </row>
    <row r="20">
      <c r="A20" s="1"/>
      <c r="B20" s="1" t="s">
        <v>451</v>
      </c>
      <c r="C20" s="13">
        <v>22.962284</v>
      </c>
      <c r="D20" s="13">
        <v>23.045795</v>
      </c>
      <c r="E20" s="13">
        <v>23.07723</v>
      </c>
      <c r="F20" s="12">
        <f>E20</f>
        <v>23.07723</v>
      </c>
      <c r="G20" s="13">
        <v>23.285621</v>
      </c>
      <c r="H20" s="24"/>
      <c r="I20" s="1"/>
      <c r="J20" s="1" t="s">
        <v>452</v>
      </c>
    </row>
    <row r="21">
      <c r="A21" s="1"/>
      <c r="B21" s="1" t="s">
        <v>453</v>
      </c>
      <c r="C21" s="6">
        <f>-'Cash Flow Statement'!C52</f>
        <v>0.15100000000000002</v>
      </c>
      <c r="D21" s="6">
        <f>-'Cash Flow Statement'!D52</f>
        <v>0.22399999999999998</v>
      </c>
      <c r="E21" s="6">
        <f>-'Cash Flow Statement'!E52</f>
        <v>0.20900000000000007</v>
      </c>
      <c r="F21" s="6">
        <f>-'Cash Flow Statement'!F52</f>
        <v>1.915</v>
      </c>
      <c r="G21" s="6">
        <f>-'Cash Flow Statement'!G52</f>
        <v>1.215</v>
      </c>
      <c r="H21" s="21"/>
      <c r="I21" s="1"/>
      <c r="J21" s="1" t="s">
        <v>454</v>
      </c>
    </row>
    <row r="22">
      <c r="A22" s="1"/>
      <c r="B22" s="1" t="s">
        <v>455</v>
      </c>
      <c r="C22" s="6">
        <f>'Cash Flow Statement'!C51</f>
        <v>0</v>
      </c>
      <c r="D22" s="6">
        <f>'Cash Flow Statement'!D51</f>
        <v>1.167</v>
      </c>
      <c r="E22" s="6">
        <f>'Cash Flow Statement'!E51</f>
        <v>0.0009999999999998899</v>
      </c>
      <c r="F22" s="6">
        <f>'Cash Flow Statement'!F51</f>
        <v>2.925</v>
      </c>
      <c r="G22" s="6">
        <f>'Cash Flow Statement'!G51</f>
        <v>1.334</v>
      </c>
      <c r="H22" s="21"/>
      <c r="I22" s="1"/>
      <c r="J22" s="1"/>
    </row>
    <row r="23">
      <c r="A23" s="1"/>
      <c r="B23" s="1" t="s">
        <v>456</v>
      </c>
      <c r="C23" s="27" t="s">
        <v>44</v>
      </c>
      <c r="D23" s="27" t="s">
        <v>44</v>
      </c>
      <c r="E23" s="27" t="s">
        <v>44</v>
      </c>
      <c r="F23" s="27" t="s">
        <v>44</v>
      </c>
      <c r="G23" s="27" t="s">
        <v>44</v>
      </c>
      <c r="H23" s="28"/>
      <c r="I23" s="1"/>
      <c r="J23" s="1" t="s">
        <v>457</v>
      </c>
    </row>
    <row r="24">
      <c r="A24" s="1"/>
      <c r="B24" s="1"/>
      <c r="C24" s="1"/>
      <c r="D24" s="1"/>
      <c r="E24" s="1"/>
      <c r="F24" s="1"/>
      <c r="G24" s="1"/>
      <c r="H24" s="32"/>
      <c r="I24" s="1"/>
      <c r="J24" s="1"/>
    </row>
    <row r="25">
      <c r="A25" s="1"/>
      <c r="B25" s="16" t="s">
        <v>458</v>
      </c>
      <c r="C25" s="1"/>
      <c r="D25" s="1"/>
      <c r="E25" s="1"/>
      <c r="F25" s="1"/>
      <c r="G25" s="1"/>
      <c r="H25" s="32"/>
      <c r="I25" s="1"/>
      <c r="J25" s="1"/>
    </row>
    <row r="26">
      <c r="A26" s="1"/>
      <c r="B26" s="16" t="s">
        <v>459</v>
      </c>
      <c r="C26" s="29"/>
      <c r="D26" s="29"/>
      <c r="E26" s="29"/>
      <c r="F26" s="29"/>
      <c r="G26" s="29"/>
      <c r="H26" s="31">
        <f>H16</f>
        <v>23.85</v>
      </c>
      <c r="I26" s="1"/>
      <c r="J26" s="1"/>
    </row>
    <row r="27">
      <c r="A27" s="1"/>
      <c r="B27" s="1" t="s">
        <v>460</v>
      </c>
      <c r="C27" s="12"/>
      <c r="D27" s="12"/>
      <c r="E27" s="12"/>
      <c r="F27" s="12"/>
      <c r="G27" s="12"/>
      <c r="H27" s="44">
        <f>Guidance!G77</f>
        <v>23.8</v>
      </c>
      <c r="I27" s="1"/>
      <c r="J27" s="1"/>
    </row>
    <row r="28">
      <c r="A28" s="1"/>
      <c r="B28" s="1"/>
      <c r="C28" s="1"/>
      <c r="D28" s="1"/>
      <c r="E28" s="1"/>
      <c r="F28" s="1"/>
      <c r="G28" s="1"/>
      <c r="H28" s="32"/>
      <c r="I28" s="1"/>
      <c r="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J9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461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462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4</v>
      </c>
      <c r="D5" s="5"/>
      <c r="E5" s="5"/>
      <c r="F5" s="5"/>
      <c r="G5" s="5"/>
      <c r="H5" s="5"/>
      <c r="I5" s="1"/>
      <c r="J5" s="1"/>
    </row>
    <row r="6">
      <c r="A6" s="1"/>
      <c r="B6" s="14" t="s">
        <v>5</v>
      </c>
      <c r="C6" s="25">
        <v>46265</v>
      </c>
      <c r="D6" s="22"/>
      <c r="E6" s="22"/>
      <c r="F6" s="22"/>
      <c r="G6" s="22"/>
      <c r="H6" s="22"/>
      <c r="I6" s="1"/>
      <c r="J6" s="1"/>
    </row>
    <row r="7">
      <c r="A7" s="1"/>
      <c r="B7" s="33" t="s">
        <v>6</v>
      </c>
      <c r="C7" s="17">
        <v>92</v>
      </c>
      <c r="D7" s="7"/>
      <c r="E7" s="7"/>
      <c r="F7" s="7"/>
      <c r="G7" s="7"/>
      <c r="H7" s="7"/>
      <c r="I7" s="1"/>
      <c r="J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 ht="42">
      <c r="A9" s="1"/>
      <c r="B9" s="34" t="s">
        <v>463</v>
      </c>
      <c r="C9" s="2" t="s">
        <v>464</v>
      </c>
      <c r="D9" s="2" t="s">
        <v>3</v>
      </c>
      <c r="E9" s="2" t="s">
        <v>465</v>
      </c>
      <c r="F9" s="2" t="s">
        <v>466</v>
      </c>
      <c r="G9" s="2" t="s">
        <v>467</v>
      </c>
      <c r="H9" s="2" t="s">
        <v>468</v>
      </c>
      <c r="I9" s="83" t="s">
        <v>469</v>
      </c>
      <c r="J9" s="1" t="s">
        <v>470</v>
      </c>
    </row>
    <row r="10">
      <c r="A10" s="1"/>
      <c r="B10" s="1" t="s">
        <v>471</v>
      </c>
      <c r="C10" s="58">
        <v>45848</v>
      </c>
      <c r="D10" s="27" t="s">
        <v>472</v>
      </c>
      <c r="E10" s="37">
        <v>408</v>
      </c>
      <c r="F10" s="37">
        <v>432</v>
      </c>
      <c r="G10" s="8">
        <f>AVERAGE(E10:F10)</f>
        <v>420</v>
      </c>
      <c r="H10" s="6">
        <f>'Income Statement'!C10</f>
        <v>431.78099999999995</v>
      </c>
      <c r="I10" s="82" t="str">
        <f>IF(H10&gt;G10,"Beat",IF(H10&lt;G10,"Miss","In line"))</f>
        <v>Beat</v>
      </c>
      <c r="J10" s="1" t="s">
        <v>473</v>
      </c>
    </row>
    <row r="11">
      <c r="A11" s="1"/>
      <c r="B11" s="1" t="s">
        <v>41</v>
      </c>
      <c r="C11" s="58">
        <v>45848</v>
      </c>
      <c r="D11" s="27" t="s">
        <v>472</v>
      </c>
      <c r="E11" s="60">
        <v>0.45</v>
      </c>
      <c r="F11" s="60">
        <v>0.6</v>
      </c>
      <c r="G11" s="9">
        <f>AVERAGE(E11:F11)</f>
        <v>0.525</v>
      </c>
      <c r="H11" s="4">
        <f>'Income Statement'!C108</f>
        <v>0.59</v>
      </c>
      <c r="I11" s="82" t="str">
        <f>IF(H11&gt;G11,"Beat",IF(H11&lt;G11,"Miss","In line"))</f>
        <v>Beat</v>
      </c>
      <c r="J11" s="1" t="s">
        <v>474</v>
      </c>
    </row>
    <row r="12">
      <c r="A12" s="1"/>
      <c r="B12" s="19" t="s">
        <v>475</v>
      </c>
      <c r="C12" s="61">
        <v>45848</v>
      </c>
      <c r="D12" s="59" t="s">
        <v>472</v>
      </c>
      <c r="E12" s="57">
        <v>-0.165</v>
      </c>
      <c r="F12" s="57">
        <v>-0.115</v>
      </c>
      <c r="G12" s="3">
        <f>AVERAGE(E12:F12)</f>
        <v>-0.14</v>
      </c>
      <c r="H12" s="45">
        <f>'Revenue summary'!C12</f>
        <v>-0.13731689977846118</v>
      </c>
      <c r="I12" s="82" t="str">
        <f>IF(H12&gt;G12,"Beat",IF(H12&lt;G12,"Miss","In line"))</f>
        <v>Beat</v>
      </c>
      <c r="J12" s="1" t="s">
        <v>474</v>
      </c>
    </row>
    <row r="13">
      <c r="A13" s="1"/>
      <c r="B13" s="19" t="s">
        <v>476</v>
      </c>
      <c r="C13" s="61">
        <v>45848</v>
      </c>
      <c r="D13" s="59" t="s">
        <v>472</v>
      </c>
      <c r="E13" s="57">
        <v>-0.113</v>
      </c>
      <c r="F13" s="57">
        <v>-0.061</v>
      </c>
      <c r="G13" s="3">
        <f>AVERAGE(E13:F13)</f>
        <v>-0.087</v>
      </c>
      <c r="H13" s="45">
        <f>'Revenue summary'!C25</f>
        <v>-0.03968107044606228</v>
      </c>
      <c r="I13" s="82" t="str">
        <f>IF(H13&gt;G13,"Beat",IF(H13&lt;G13,"Miss","In line"))</f>
        <v>Beat</v>
      </c>
      <c r="J13" s="1" t="s">
        <v>477</v>
      </c>
    </row>
    <row r="14">
      <c r="A14" s="1"/>
      <c r="B14" s="1" t="s">
        <v>46</v>
      </c>
      <c r="C14" s="58">
        <v>45848</v>
      </c>
      <c r="D14" s="27" t="s">
        <v>472</v>
      </c>
      <c r="E14" s="60">
        <v>0.56</v>
      </c>
      <c r="F14" s="60">
        <v>0.68</v>
      </c>
      <c r="G14" s="9">
        <f>AVERAGE(E14:F14)</f>
        <v>0.6200000000000001</v>
      </c>
      <c r="H14" s="4">
        <f>'Income Statement'!C68</f>
        <v>-13.44</v>
      </c>
      <c r="I14" s="82" t="str">
        <f>IF(H14&gt;G14,"Beat",IF(H14&lt;G14,"Miss","In line"))</f>
        <v>Miss</v>
      </c>
      <c r="J14" s="1" t="s">
        <v>478</v>
      </c>
    </row>
    <row r="15">
      <c r="A15" s="1"/>
      <c r="B15" s="1" t="s">
        <v>479</v>
      </c>
      <c r="C15" s="58">
        <v>45848</v>
      </c>
      <c r="D15" s="27" t="s">
        <v>472</v>
      </c>
      <c r="E15" s="37">
        <v>13</v>
      </c>
      <c r="F15" s="37">
        <v>14</v>
      </c>
      <c r="G15" s="8">
        <f>AVERAGE(E15:F15)</f>
        <v>13.5</v>
      </c>
      <c r="H15" s="6">
        <f>'Income Statement'!C43</f>
        <v>14.221</v>
      </c>
      <c r="I15" s="82" t="str">
        <f>IF(H15&gt;G15,"Above",IF(H15&lt;G15,"Below","In line"))</f>
        <v>Above</v>
      </c>
      <c r="J15" s="1" t="s">
        <v>474</v>
      </c>
    </row>
    <row r="16">
      <c r="A16" s="1"/>
      <c r="B16" s="1" t="s">
        <v>480</v>
      </c>
      <c r="C16" s="58">
        <v>45848</v>
      </c>
      <c r="D16" s="27" t="s">
        <v>472</v>
      </c>
      <c r="E16" s="13">
        <v>22.9</v>
      </c>
      <c r="F16" s="13">
        <v>22.9</v>
      </c>
      <c r="G16" s="12">
        <f>AVERAGE(E16:F16)</f>
        <v>22.9</v>
      </c>
      <c r="H16" s="26">
        <f>'Share Count'!C16</f>
        <v>23.012</v>
      </c>
      <c r="I16" s="82" t="str">
        <f>IF(H16&gt;G16,"Above",IF(H16&lt;G16,"Below","In line"))</f>
        <v>Above</v>
      </c>
      <c r="J16" s="1" t="s">
        <v>481</v>
      </c>
    </row>
    <row r="17">
      <c r="A17" s="1"/>
      <c r="B17" s="1" t="s">
        <v>482</v>
      </c>
      <c r="C17" s="58">
        <v>45848</v>
      </c>
      <c r="D17" s="27" t="s">
        <v>472</v>
      </c>
      <c r="E17" s="37">
        <v>26</v>
      </c>
      <c r="F17" s="37">
        <v>27</v>
      </c>
      <c r="G17" s="8">
        <f>AVERAGE(E17:F17)</f>
        <v>26.5</v>
      </c>
      <c r="H17" s="6">
        <f>'Segment - Beauty &amp; Wellness'!C21</f>
        <v>33.41</v>
      </c>
      <c r="I17" s="82" t="str">
        <f>IF(H17&gt;G17,"Beat",IF(H17&lt;G17,"Miss","In line"))</f>
        <v>Beat</v>
      </c>
      <c r="J17" s="1" t="s">
        <v>483</v>
      </c>
    </row>
    <row r="18">
      <c r="A18" s="1"/>
      <c r="B18" s="19" t="s">
        <v>484</v>
      </c>
      <c r="C18" s="61">
        <v>45848</v>
      </c>
      <c r="D18" s="59" t="s">
        <v>472</v>
      </c>
      <c r="E18" s="57">
        <v>-0.849</v>
      </c>
      <c r="F18" s="57">
        <v>-2.873</v>
      </c>
      <c r="G18" s="3">
        <f>AVERAGE(E18:F18)</f>
        <v>-1.8610000000000002</v>
      </c>
      <c r="H18" s="45">
        <f>'Income Statement'!C51</f>
        <v>0.06383591809250536</v>
      </c>
      <c r="I18" s="82" t="str">
        <f>IF(H18&gt;G18,"Above",IF(H18&lt;G18,"Below","In line"))</f>
        <v>Above</v>
      </c>
      <c r="J18" s="1" t="s">
        <v>485</v>
      </c>
    </row>
    <row r="19">
      <c r="A19" s="1"/>
      <c r="B19" s="19" t="s">
        <v>486</v>
      </c>
      <c r="C19" s="61">
        <v>45848</v>
      </c>
      <c r="D19" s="59" t="s">
        <v>472</v>
      </c>
      <c r="E19" s="57">
        <v>0.289</v>
      </c>
      <c r="F19" s="57">
        <v>0.309</v>
      </c>
      <c r="G19" s="3">
        <f>AVERAGE(E19:F19)</f>
        <v>0.299</v>
      </c>
      <c r="H19" s="45">
        <f>'Income Statement'!C96</f>
        <v>-0.04449757075653601</v>
      </c>
      <c r="I19" s="82" t="str">
        <f>IF(H19&gt;G19,"Above",IF(H19&lt;G19,"Below","In line"))</f>
        <v>Below</v>
      </c>
      <c r="J19" s="1" t="s">
        <v>474</v>
      </c>
    </row>
    <row r="20">
      <c r="A20" s="1"/>
      <c r="B20" s="1" t="s">
        <v>471</v>
      </c>
      <c r="C20" s="58">
        <v>45939</v>
      </c>
      <c r="D20" s="27" t="s">
        <v>487</v>
      </c>
      <c r="E20" s="37">
        <v>491</v>
      </c>
      <c r="F20" s="37">
        <v>512</v>
      </c>
      <c r="G20" s="8">
        <f>AVERAGE(E20:F20)</f>
        <v>501.5</v>
      </c>
      <c r="H20" s="6">
        <f>'Income Statement'!D10</f>
        <v>512.8290000000001</v>
      </c>
      <c r="I20" s="82" t="str">
        <f>IF(H20&gt;G20,"Beat",IF(H20&lt;G20,"Miss","In line"))</f>
        <v>Beat</v>
      </c>
      <c r="J20" s="1" t="s">
        <v>488</v>
      </c>
    </row>
    <row r="21">
      <c r="A21" s="1"/>
      <c r="B21" s="1" t="s">
        <v>41</v>
      </c>
      <c r="C21" s="58">
        <v>45939</v>
      </c>
      <c r="D21" s="27" t="s">
        <v>487</v>
      </c>
      <c r="E21" s="60">
        <v>1.55</v>
      </c>
      <c r="F21" s="60">
        <v>1.8</v>
      </c>
      <c r="G21" s="9">
        <f>AVERAGE(E21:F21)</f>
        <v>1.675</v>
      </c>
      <c r="H21" s="4">
        <f>'Income Statement'!D108</f>
        <v>1.71</v>
      </c>
      <c r="I21" s="82" t="str">
        <f>IF(H21&gt;G21,"Beat",IF(H21&lt;G21,"Miss","In line"))</f>
        <v>Beat</v>
      </c>
      <c r="J21" s="1" t="s">
        <v>489</v>
      </c>
    </row>
    <row r="22">
      <c r="A22" s="1"/>
      <c r="B22" s="1" t="s">
        <v>471</v>
      </c>
      <c r="C22" s="58">
        <v>45939</v>
      </c>
      <c r="D22" s="27" t="s">
        <v>490</v>
      </c>
      <c r="E22" s="37">
        <v>1739</v>
      </c>
      <c r="F22" s="37">
        <v>1780</v>
      </c>
      <c r="G22" s="8">
        <f>AVERAGE(E22:F22)</f>
        <v>1759.5</v>
      </c>
      <c r="H22" s="6">
        <f>'Income Statement'!F10</f>
        <v>1786.29</v>
      </c>
      <c r="I22" s="82" t="str">
        <f>IF(H22&gt;G22,"Beat",IF(H22&lt;G22,"Miss","In line"))</f>
        <v>Beat</v>
      </c>
      <c r="J22" s="1" t="s">
        <v>489</v>
      </c>
    </row>
    <row r="23">
      <c r="A23" s="1"/>
      <c r="B23" s="1" t="s">
        <v>41</v>
      </c>
      <c r="C23" s="58">
        <v>45939</v>
      </c>
      <c r="D23" s="27" t="s">
        <v>490</v>
      </c>
      <c r="E23" s="60">
        <v>3.75</v>
      </c>
      <c r="F23" s="60">
        <v>4.25</v>
      </c>
      <c r="G23" s="9">
        <f>AVERAGE(E23:F23)</f>
        <v>4</v>
      </c>
      <c r="H23" s="4">
        <f>'Income Statement'!F108</f>
        <v>3.55</v>
      </c>
      <c r="I23" s="82" t="str">
        <f>IF(H23&gt;G23,"Beat",IF(H23&lt;G23,"Miss","In line"))</f>
        <v>Miss</v>
      </c>
      <c r="J23" s="1" t="s">
        <v>489</v>
      </c>
    </row>
    <row r="24">
      <c r="A24" s="1"/>
      <c r="B24" s="19" t="s">
        <v>475</v>
      </c>
      <c r="C24" s="61">
        <v>45939</v>
      </c>
      <c r="D24" s="59" t="s">
        <v>487</v>
      </c>
      <c r="E24" s="57">
        <v>-0.128</v>
      </c>
      <c r="F24" s="57">
        <v>-0.087</v>
      </c>
      <c r="G24" s="3">
        <f>AVERAGE(E24:F24)</f>
        <v>-0.1075</v>
      </c>
      <c r="H24" s="45">
        <f>'Revenue summary'!D12</f>
        <v>-0.0669296937535806</v>
      </c>
      <c r="I24" s="82" t="str">
        <f>IF(H24&gt;G24,"Beat",IF(H24&lt;G24,"Miss","In line"))</f>
        <v>Beat</v>
      </c>
      <c r="J24" s="1" t="s">
        <v>489</v>
      </c>
    </row>
    <row r="25">
      <c r="A25" s="1"/>
      <c r="B25" s="19" t="s">
        <v>476</v>
      </c>
      <c r="C25" s="61">
        <v>45939</v>
      </c>
      <c r="D25" s="59" t="s">
        <v>487</v>
      </c>
      <c r="E25" s="57">
        <v>-0.029</v>
      </c>
      <c r="F25" s="57">
        <v>0.01</v>
      </c>
      <c r="G25" s="3">
        <f>AVERAGE(E25:F25)</f>
        <v>-0.009500000000000001</v>
      </c>
      <c r="H25" s="45">
        <f>'Revenue summary'!D25</f>
        <v>-0.004936805377428355</v>
      </c>
      <c r="I25" s="82" t="str">
        <f>IF(H25&gt;G25,"Beat",IF(H25&lt;G25,"Miss","In line"))</f>
        <v>Beat</v>
      </c>
      <c r="J25" s="1" t="s">
        <v>489</v>
      </c>
    </row>
    <row r="26">
      <c r="A26" s="1"/>
      <c r="B26" s="1" t="s">
        <v>46</v>
      </c>
      <c r="C26" s="58">
        <v>45939</v>
      </c>
      <c r="D26" s="27" t="s">
        <v>487</v>
      </c>
      <c r="E26" s="60">
        <v>1.85</v>
      </c>
      <c r="F26" s="60">
        <v>2.05</v>
      </c>
      <c r="G26" s="9">
        <f>AVERAGE(E26:F26)</f>
        <v>1.95</v>
      </c>
      <c r="H26" s="4">
        <f>'Income Statement'!D68</f>
        <v>-3.65</v>
      </c>
      <c r="I26" s="82" t="str">
        <f>IF(H26&gt;G26,"Beat",IF(H26&lt;G26,"Miss","In line"))</f>
        <v>Miss</v>
      </c>
      <c r="J26" s="1" t="s">
        <v>491</v>
      </c>
    </row>
    <row r="27">
      <c r="A27" s="1"/>
      <c r="B27" s="1" t="s">
        <v>482</v>
      </c>
      <c r="C27" s="58">
        <v>45939</v>
      </c>
      <c r="D27" s="27" t="s">
        <v>487</v>
      </c>
      <c r="E27" s="37">
        <v>36</v>
      </c>
      <c r="F27" s="37">
        <v>39</v>
      </c>
      <c r="G27" s="8">
        <f>AVERAGE(E27:F27)</f>
        <v>37.5</v>
      </c>
      <c r="H27" s="6">
        <f>'Segment - Beauty &amp; Wellness'!D21</f>
        <v>37.672</v>
      </c>
      <c r="I27" s="82" t="str">
        <f>IF(H27&gt;G27,"Beat",IF(H27&lt;G27,"Miss","In line"))</f>
        <v>Beat</v>
      </c>
      <c r="J27" s="1" t="s">
        <v>489</v>
      </c>
    </row>
    <row r="28">
      <c r="A28" s="1"/>
      <c r="B28" s="19" t="s">
        <v>484</v>
      </c>
      <c r="C28" s="61">
        <v>45939</v>
      </c>
      <c r="D28" s="59" t="s">
        <v>487</v>
      </c>
      <c r="E28" s="57">
        <v>-0.1</v>
      </c>
      <c r="F28" s="57">
        <v>-0.16</v>
      </c>
      <c r="G28" s="3">
        <f>AVERAGE(E28:F28)</f>
        <v>-0.13</v>
      </c>
      <c r="H28" s="45">
        <f>'Income Statement'!D51</f>
        <v>-2.500291496626973</v>
      </c>
      <c r="I28" s="82" t="str">
        <f>IF(H28&gt;G28,"Above",IF(H28&lt;G28,"Below","In line"))</f>
        <v>Below</v>
      </c>
      <c r="J28" s="1" t="s">
        <v>492</v>
      </c>
    </row>
    <row r="29">
      <c r="A29" s="1"/>
      <c r="B29" s="19" t="s">
        <v>486</v>
      </c>
      <c r="C29" s="61">
        <v>45939</v>
      </c>
      <c r="D29" s="59" t="s">
        <v>487</v>
      </c>
      <c r="E29" s="57">
        <v>0.22</v>
      </c>
      <c r="F29" s="57">
        <v>0.25</v>
      </c>
      <c r="G29" s="3">
        <f>AVERAGE(E29:F29)</f>
        <v>0.235</v>
      </c>
      <c r="H29" s="45">
        <f>'Income Statement'!D96</f>
        <v>0.21554414378826764</v>
      </c>
      <c r="I29" s="82" t="str">
        <f>IF(H29&gt;G29,"Above",IF(H29&lt;G29,"Below","In line"))</f>
        <v>Below</v>
      </c>
      <c r="J29" s="1" t="s">
        <v>489</v>
      </c>
    </row>
    <row r="30">
      <c r="A30" s="1"/>
      <c r="B30" s="19" t="s">
        <v>475</v>
      </c>
      <c r="C30" s="61">
        <v>45939</v>
      </c>
      <c r="D30" s="59" t="s">
        <v>490</v>
      </c>
      <c r="E30" s="57">
        <v>-0.118</v>
      </c>
      <c r="F30" s="57">
        <v>-0.097</v>
      </c>
      <c r="G30" s="3">
        <f>AVERAGE(E30:F30)</f>
        <v>-0.1075</v>
      </c>
      <c r="H30" s="45">
        <f>'Revenue summary'!F12</f>
        <v>-0.08105316931672868</v>
      </c>
      <c r="I30" s="82" t="str">
        <f>IF(H30&gt;G30,"Beat",IF(H30&lt;G30,"Miss","In line"))</f>
        <v>Beat</v>
      </c>
      <c r="J30" s="1" t="s">
        <v>489</v>
      </c>
    </row>
    <row r="31">
      <c r="A31" s="1"/>
      <c r="B31" s="19" t="s">
        <v>476</v>
      </c>
      <c r="C31" s="61">
        <v>45939</v>
      </c>
      <c r="D31" s="59" t="s">
        <v>490</v>
      </c>
      <c r="E31" s="57">
        <v>-0.062</v>
      </c>
      <c r="F31" s="57">
        <v>-0.04</v>
      </c>
      <c r="G31" s="3">
        <f>AVERAGE(E31:F31)</f>
        <v>-0.051000000000000004</v>
      </c>
      <c r="H31" s="45">
        <f>'Revenue summary'!F25</f>
        <v>-0.04785016787605334</v>
      </c>
      <c r="I31" s="82" t="str">
        <f>IF(H31&gt;G31,"Beat",IF(H31&lt;G31,"Miss","In line"))</f>
        <v>Beat</v>
      </c>
      <c r="J31" s="1" t="s">
        <v>489</v>
      </c>
    </row>
    <row r="32">
      <c r="A32" s="1"/>
      <c r="B32" s="1" t="s">
        <v>46</v>
      </c>
      <c r="C32" s="58">
        <v>45939</v>
      </c>
      <c r="D32" s="27" t="s">
        <v>490</v>
      </c>
      <c r="E32" s="60">
        <v>-29.9</v>
      </c>
      <c r="F32" s="60">
        <v>-29.4</v>
      </c>
      <c r="G32" s="9">
        <f>AVERAGE(E32:F32)</f>
        <v>-29.65</v>
      </c>
      <c r="H32" s="4">
        <f>'Income Statement'!F68</f>
        <v>-39.08</v>
      </c>
      <c r="I32" s="82" t="str">
        <f>IF(H32&gt;G32,"Beat",IF(H32&lt;G32,"Miss","In line"))</f>
        <v>Miss</v>
      </c>
      <c r="J32" s="1" t="s">
        <v>489</v>
      </c>
    </row>
    <row r="33">
      <c r="A33" s="1"/>
      <c r="B33" s="1" t="s">
        <v>479</v>
      </c>
      <c r="C33" s="58">
        <v>45939</v>
      </c>
      <c r="D33" s="27" t="s">
        <v>490</v>
      </c>
      <c r="E33" s="37">
        <v>56</v>
      </c>
      <c r="F33" s="37">
        <v>57</v>
      </c>
      <c r="G33" s="8">
        <f>AVERAGE(E33:F33)</f>
        <v>56.5</v>
      </c>
      <c r="H33" s="6">
        <f>'Income Statement'!F43</f>
        <v>57.739</v>
      </c>
      <c r="I33" s="82" t="str">
        <f>IF(H33&gt;G33,"Above",IF(H33&lt;G33,"Below","In line"))</f>
        <v>Above</v>
      </c>
      <c r="J33" s="1" t="s">
        <v>489</v>
      </c>
    </row>
    <row r="34">
      <c r="A34" s="1"/>
      <c r="B34" s="1" t="s">
        <v>480</v>
      </c>
      <c r="C34" s="58">
        <v>45939</v>
      </c>
      <c r="D34" s="27" t="s">
        <v>490</v>
      </c>
      <c r="E34" s="13">
        <v>23</v>
      </c>
      <c r="F34" s="13">
        <v>23</v>
      </c>
      <c r="G34" s="12">
        <f>AVERAGE(E34:F34)</f>
        <v>23</v>
      </c>
      <c r="H34" s="26">
        <f>'Share Count'!F16</f>
        <v>23.099</v>
      </c>
      <c r="I34" s="82" t="str">
        <f>IF(H34&gt;G34,"Above",IF(H34&lt;G34,"Below","In line"))</f>
        <v>Above</v>
      </c>
      <c r="J34" s="1" t="s">
        <v>493</v>
      </c>
    </row>
    <row r="35">
      <c r="A35" s="1"/>
      <c r="B35" s="1" t="s">
        <v>482</v>
      </c>
      <c r="C35" s="58">
        <v>45939</v>
      </c>
      <c r="D35" s="27" t="s">
        <v>490</v>
      </c>
      <c r="E35" s="37">
        <v>109</v>
      </c>
      <c r="F35" s="37">
        <v>112</v>
      </c>
      <c r="G35" s="8">
        <f>AVERAGE(E35:F35)</f>
        <v>110.5</v>
      </c>
      <c r="H35" s="6">
        <f>'Segment - Beauty &amp; Wellness'!F21</f>
        <v>106.698</v>
      </c>
      <c r="I35" s="82" t="str">
        <f>IF(H35&gt;G35,"Beat",IF(H35&lt;G35,"Miss","In line"))</f>
        <v>Miss</v>
      </c>
      <c r="J35" s="1" t="s">
        <v>489</v>
      </c>
    </row>
    <row r="36">
      <c r="A36" s="1"/>
      <c r="B36" s="19" t="s">
        <v>484</v>
      </c>
      <c r="C36" s="61">
        <v>45939</v>
      </c>
      <c r="D36" s="59" t="s">
        <v>490</v>
      </c>
      <c r="E36" s="57">
        <v>-0.008</v>
      </c>
      <c r="F36" s="57">
        <v>-0.006</v>
      </c>
      <c r="G36" s="3">
        <f>AVERAGE(E36:F36)</f>
        <v>-0.007</v>
      </c>
      <c r="H36" s="45">
        <f>'Income Statement'!F51</f>
        <v>-0.07169918387102156</v>
      </c>
      <c r="I36" s="82" t="str">
        <f>IF(H36&gt;G36,"Above",IF(H36&lt;G36,"Below","In line"))</f>
        <v>Below</v>
      </c>
      <c r="J36" s="1" t="s">
        <v>489</v>
      </c>
    </row>
    <row r="37">
      <c r="A37" s="1"/>
      <c r="B37" s="19" t="s">
        <v>486</v>
      </c>
      <c r="C37" s="61">
        <v>45939</v>
      </c>
      <c r="D37" s="59" t="s">
        <v>490</v>
      </c>
      <c r="E37" s="57">
        <v>0.15</v>
      </c>
      <c r="F37" s="57">
        <v>0.16</v>
      </c>
      <c r="G37" s="3">
        <f>AVERAGE(E37:F37)</f>
        <v>0.155</v>
      </c>
      <c r="H37" s="45">
        <f>'Income Statement'!F96</f>
        <v>0.10624115020150322</v>
      </c>
      <c r="I37" s="82" t="str">
        <f>IF(H37&gt;G37,"Above",IF(H37&lt;G37,"Below","In line"))</f>
        <v>Below</v>
      </c>
      <c r="J37" s="1" t="s">
        <v>489</v>
      </c>
    </row>
    <row r="38">
      <c r="A38" s="1"/>
      <c r="B38" s="1" t="s">
        <v>471</v>
      </c>
      <c r="C38" s="58">
        <v>46030</v>
      </c>
      <c r="D38" s="27" t="s">
        <v>490</v>
      </c>
      <c r="E38" s="37">
        <v>1758</v>
      </c>
      <c r="F38" s="37">
        <v>1773</v>
      </c>
      <c r="G38" s="8">
        <f>AVERAGE(E38:F38)</f>
        <v>1765.5</v>
      </c>
      <c r="H38" s="6">
        <f>'Income Statement'!F10</f>
        <v>1786.29</v>
      </c>
      <c r="I38" s="82" t="str">
        <f>IF(H38&gt;G38,"Beat",IF(H38&lt;G38,"Miss","In line"))</f>
        <v>Beat</v>
      </c>
      <c r="J38" s="1" t="s">
        <v>494</v>
      </c>
    </row>
    <row r="39">
      <c r="A39" s="1"/>
      <c r="B39" s="1" t="s">
        <v>495</v>
      </c>
      <c r="C39" s="58">
        <v>46030</v>
      </c>
      <c r="D39" s="27" t="s">
        <v>490</v>
      </c>
      <c r="E39" s="37">
        <v>812</v>
      </c>
      <c r="F39" s="37">
        <v>819</v>
      </c>
      <c r="G39" s="8">
        <f>AVERAGE(E39:F39)</f>
        <v>815.5</v>
      </c>
      <c r="H39" s="6">
        <f>'Revenue summary'!F10</f>
        <v>832.87</v>
      </c>
      <c r="I39" s="82" t="str">
        <f>IF(H39&gt;G39,"Beat",IF(H39&lt;G39,"Miss","In line"))</f>
        <v>Beat</v>
      </c>
      <c r="J39" s="1" t="s">
        <v>496</v>
      </c>
    </row>
    <row r="40">
      <c r="A40" s="1"/>
      <c r="B40" s="1" t="s">
        <v>497</v>
      </c>
      <c r="C40" s="58">
        <v>46030</v>
      </c>
      <c r="D40" s="27" t="s">
        <v>490</v>
      </c>
      <c r="E40" s="37">
        <v>946</v>
      </c>
      <c r="F40" s="37">
        <v>954</v>
      </c>
      <c r="G40" s="8">
        <f>AVERAGE(E40:F40)</f>
        <v>950</v>
      </c>
      <c r="H40" s="6">
        <f>'Revenue summary'!F23</f>
        <v>953.42</v>
      </c>
      <c r="I40" s="82" t="str">
        <f>IF(H40&gt;G40,"Beat",IF(H40&lt;G40,"Miss","In line"))</f>
        <v>Beat</v>
      </c>
      <c r="J40" s="1" t="s">
        <v>496</v>
      </c>
    </row>
    <row r="41">
      <c r="A41" s="1"/>
      <c r="B41" s="1" t="s">
        <v>46</v>
      </c>
      <c r="C41" s="58">
        <v>46030</v>
      </c>
      <c r="D41" s="27" t="s">
        <v>490</v>
      </c>
      <c r="E41" s="60">
        <v>-36.07</v>
      </c>
      <c r="F41" s="60">
        <v>-35.57</v>
      </c>
      <c r="G41" s="9">
        <f>AVERAGE(E41:F41)</f>
        <v>-35.82</v>
      </c>
      <c r="H41" s="4">
        <f>'Income Statement'!F68</f>
        <v>-39.08</v>
      </c>
      <c r="I41" s="82" t="str">
        <f>IF(H41&gt;G41,"Beat",IF(H41&lt;G41,"Miss","In line"))</f>
        <v>Miss</v>
      </c>
      <c r="J41" s="1" t="s">
        <v>496</v>
      </c>
    </row>
    <row r="42">
      <c r="A42" s="1"/>
      <c r="B42" s="1" t="s">
        <v>479</v>
      </c>
      <c r="C42" s="58">
        <v>46030</v>
      </c>
      <c r="D42" s="27" t="s">
        <v>490</v>
      </c>
      <c r="E42" s="37">
        <v>58</v>
      </c>
      <c r="F42" s="37">
        <v>59</v>
      </c>
      <c r="G42" s="8">
        <f>AVERAGE(E42:F42)</f>
        <v>58.5</v>
      </c>
      <c r="H42" s="6">
        <f>'Income Statement'!F43</f>
        <v>57.739</v>
      </c>
      <c r="I42" s="82" t="str">
        <f>IF(H42&gt;G42,"Above",IF(H42&lt;G42,"Below","In line"))</f>
        <v>Below</v>
      </c>
      <c r="J42" s="1" t="s">
        <v>496</v>
      </c>
    </row>
    <row r="43">
      <c r="A43" s="1"/>
      <c r="B43" s="1" t="s">
        <v>480</v>
      </c>
      <c r="C43" s="58">
        <v>46030</v>
      </c>
      <c r="D43" s="27" t="s">
        <v>490</v>
      </c>
      <c r="E43" s="13">
        <v>23</v>
      </c>
      <c r="F43" s="13">
        <v>23</v>
      </c>
      <c r="G43" s="12">
        <f>AVERAGE(E43:F43)</f>
        <v>23</v>
      </c>
      <c r="H43" s="26">
        <f>'Share Count'!F16</f>
        <v>23.099</v>
      </c>
      <c r="I43" s="82" t="str">
        <f>IF(H43&gt;G43,"Above",IF(H43&lt;G43,"Below","In line"))</f>
        <v>Above</v>
      </c>
      <c r="J43" s="1" t="s">
        <v>498</v>
      </c>
    </row>
    <row r="44">
      <c r="A44" s="1"/>
      <c r="B44" s="1" t="s">
        <v>482</v>
      </c>
      <c r="C44" s="58">
        <v>46030</v>
      </c>
      <c r="D44" s="27" t="s">
        <v>490</v>
      </c>
      <c r="E44" s="37">
        <v>106</v>
      </c>
      <c r="F44" s="37">
        <v>109</v>
      </c>
      <c r="G44" s="8">
        <f>AVERAGE(E44:F44)</f>
        <v>107.5</v>
      </c>
      <c r="H44" s="6">
        <f>'Segment - Beauty &amp; Wellness'!F21</f>
        <v>106.698</v>
      </c>
      <c r="I44" s="82" t="str">
        <f>IF(H44&gt;G44,"Beat",IF(H44&lt;G44,"Miss","In line"))</f>
        <v>Miss</v>
      </c>
      <c r="J44" s="1" t="s">
        <v>496</v>
      </c>
    </row>
    <row r="45">
      <c r="A45" s="1"/>
      <c r="B45" s="19" t="s">
        <v>484</v>
      </c>
      <c r="C45" s="61">
        <v>46030</v>
      </c>
      <c r="D45" s="59" t="s">
        <v>490</v>
      </c>
      <c r="E45" s="57">
        <v>-0.089</v>
      </c>
      <c r="F45" s="57">
        <v>-0.087</v>
      </c>
      <c r="G45" s="3">
        <f>AVERAGE(E45:F45)</f>
        <v>-0.088</v>
      </c>
      <c r="H45" s="45">
        <f>'Income Statement'!F51</f>
        <v>-0.07169918387102156</v>
      </c>
      <c r="I45" s="82" t="str">
        <f>IF(H45&gt;G45,"Above",IF(H45&lt;G45,"Below","In line"))</f>
        <v>Above</v>
      </c>
      <c r="J45" s="1" t="s">
        <v>496</v>
      </c>
    </row>
    <row r="46">
      <c r="A46" s="1"/>
      <c r="B46" s="19" t="s">
        <v>486</v>
      </c>
      <c r="C46" s="61">
        <v>46030</v>
      </c>
      <c r="D46" s="59" t="s">
        <v>490</v>
      </c>
      <c r="E46" s="57">
        <v>0.134</v>
      </c>
      <c r="F46" s="57">
        <v>0.147</v>
      </c>
      <c r="G46" s="3">
        <f>AVERAGE(E46:F46)</f>
        <v>0.1405</v>
      </c>
      <c r="H46" s="45">
        <f>'Income Statement'!F96</f>
        <v>0.10624115020150322</v>
      </c>
      <c r="I46" s="82" t="str">
        <f>IF(H46&gt;G46,"Above",IF(H46&lt;G46,"Below","In line"))</f>
        <v>Below</v>
      </c>
      <c r="J46" s="1" t="s">
        <v>496</v>
      </c>
    </row>
    <row r="47">
      <c r="A47" s="1"/>
      <c r="B47" s="1" t="s">
        <v>41</v>
      </c>
      <c r="C47" s="58">
        <v>46030</v>
      </c>
      <c r="D47" s="27" t="s">
        <v>490</v>
      </c>
      <c r="E47" s="60">
        <v>3.25</v>
      </c>
      <c r="F47" s="60">
        <v>3.75</v>
      </c>
      <c r="G47" s="9">
        <f>AVERAGE(E47:F47)</f>
        <v>3.5</v>
      </c>
      <c r="H47" s="4">
        <f>'Income Statement'!F108</f>
        <v>3.55</v>
      </c>
      <c r="I47" s="82" t="str">
        <f>IF(H47&gt;G47,"Beat",IF(H47&lt;G47,"Miss","In line"))</f>
        <v>Beat</v>
      </c>
      <c r="J47" s="1" t="s">
        <v>499</v>
      </c>
    </row>
    <row r="48">
      <c r="A48" s="1"/>
      <c r="B48" s="1" t="s">
        <v>500</v>
      </c>
      <c r="C48" s="58">
        <v>46030</v>
      </c>
      <c r="D48" s="27" t="s">
        <v>501</v>
      </c>
      <c r="E48" s="60">
        <v>0.53</v>
      </c>
      <c r="F48" s="60">
        <v>1.03</v>
      </c>
      <c r="G48" s="9">
        <f>AVERAGE(E48:F48)</f>
        <v>0.78</v>
      </c>
      <c r="H48" s="4">
        <f>'Income Statement'!E108</f>
        <v>0.83</v>
      </c>
      <c r="I48" s="82" t="str">
        <f>IF(H48&gt;G48,"Beat",IF(H48&lt;G48,"Miss","In line"))</f>
        <v>Beat</v>
      </c>
      <c r="J48" s="1" t="s">
        <v>502</v>
      </c>
    </row>
    <row r="49">
      <c r="A49" s="1"/>
      <c r="B49" s="1" t="s">
        <v>471</v>
      </c>
      <c r="C49" s="58">
        <v>46135</v>
      </c>
      <c r="D49" s="27" t="s">
        <v>503</v>
      </c>
      <c r="E49" s="37">
        <v>1751</v>
      </c>
      <c r="F49" s="37">
        <v>1822</v>
      </c>
      <c r="G49" s="8">
        <f>AVERAGE(E49:F49)</f>
        <v>1786.5</v>
      </c>
      <c r="H49" s="8"/>
      <c r="I49" s="82" t="s">
        <v>504</v>
      </c>
      <c r="J49" s="1" t="s">
        <v>505</v>
      </c>
    </row>
    <row r="50">
      <c r="A50" s="1"/>
      <c r="B50" s="1" t="s">
        <v>41</v>
      </c>
      <c r="C50" s="58">
        <v>46135</v>
      </c>
      <c r="D50" s="27" t="s">
        <v>503</v>
      </c>
      <c r="E50" s="60">
        <v>3.25</v>
      </c>
      <c r="F50" s="60">
        <v>3.75</v>
      </c>
      <c r="G50" s="9">
        <f>AVERAGE(E50:F50)</f>
        <v>3.5</v>
      </c>
      <c r="H50" s="9"/>
      <c r="I50" s="82" t="s">
        <v>504</v>
      </c>
      <c r="J50" s="1" t="s">
        <v>506</v>
      </c>
    </row>
    <row r="51">
      <c r="A51" s="1"/>
      <c r="B51" s="1" t="s">
        <v>495</v>
      </c>
      <c r="C51" s="58">
        <v>46135</v>
      </c>
      <c r="D51" s="27" t="s">
        <v>503</v>
      </c>
      <c r="E51" s="37">
        <v>854</v>
      </c>
      <c r="F51" s="37">
        <v>882</v>
      </c>
      <c r="G51" s="8">
        <f>AVERAGE(E51:F51)</f>
        <v>868</v>
      </c>
      <c r="H51" s="8"/>
      <c r="I51" s="82" t="s">
        <v>504</v>
      </c>
      <c r="J51" s="1" t="s">
        <v>506</v>
      </c>
    </row>
    <row r="52">
      <c r="A52" s="1"/>
      <c r="B52" s="1" t="s">
        <v>497</v>
      </c>
      <c r="C52" s="58">
        <v>46135</v>
      </c>
      <c r="D52" s="27" t="s">
        <v>503</v>
      </c>
      <c r="E52" s="37">
        <v>897</v>
      </c>
      <c r="F52" s="37">
        <v>940</v>
      </c>
      <c r="G52" s="8">
        <f>AVERAGE(E52:F52)</f>
        <v>918.5</v>
      </c>
      <c r="H52" s="8"/>
      <c r="I52" s="82" t="s">
        <v>504</v>
      </c>
      <c r="J52" s="1" t="s">
        <v>506</v>
      </c>
    </row>
    <row r="53">
      <c r="A53" s="1"/>
      <c r="B53" s="1" t="s">
        <v>46</v>
      </c>
      <c r="C53" s="58">
        <v>46135</v>
      </c>
      <c r="D53" s="27" t="s">
        <v>503</v>
      </c>
      <c r="E53" s="60">
        <v>3.57</v>
      </c>
      <c r="F53" s="60">
        <v>4.18</v>
      </c>
      <c r="G53" s="9">
        <f>AVERAGE(E53:F53)</f>
        <v>3.875</v>
      </c>
      <c r="H53" s="9"/>
      <c r="I53" s="82" t="s">
        <v>504</v>
      </c>
      <c r="J53" s="1" t="s">
        <v>506</v>
      </c>
    </row>
    <row r="54">
      <c r="A54" s="1"/>
      <c r="B54" s="1" t="s">
        <v>43</v>
      </c>
      <c r="C54" s="58">
        <v>46135</v>
      </c>
      <c r="D54" s="27" t="s">
        <v>503</v>
      </c>
      <c r="E54" s="37">
        <v>83</v>
      </c>
      <c r="F54" s="37">
        <v>97</v>
      </c>
      <c r="G54" s="8">
        <f>AVERAGE(E54:F54)</f>
        <v>90</v>
      </c>
      <c r="H54" s="8"/>
      <c r="I54" s="82" t="s">
        <v>504</v>
      </c>
      <c r="J54" s="1" t="s">
        <v>506</v>
      </c>
    </row>
    <row r="55">
      <c r="A55" s="1"/>
      <c r="B55" s="1" t="s">
        <v>507</v>
      </c>
      <c r="C55" s="58">
        <v>46135</v>
      </c>
      <c r="D55" s="27" t="s">
        <v>503</v>
      </c>
      <c r="E55" s="37">
        <v>190</v>
      </c>
      <c r="F55" s="37">
        <v>197</v>
      </c>
      <c r="G55" s="8">
        <f>AVERAGE(E55:F55)</f>
        <v>193.5</v>
      </c>
      <c r="H55" s="8"/>
      <c r="I55" s="82" t="s">
        <v>504</v>
      </c>
      <c r="J55" s="1" t="s">
        <v>506</v>
      </c>
    </row>
    <row r="56">
      <c r="A56" s="1"/>
      <c r="B56" s="1" t="s">
        <v>508</v>
      </c>
      <c r="C56" s="58">
        <v>46135</v>
      </c>
      <c r="D56" s="27" t="s">
        <v>503</v>
      </c>
      <c r="E56" s="37">
        <v>117</v>
      </c>
      <c r="F56" s="37">
        <v>128</v>
      </c>
      <c r="G56" s="8">
        <f>AVERAGE(E56:F56)</f>
        <v>122.5</v>
      </c>
      <c r="H56" s="8"/>
      <c r="I56" s="82" t="s">
        <v>504</v>
      </c>
      <c r="J56" s="1" t="s">
        <v>506</v>
      </c>
    </row>
    <row r="57">
      <c r="A57" s="1"/>
      <c r="B57" s="1" t="s">
        <v>509</v>
      </c>
      <c r="C57" s="58">
        <v>46135</v>
      </c>
      <c r="D57" s="27" t="s">
        <v>503</v>
      </c>
      <c r="E57" s="37">
        <v>85</v>
      </c>
      <c r="F57" s="37">
        <v>100</v>
      </c>
      <c r="G57" s="8">
        <f>AVERAGE(E57:F57)</f>
        <v>92.5</v>
      </c>
      <c r="H57" s="8"/>
      <c r="I57" s="82" t="s">
        <v>504</v>
      </c>
      <c r="J57" s="1" t="s">
        <v>506</v>
      </c>
    </row>
    <row r="58">
      <c r="A58" s="1"/>
      <c r="B58" s="1" t="s">
        <v>479</v>
      </c>
      <c r="C58" s="58">
        <v>46135</v>
      </c>
      <c r="D58" s="27" t="s">
        <v>503</v>
      </c>
      <c r="E58" s="37">
        <v>47</v>
      </c>
      <c r="F58" s="37">
        <v>49</v>
      </c>
      <c r="G58" s="8">
        <f>AVERAGE(E58:F58)</f>
        <v>48</v>
      </c>
      <c r="H58" s="8"/>
      <c r="I58" s="82" t="s">
        <v>504</v>
      </c>
      <c r="J58" s="1" t="s">
        <v>506</v>
      </c>
    </row>
    <row r="59">
      <c r="A59" s="1"/>
      <c r="B59" s="19" t="s">
        <v>484</v>
      </c>
      <c r="C59" s="61">
        <v>46135</v>
      </c>
      <c r="D59" s="59" t="s">
        <v>503</v>
      </c>
      <c r="E59" s="57">
        <v>0.281</v>
      </c>
      <c r="F59" s="57">
        <v>0.305</v>
      </c>
      <c r="G59" s="3">
        <f>AVERAGE(E59:F59)</f>
        <v>0.29300000000000004</v>
      </c>
      <c r="H59" s="3"/>
      <c r="I59" s="82" t="s">
        <v>504</v>
      </c>
      <c r="J59" s="1" t="s">
        <v>506</v>
      </c>
    </row>
    <row r="60">
      <c r="A60" s="1"/>
      <c r="B60" s="19" t="s">
        <v>486</v>
      </c>
      <c r="C60" s="61">
        <v>46135</v>
      </c>
      <c r="D60" s="59" t="s">
        <v>503</v>
      </c>
      <c r="E60" s="57">
        <v>0.25</v>
      </c>
      <c r="F60" s="57">
        <v>0.27</v>
      </c>
      <c r="G60" s="3">
        <f>AVERAGE(E60:F60)</f>
        <v>0.26</v>
      </c>
      <c r="H60" s="3"/>
      <c r="I60" s="82" t="s">
        <v>504</v>
      </c>
      <c r="J60" s="1" t="s">
        <v>506</v>
      </c>
    </row>
    <row r="61">
      <c r="A61" s="1"/>
      <c r="B61" s="1" t="s">
        <v>510</v>
      </c>
      <c r="C61" s="58">
        <v>46135</v>
      </c>
      <c r="D61" s="27" t="s">
        <v>503</v>
      </c>
      <c r="E61" s="37">
        <v>28</v>
      </c>
      <c r="F61" s="37">
        <v>32</v>
      </c>
      <c r="G61" s="8">
        <f>AVERAGE(E61:F61)</f>
        <v>30</v>
      </c>
      <c r="H61" s="8"/>
      <c r="I61" s="82" t="s">
        <v>504</v>
      </c>
      <c r="J61" s="1" t="s">
        <v>506</v>
      </c>
    </row>
    <row r="62">
      <c r="A62" s="1"/>
      <c r="B62" s="1" t="s">
        <v>480</v>
      </c>
      <c r="C62" s="58">
        <v>46135</v>
      </c>
      <c r="D62" s="27" t="s">
        <v>503</v>
      </c>
      <c r="E62" s="13">
        <v>23.3</v>
      </c>
      <c r="F62" s="13">
        <v>23.3</v>
      </c>
      <c r="G62" s="12">
        <f>AVERAGE(E62:F62)</f>
        <v>23.3</v>
      </c>
      <c r="H62" s="12"/>
      <c r="I62" s="82" t="s">
        <v>504</v>
      </c>
      <c r="J62" s="1" t="s">
        <v>506</v>
      </c>
    </row>
    <row r="63">
      <c r="A63" s="1"/>
      <c r="B63" s="1" t="s">
        <v>511</v>
      </c>
      <c r="C63" s="58">
        <v>46135</v>
      </c>
      <c r="D63" s="27" t="s">
        <v>503</v>
      </c>
      <c r="E63" s="37">
        <v>48</v>
      </c>
      <c r="F63" s="37">
        <v>52</v>
      </c>
      <c r="G63" s="8">
        <f>AVERAGE(E63:F63)</f>
        <v>50</v>
      </c>
      <c r="H63" s="8"/>
      <c r="I63" s="82" t="s">
        <v>504</v>
      </c>
      <c r="J63" s="1" t="s">
        <v>512</v>
      </c>
    </row>
    <row r="64">
      <c r="A64" s="1"/>
      <c r="B64" s="1" t="s">
        <v>513</v>
      </c>
      <c r="C64" s="58">
        <v>46135</v>
      </c>
      <c r="D64" s="27" t="s">
        <v>503</v>
      </c>
      <c r="E64" s="37">
        <v>22</v>
      </c>
      <c r="F64" s="37">
        <v>24</v>
      </c>
      <c r="G64" s="8">
        <f>AVERAGE(E64:F64)</f>
        <v>23</v>
      </c>
      <c r="H64" s="8"/>
      <c r="I64" s="82" t="s">
        <v>504</v>
      </c>
      <c r="J64" s="1" t="s">
        <v>512</v>
      </c>
    </row>
    <row r="65">
      <c r="A65" s="1"/>
      <c r="B65" s="1" t="s">
        <v>514</v>
      </c>
      <c r="C65" s="58">
        <v>46135</v>
      </c>
      <c r="D65" s="27" t="s">
        <v>503</v>
      </c>
      <c r="E65" s="64"/>
      <c r="F65" s="63">
        <v>3.2</v>
      </c>
      <c r="G65" s="64">
        <f>AVERAGE(E65:F65)</f>
        <v>3.2</v>
      </c>
      <c r="H65" s="64"/>
      <c r="I65" s="82" t="s">
        <v>504</v>
      </c>
      <c r="J65" s="1" t="s">
        <v>515</v>
      </c>
    </row>
    <row r="66">
      <c r="A66" s="1"/>
      <c r="B66" s="1" t="s">
        <v>516</v>
      </c>
      <c r="C66" s="58">
        <v>46135</v>
      </c>
      <c r="D66" s="27" t="s">
        <v>517</v>
      </c>
      <c r="E66" s="95" t="s">
        <v>518</v>
      </c>
      <c r="F66" s="95" t="s">
        <v>518</v>
      </c>
      <c r="G66" s="96" t="s">
        <v>44</v>
      </c>
      <c r="H66" s="4">
        <f>'Income Statement'!G108</f>
        <v>0.17</v>
      </c>
      <c r="I66" s="94" t="str">
        <f>IF(ISNUMBER(G66),IF(H66&gt;G66,"Beat",IF(H66&lt;G66,"Miss","In line")),"Qualitative")</f>
        <v>Qualitative</v>
      </c>
      <c r="J66" s="1" t="s">
        <v>519</v>
      </c>
    </row>
    <row r="67">
      <c r="A67" s="1"/>
      <c r="B67" s="1" t="s">
        <v>471</v>
      </c>
      <c r="C67" s="58">
        <v>46211</v>
      </c>
      <c r="D67" s="27" t="s">
        <v>503</v>
      </c>
      <c r="E67" s="37">
        <v>1759</v>
      </c>
      <c r="F67" s="37">
        <v>1831</v>
      </c>
      <c r="G67" s="8">
        <f>AVERAGE(E67:F67)</f>
        <v>1795</v>
      </c>
      <c r="H67" s="8"/>
      <c r="I67" s="82" t="s">
        <v>504</v>
      </c>
      <c r="J67" s="1" t="s">
        <v>520</v>
      </c>
    </row>
    <row r="68">
      <c r="A68" s="1"/>
      <c r="B68" s="1" t="s">
        <v>521</v>
      </c>
      <c r="C68" s="58">
        <v>46211</v>
      </c>
      <c r="D68" s="27" t="s">
        <v>503</v>
      </c>
      <c r="E68" s="37">
        <v>859</v>
      </c>
      <c r="F68" s="37">
        <v>884</v>
      </c>
      <c r="G68" s="8">
        <f>AVERAGE(E68:F68)</f>
        <v>871.5</v>
      </c>
      <c r="H68" s="8"/>
      <c r="I68" s="82" t="s">
        <v>504</v>
      </c>
      <c r="J68" s="1" t="s">
        <v>522</v>
      </c>
    </row>
    <row r="69">
      <c r="A69" s="1"/>
      <c r="B69" s="1" t="s">
        <v>523</v>
      </c>
      <c r="C69" s="58">
        <v>46211</v>
      </c>
      <c r="D69" s="27" t="s">
        <v>503</v>
      </c>
      <c r="E69" s="37">
        <v>900</v>
      </c>
      <c r="F69" s="37">
        <v>947</v>
      </c>
      <c r="G69" s="8">
        <f>AVERAGE(E69:F69)</f>
        <v>923.5</v>
      </c>
      <c r="H69" s="8"/>
      <c r="I69" s="82" t="s">
        <v>504</v>
      </c>
      <c r="J69" s="1" t="s">
        <v>522</v>
      </c>
    </row>
    <row r="70">
      <c r="A70" s="1"/>
      <c r="B70" s="1" t="s">
        <v>46</v>
      </c>
      <c r="C70" s="58">
        <v>46211</v>
      </c>
      <c r="D70" s="27" t="s">
        <v>503</v>
      </c>
      <c r="E70" s="60">
        <v>3.57</v>
      </c>
      <c r="F70" s="60">
        <v>4.18</v>
      </c>
      <c r="G70" s="9">
        <f>AVERAGE(E70:F70)</f>
        <v>3.875</v>
      </c>
      <c r="H70" s="9"/>
      <c r="I70" s="82" t="s">
        <v>504</v>
      </c>
      <c r="J70" s="1" t="s">
        <v>524</v>
      </c>
    </row>
    <row r="71">
      <c r="A71" s="1"/>
      <c r="B71" s="1" t="s">
        <v>41</v>
      </c>
      <c r="C71" s="58">
        <v>46211</v>
      </c>
      <c r="D71" s="27" t="s">
        <v>503</v>
      </c>
      <c r="E71" s="60">
        <v>3.25</v>
      </c>
      <c r="F71" s="60">
        <v>3.75</v>
      </c>
      <c r="G71" s="9">
        <f>AVERAGE(E71:F71)</f>
        <v>3.5</v>
      </c>
      <c r="H71" s="9"/>
      <c r="I71" s="82" t="s">
        <v>504</v>
      </c>
      <c r="J71" s="1" t="s">
        <v>524</v>
      </c>
    </row>
    <row r="72">
      <c r="A72" s="1"/>
      <c r="B72" s="1" t="s">
        <v>43</v>
      </c>
      <c r="C72" s="58">
        <v>46211</v>
      </c>
      <c r="D72" s="27" t="s">
        <v>503</v>
      </c>
      <c r="E72" s="37">
        <v>85</v>
      </c>
      <c r="F72" s="37">
        <v>100</v>
      </c>
      <c r="G72" s="8">
        <f>AVERAGE(E72:F72)</f>
        <v>92.5</v>
      </c>
      <c r="H72" s="8"/>
      <c r="I72" s="82" t="s">
        <v>504</v>
      </c>
      <c r="J72" s="1" t="s">
        <v>522</v>
      </c>
    </row>
    <row r="73">
      <c r="A73" s="1"/>
      <c r="B73" s="1" t="s">
        <v>507</v>
      </c>
      <c r="C73" s="58">
        <v>46211</v>
      </c>
      <c r="D73" s="27" t="s">
        <v>503</v>
      </c>
      <c r="E73" s="37">
        <v>190</v>
      </c>
      <c r="F73" s="37">
        <v>197</v>
      </c>
      <c r="G73" s="8">
        <f>AVERAGE(E73:F73)</f>
        <v>193.5</v>
      </c>
      <c r="H73" s="8"/>
      <c r="I73" s="82" t="s">
        <v>504</v>
      </c>
      <c r="J73" s="1" t="s">
        <v>522</v>
      </c>
    </row>
    <row r="74">
      <c r="A74" s="1"/>
      <c r="B74" s="1" t="s">
        <v>479</v>
      </c>
      <c r="C74" s="58">
        <v>46211</v>
      </c>
      <c r="D74" s="27" t="s">
        <v>503</v>
      </c>
      <c r="E74" s="37">
        <v>45.5</v>
      </c>
      <c r="F74" s="37">
        <v>47.5</v>
      </c>
      <c r="G74" s="8">
        <f>AVERAGE(E74:F74)</f>
        <v>46.5</v>
      </c>
      <c r="H74" s="8"/>
      <c r="I74" s="82" t="s">
        <v>504</v>
      </c>
      <c r="J74" s="1" t="s">
        <v>522</v>
      </c>
    </row>
    <row r="75">
      <c r="A75" s="1"/>
      <c r="B75" s="1" t="s">
        <v>510</v>
      </c>
      <c r="C75" s="58">
        <v>46211</v>
      </c>
      <c r="D75" s="27" t="s">
        <v>503</v>
      </c>
      <c r="E75" s="37">
        <v>30</v>
      </c>
      <c r="F75" s="37">
        <v>34</v>
      </c>
      <c r="G75" s="8">
        <f>AVERAGE(E75:F75)</f>
        <v>32</v>
      </c>
      <c r="H75" s="8"/>
      <c r="I75" s="82" t="s">
        <v>504</v>
      </c>
      <c r="J75" s="1" t="s">
        <v>522</v>
      </c>
    </row>
    <row r="76">
      <c r="A76" s="1"/>
      <c r="B76" s="19" t="s">
        <v>486</v>
      </c>
      <c r="C76" s="61">
        <v>46211</v>
      </c>
      <c r="D76" s="59" t="s">
        <v>503</v>
      </c>
      <c r="E76" s="57">
        <v>0.24</v>
      </c>
      <c r="F76" s="57">
        <v>0.26</v>
      </c>
      <c r="G76" s="3">
        <f>AVERAGE(E76:F76)</f>
        <v>0.25</v>
      </c>
      <c r="H76" s="3"/>
      <c r="I76" s="82" t="s">
        <v>504</v>
      </c>
      <c r="J76" s="1" t="s">
        <v>522</v>
      </c>
    </row>
    <row r="77">
      <c r="A77" s="1"/>
      <c r="B77" s="1" t="s">
        <v>525</v>
      </c>
      <c r="C77" s="58">
        <v>46211</v>
      </c>
      <c r="D77" s="27" t="s">
        <v>503</v>
      </c>
      <c r="E77" s="13">
        <v>23.8</v>
      </c>
      <c r="F77" s="13">
        <v>23.8</v>
      </c>
      <c r="G77" s="12">
        <f>AVERAGE(E77:F77)</f>
        <v>23.8</v>
      </c>
      <c r="H77" s="12"/>
      <c r="I77" s="82" t="s">
        <v>504</v>
      </c>
      <c r="J77" s="1" t="s">
        <v>522</v>
      </c>
    </row>
    <row r="78">
      <c r="A78" s="1"/>
      <c r="B78" s="1" t="s">
        <v>508</v>
      </c>
      <c r="C78" s="58">
        <v>46211</v>
      </c>
      <c r="D78" s="27" t="s">
        <v>503</v>
      </c>
      <c r="E78" s="37">
        <v>119</v>
      </c>
      <c r="F78" s="37">
        <v>130</v>
      </c>
      <c r="G78" s="8">
        <f>AVERAGE(E78:F78)</f>
        <v>124.5</v>
      </c>
      <c r="H78" s="8"/>
      <c r="I78" s="82" t="s">
        <v>504</v>
      </c>
      <c r="J78" s="1" t="s">
        <v>522</v>
      </c>
    </row>
    <row r="79">
      <c r="A79" s="1"/>
      <c r="B79" s="1" t="s">
        <v>509</v>
      </c>
      <c r="C79" s="58">
        <v>46211</v>
      </c>
      <c r="D79" s="27" t="s">
        <v>503</v>
      </c>
      <c r="E79" s="37">
        <v>85</v>
      </c>
      <c r="F79" s="37">
        <v>100</v>
      </c>
      <c r="G79" s="8">
        <f>AVERAGE(E79:F79)</f>
        <v>92.5</v>
      </c>
      <c r="H79" s="8"/>
      <c r="I79" s="82" t="s">
        <v>504</v>
      </c>
      <c r="J79" s="1" t="s">
        <v>522</v>
      </c>
    </row>
    <row r="80">
      <c r="A80" s="1"/>
      <c r="B80" s="19" t="s">
        <v>484</v>
      </c>
      <c r="C80" s="61">
        <v>46211</v>
      </c>
      <c r="D80" s="59" t="s">
        <v>503</v>
      </c>
      <c r="E80" s="57">
        <v>0.272</v>
      </c>
      <c r="F80" s="57">
        <v>0.297</v>
      </c>
      <c r="G80" s="3">
        <f>AVERAGE(E80:F80)</f>
        <v>0.2845</v>
      </c>
      <c r="H80" s="3"/>
      <c r="I80" s="82" t="s">
        <v>504</v>
      </c>
      <c r="J80" s="1" t="s">
        <v>522</v>
      </c>
    </row>
    <row r="81">
      <c r="A81" s="1"/>
      <c r="B81" s="1" t="s">
        <v>511</v>
      </c>
      <c r="C81" s="58">
        <v>46211</v>
      </c>
      <c r="D81" s="27" t="s">
        <v>503</v>
      </c>
      <c r="E81" s="37">
        <v>48</v>
      </c>
      <c r="F81" s="37">
        <v>52</v>
      </c>
      <c r="G81" s="8">
        <f>AVERAGE(E81:F81)</f>
        <v>50</v>
      </c>
      <c r="H81" s="8"/>
      <c r="I81" s="82" t="s">
        <v>504</v>
      </c>
      <c r="J81" s="1" t="s">
        <v>526</v>
      </c>
    </row>
    <row r="82">
      <c r="A82" s="1"/>
      <c r="B82" s="1" t="s">
        <v>513</v>
      </c>
      <c r="C82" s="58">
        <v>46211</v>
      </c>
      <c r="D82" s="27" t="s">
        <v>503</v>
      </c>
      <c r="E82" s="37">
        <v>22</v>
      </c>
      <c r="F82" s="37">
        <v>24</v>
      </c>
      <c r="G82" s="8">
        <f>AVERAGE(E82:F82)</f>
        <v>23</v>
      </c>
      <c r="H82" s="8"/>
      <c r="I82" s="82" t="s">
        <v>504</v>
      </c>
      <c r="J82" s="1" t="s">
        <v>526</v>
      </c>
    </row>
    <row r="83">
      <c r="A83" s="1"/>
      <c r="B83" s="1" t="s">
        <v>514</v>
      </c>
      <c r="C83" s="58">
        <v>46211</v>
      </c>
      <c r="D83" s="27" t="s">
        <v>503</v>
      </c>
      <c r="E83" s="64"/>
      <c r="F83" s="63">
        <v>3.2</v>
      </c>
      <c r="G83" s="64">
        <f>AVERAGE(E83:F83)</f>
        <v>3.2</v>
      </c>
      <c r="H83" s="64"/>
      <c r="I83" s="82" t="s">
        <v>504</v>
      </c>
      <c r="J83" s="1" t="s">
        <v>527</v>
      </c>
    </row>
    <row r="84">
      <c r="A84" s="1"/>
      <c r="B84" s="19" t="s">
        <v>528</v>
      </c>
      <c r="C84" s="61">
        <v>46211</v>
      </c>
      <c r="D84" s="59" t="s">
        <v>529</v>
      </c>
      <c r="E84" s="57">
        <v>0.15</v>
      </c>
      <c r="F84" s="57">
        <v>0.15</v>
      </c>
      <c r="G84" s="3">
        <f>AVERAGE(E84:F84)</f>
        <v>0.15</v>
      </c>
      <c r="H84" s="3"/>
      <c r="I84" s="82" t="s">
        <v>504</v>
      </c>
      <c r="J84" s="1" t="s">
        <v>530</v>
      </c>
    </row>
    <row r="85">
      <c r="A85" s="1"/>
      <c r="B85" s="19" t="s">
        <v>531</v>
      </c>
      <c r="C85" s="61">
        <v>46211</v>
      </c>
      <c r="D85" s="59" t="s">
        <v>532</v>
      </c>
      <c r="E85" s="57">
        <v>-0.02</v>
      </c>
      <c r="F85" s="57">
        <v>-0.02</v>
      </c>
      <c r="G85" s="3">
        <f>AVERAGE(E85:F85)</f>
        <v>-0.02</v>
      </c>
      <c r="H85" s="3"/>
      <c r="I85" s="82" t="s">
        <v>504</v>
      </c>
      <c r="J85" s="1" t="s">
        <v>533</v>
      </c>
    </row>
    <row r="86">
      <c r="A86" s="1"/>
      <c r="B86" s="1"/>
      <c r="C86" s="1"/>
      <c r="D86" s="1"/>
      <c r="E86" s="1"/>
      <c r="F86" s="1"/>
      <c r="G86" s="1"/>
      <c r="H86" s="1"/>
      <c r="I86" s="82"/>
      <c r="J86" s="1"/>
    </row>
    <row r="87">
      <c r="A87" s="1"/>
      <c r="B87" s="16" t="s">
        <v>534</v>
      </c>
      <c r="C87" s="1"/>
      <c r="D87" s="1"/>
      <c r="E87" s="1"/>
      <c r="F87" s="1"/>
      <c r="G87" s="1"/>
      <c r="H87" s="1"/>
      <c r="I87" s="82"/>
      <c r="J87" s="1"/>
    </row>
    <row r="88">
      <c r="A88" s="1"/>
      <c r="B88" s="1" t="s">
        <v>535</v>
      </c>
      <c r="C88" s="58">
        <v>46211</v>
      </c>
      <c r="D88" s="27" t="s">
        <v>529</v>
      </c>
      <c r="E88" s="9">
        <f>E84*E71</f>
        <v>0.4875</v>
      </c>
      <c r="F88" s="9">
        <f>F84*F71</f>
        <v>0.5625</v>
      </c>
      <c r="G88" s="9">
        <f>AVERAGE(E88:F88)</f>
        <v>0.525</v>
      </c>
      <c r="H88" s="4">
        <f>'Income Statement'!H107</f>
        <v>0.5418949692819706</v>
      </c>
      <c r="I88" s="82" t="s">
        <v>504</v>
      </c>
      <c r="J88" s="1" t="s">
        <v>536</v>
      </c>
    </row>
    <row r="89">
      <c r="A89" s="1"/>
      <c r="B89" s="1" t="s">
        <v>537</v>
      </c>
      <c r="C89" s="58">
        <v>46211</v>
      </c>
      <c r="D89" s="27" t="s">
        <v>529</v>
      </c>
      <c r="E89" s="6">
        <f>E67-'Income Statement'!G10-('Income Statement'!D10+'Income Statement'!E10)*(1+E85)</f>
        <v>393.68808</v>
      </c>
      <c r="F89" s="6">
        <f>F67-'Income Statement'!G10-('Income Statement'!D10+'Income Statement'!E10)*(1+F85)</f>
        <v>465.68808</v>
      </c>
      <c r="G89" s="8">
        <f>AVERAGE(E89:F89)</f>
        <v>429.68808</v>
      </c>
      <c r="H89" s="6">
        <f>'Income Statement'!H10</f>
        <v>442.28874499999995</v>
      </c>
      <c r="I89" s="82" t="s">
        <v>504</v>
      </c>
      <c r="J89" s="1" t="s">
        <v>538</v>
      </c>
    </row>
    <row r="90">
      <c r="A90" s="1"/>
      <c r="B90" s="1" t="s">
        <v>539</v>
      </c>
      <c r="C90" s="58">
        <v>46211</v>
      </c>
      <c r="D90" s="27" t="s">
        <v>529</v>
      </c>
      <c r="E90" s="8">
        <f>E88*E77</f>
        <v>11.602500000000001</v>
      </c>
      <c r="F90" s="8">
        <f>F88*F77</f>
        <v>13.387500000000001</v>
      </c>
      <c r="G90" s="8">
        <f>AVERAGE(E90:F90)</f>
        <v>12.495000000000001</v>
      </c>
      <c r="H90" s="6">
        <f>'Income Statement'!H99</f>
        <v>12.924195017374998</v>
      </c>
      <c r="I90" s="82" t="s">
        <v>504</v>
      </c>
      <c r="J90" s="1" t="s">
        <v>540</v>
      </c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</row>
    <row r="92">
      <c r="A92" s="1"/>
      <c r="B92" s="16" t="s">
        <v>541</v>
      </c>
      <c r="C92" s="1"/>
      <c r="D92" s="1"/>
      <c r="E92" s="1"/>
      <c r="F92" s="1"/>
      <c r="G92" s="1"/>
      <c r="H92" s="1"/>
      <c r="I92" s="1"/>
      <c r="J92" s="1"/>
    </row>
    <row r="93">
      <c r="A93" s="1"/>
      <c r="B93" s="1" t="s">
        <v>542</v>
      </c>
      <c r="C93" s="65">
        <f>COUNTIF(I10:I66,"Beat")</f>
        <v>18</v>
      </c>
      <c r="D93" s="65">
        <f>COUNTIF(I10:I66,"Beat")+COUNTIF(I10:I66,"Miss")+COUNTIF(I10:I66,"In line")</f>
        <v>25</v>
      </c>
      <c r="E93" s="1"/>
      <c r="F93" s="1"/>
      <c r="G93" s="1"/>
      <c r="H93" s="1"/>
      <c r="I93" s="27"/>
      <c r="J93" s="1" t="s">
        <v>543</v>
      </c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J3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3" width="12" customWidth="1"/>
    <col min="4" max="4" width="14" customWidth="1"/>
    <col min="5" max="5" width="30" customWidth="1"/>
    <col min="6" max="7" width="60" customWidth="1"/>
    <col min="8" max="8" width="12" customWidth="1"/>
    <col min="9" max="9" width="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544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545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4</v>
      </c>
      <c r="D5" s="5"/>
      <c r="E5" s="5"/>
      <c r="F5" s="5"/>
      <c r="G5" s="5"/>
      <c r="H5" s="5"/>
      <c r="I5" s="1"/>
      <c r="J5" s="1"/>
    </row>
    <row r="6">
      <c r="A6" s="1"/>
      <c r="B6" s="14" t="s">
        <v>5</v>
      </c>
      <c r="C6" s="25">
        <v>46265</v>
      </c>
      <c r="D6" s="22"/>
      <c r="E6" s="22"/>
      <c r="F6" s="22"/>
      <c r="G6" s="22"/>
      <c r="H6" s="22"/>
      <c r="I6" s="1"/>
      <c r="J6" s="1"/>
    </row>
    <row r="7">
      <c r="A7" s="1"/>
      <c r="B7" s="33" t="s">
        <v>6</v>
      </c>
      <c r="C7" s="17">
        <v>92</v>
      </c>
      <c r="D7" s="7"/>
      <c r="E7" s="7"/>
      <c r="F7" s="7"/>
      <c r="G7" s="7"/>
      <c r="H7" s="7"/>
      <c r="I7" s="1"/>
      <c r="J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 ht="42">
      <c r="A9" s="1"/>
      <c r="B9" s="34" t="s">
        <v>546</v>
      </c>
      <c r="C9" s="2" t="s">
        <v>547</v>
      </c>
      <c r="D9" s="2" t="s">
        <v>548</v>
      </c>
      <c r="E9" s="81" t="s">
        <v>549</v>
      </c>
      <c r="F9" s="81" t="s">
        <v>550</v>
      </c>
      <c r="G9" s="81" t="s">
        <v>551</v>
      </c>
      <c r="H9" s="2"/>
      <c r="I9" s="2"/>
      <c r="J9" s="1"/>
    </row>
    <row r="10" ht="28.5">
      <c r="A10" s="1"/>
      <c r="B10" s="53" t="s">
        <v>522</v>
      </c>
      <c r="C10" s="54">
        <v>46211</v>
      </c>
      <c r="D10" s="55" t="s">
        <v>552</v>
      </c>
      <c r="E10" s="52" t="s">
        <v>553</v>
      </c>
      <c r="F10" s="52" t="s">
        <v>554</v>
      </c>
      <c r="G10" s="52" t="s">
        <v>555</v>
      </c>
      <c r="H10" s="1"/>
      <c r="I10" s="1"/>
      <c r="J10" s="1"/>
    </row>
    <row r="11" ht="41.25">
      <c r="A11" s="1"/>
      <c r="B11" s="53" t="s">
        <v>556</v>
      </c>
      <c r="C11" s="54">
        <v>46212</v>
      </c>
      <c r="D11" s="55" t="s">
        <v>552</v>
      </c>
      <c r="E11" s="52" t="s">
        <v>557</v>
      </c>
      <c r="F11" s="52" t="s">
        <v>558</v>
      </c>
      <c r="G11" s="52" t="s">
        <v>559</v>
      </c>
      <c r="H11" s="1"/>
      <c r="I11" s="1"/>
      <c r="J11" s="1"/>
    </row>
    <row r="12" ht="41.25">
      <c r="A12" s="1"/>
      <c r="B12" s="53" t="s">
        <v>560</v>
      </c>
      <c r="C12" s="54">
        <v>46211</v>
      </c>
      <c r="D12" s="55" t="s">
        <v>552</v>
      </c>
      <c r="E12" s="52" t="s">
        <v>561</v>
      </c>
      <c r="F12" s="52" t="s">
        <v>562</v>
      </c>
      <c r="G12" s="52" t="s">
        <v>563</v>
      </c>
      <c r="H12" s="1"/>
      <c r="I12" s="1"/>
      <c r="J12" s="1"/>
    </row>
    <row r="13" ht="41.25">
      <c r="A13" s="1"/>
      <c r="B13" s="53" t="s">
        <v>489</v>
      </c>
      <c r="C13" s="54">
        <v>45939</v>
      </c>
      <c r="D13" s="55" t="s">
        <v>552</v>
      </c>
      <c r="E13" s="52" t="s">
        <v>564</v>
      </c>
      <c r="F13" s="52" t="s">
        <v>565</v>
      </c>
      <c r="G13" s="52" t="s">
        <v>566</v>
      </c>
      <c r="H13" s="1"/>
      <c r="I13" s="1"/>
      <c r="J13" s="1"/>
    </row>
    <row r="14" ht="41.25">
      <c r="A14" s="1"/>
      <c r="B14" s="53" t="s">
        <v>496</v>
      </c>
      <c r="C14" s="54">
        <v>46030</v>
      </c>
      <c r="D14" s="55" t="s">
        <v>552</v>
      </c>
      <c r="E14" s="52" t="s">
        <v>567</v>
      </c>
      <c r="F14" s="52" t="s">
        <v>568</v>
      </c>
      <c r="G14" s="52" t="s">
        <v>569</v>
      </c>
      <c r="H14" s="1"/>
      <c r="I14" s="1"/>
      <c r="J14" s="1"/>
    </row>
    <row r="15" ht="28.5">
      <c r="A15" s="1"/>
      <c r="B15" s="53" t="s">
        <v>506</v>
      </c>
      <c r="C15" s="54">
        <v>46135</v>
      </c>
      <c r="D15" s="55" t="s">
        <v>552</v>
      </c>
      <c r="E15" s="52" t="s">
        <v>570</v>
      </c>
      <c r="F15" s="52" t="s">
        <v>571</v>
      </c>
      <c r="G15" s="52" t="s">
        <v>572</v>
      </c>
      <c r="H15" s="1"/>
      <c r="I15" s="1"/>
      <c r="J15" s="1"/>
    </row>
    <row r="16" ht="28.5">
      <c r="A16" s="1"/>
      <c r="B16" s="53" t="s">
        <v>573</v>
      </c>
      <c r="C16" s="54">
        <v>46135</v>
      </c>
      <c r="D16" s="55" t="s">
        <v>552</v>
      </c>
      <c r="E16" s="52" t="s">
        <v>574</v>
      </c>
      <c r="F16" s="52" t="s">
        <v>575</v>
      </c>
      <c r="G16" s="52" t="s">
        <v>576</v>
      </c>
      <c r="H16" s="1"/>
      <c r="I16" s="1"/>
      <c r="J16" s="1"/>
    </row>
    <row r="17" ht="28.5">
      <c r="A17" s="1"/>
      <c r="B17" s="53" t="s">
        <v>577</v>
      </c>
      <c r="C17" s="54">
        <v>46295</v>
      </c>
      <c r="D17" s="55" t="s">
        <v>552</v>
      </c>
      <c r="E17" s="52" t="s">
        <v>578</v>
      </c>
      <c r="F17" s="52" t="s">
        <v>579</v>
      </c>
      <c r="G17" s="52" t="s">
        <v>580</v>
      </c>
      <c r="H17" s="1"/>
      <c r="I17" s="1"/>
      <c r="J17" s="1"/>
    </row>
    <row r="18" ht="28.5">
      <c r="A18" s="1"/>
      <c r="B18" s="53" t="s">
        <v>474</v>
      </c>
      <c r="C18" s="54">
        <v>45848</v>
      </c>
      <c r="D18" s="55" t="s">
        <v>552</v>
      </c>
      <c r="E18" s="52" t="s">
        <v>581</v>
      </c>
      <c r="F18" s="52" t="s">
        <v>582</v>
      </c>
      <c r="G18" s="52" t="s">
        <v>583</v>
      </c>
      <c r="H18" s="1"/>
      <c r="I18" s="1"/>
      <c r="J18" s="1"/>
    </row>
    <row r="19" ht="28.5">
      <c r="A19" s="1"/>
      <c r="B19" s="53" t="s">
        <v>584</v>
      </c>
      <c r="C19" s="54">
        <v>46299</v>
      </c>
      <c r="D19" s="55" t="s">
        <v>585</v>
      </c>
      <c r="E19" s="52" t="s">
        <v>586</v>
      </c>
      <c r="F19" s="52" t="s">
        <v>587</v>
      </c>
      <c r="G19" s="52" t="s">
        <v>588</v>
      </c>
      <c r="H19" s="1"/>
      <c r="I19" s="1"/>
      <c r="J19" s="1"/>
    </row>
    <row r="20" ht="41.25">
      <c r="A20" s="1"/>
      <c r="B20" s="53" t="s">
        <v>589</v>
      </c>
      <c r="C20" s="54">
        <v>46135</v>
      </c>
      <c r="D20" s="55" t="s">
        <v>552</v>
      </c>
      <c r="E20" s="52" t="s">
        <v>590</v>
      </c>
      <c r="F20" s="52" t="s">
        <v>591</v>
      </c>
      <c r="G20" s="52" t="s">
        <v>592</v>
      </c>
      <c r="H20" s="1"/>
      <c r="I20" s="1"/>
      <c r="J20" s="1"/>
    </row>
    <row r="21" ht="28.5">
      <c r="A21" s="1"/>
      <c r="B21" s="53" t="s">
        <v>593</v>
      </c>
      <c r="C21" s="54">
        <v>46234</v>
      </c>
      <c r="D21" s="55" t="s">
        <v>552</v>
      </c>
      <c r="E21" s="52" t="s">
        <v>594</v>
      </c>
      <c r="F21" s="52" t="s">
        <v>595</v>
      </c>
      <c r="G21" s="52" t="s">
        <v>596</v>
      </c>
      <c r="H21" s="1"/>
      <c r="I21" s="1"/>
      <c r="J21" s="1"/>
    </row>
    <row r="22" ht="28.5">
      <c r="A22" s="1"/>
      <c r="B22" s="53" t="s">
        <v>597</v>
      </c>
      <c r="C22" s="54">
        <v>46240</v>
      </c>
      <c r="D22" s="55" t="s">
        <v>552</v>
      </c>
      <c r="E22" s="52" t="s">
        <v>598</v>
      </c>
      <c r="F22" s="52" t="s">
        <v>599</v>
      </c>
      <c r="G22" s="52" t="s">
        <v>600</v>
      </c>
      <c r="H22" s="1"/>
      <c r="I22" s="1"/>
      <c r="J22" s="1"/>
    </row>
    <row r="23" ht="41.25">
      <c r="A23" s="1"/>
      <c r="B23" s="53" t="s">
        <v>601</v>
      </c>
      <c r="C23" s="54">
        <v>46175</v>
      </c>
      <c r="D23" s="55" t="s">
        <v>552</v>
      </c>
      <c r="E23" s="52" t="s">
        <v>602</v>
      </c>
      <c r="F23" s="52" t="s">
        <v>603</v>
      </c>
      <c r="G23" s="52" t="s">
        <v>604</v>
      </c>
      <c r="H23" s="1"/>
      <c r="I23" s="1"/>
      <c r="J23" s="1"/>
    </row>
    <row r="24" ht="66.75">
      <c r="A24" s="1"/>
      <c r="B24" s="53" t="s">
        <v>605</v>
      </c>
      <c r="C24" s="54">
        <v>46282</v>
      </c>
      <c r="D24" s="55" t="s">
        <v>552</v>
      </c>
      <c r="E24" s="52" t="s">
        <v>606</v>
      </c>
      <c r="F24" s="52" t="s">
        <v>607</v>
      </c>
      <c r="G24" s="52" t="s">
        <v>608</v>
      </c>
      <c r="H24" s="1"/>
      <c r="I24" s="1"/>
      <c r="J24" s="1"/>
    </row>
    <row r="25" ht="28.5">
      <c r="A25" s="1"/>
      <c r="B25" s="53" t="s">
        <v>609</v>
      </c>
      <c r="C25" s="54">
        <v>46288</v>
      </c>
      <c r="D25" s="55" t="s">
        <v>552</v>
      </c>
      <c r="E25" s="52" t="s">
        <v>610</v>
      </c>
      <c r="F25" s="52" t="s">
        <v>611</v>
      </c>
      <c r="G25" s="52" t="s">
        <v>612</v>
      </c>
      <c r="H25" s="1"/>
      <c r="I25" s="1"/>
      <c r="J25" s="1"/>
    </row>
    <row r="26" ht="41.25">
      <c r="A26" s="1"/>
      <c r="B26" s="53" t="s">
        <v>613</v>
      </c>
      <c r="C26" s="54">
        <v>46294</v>
      </c>
      <c r="D26" s="55" t="s">
        <v>552</v>
      </c>
      <c r="E26" s="52" t="s">
        <v>614</v>
      </c>
      <c r="F26" s="52" t="s">
        <v>615</v>
      </c>
      <c r="G26" s="52" t="s">
        <v>616</v>
      </c>
      <c r="H26" s="1"/>
      <c r="I26" s="1"/>
      <c r="J26" s="1"/>
    </row>
    <row r="27" ht="28.5">
      <c r="A27" s="1"/>
      <c r="B27" s="53" t="s">
        <v>617</v>
      </c>
      <c r="C27" s="54">
        <v>46295</v>
      </c>
      <c r="D27" s="55" t="s">
        <v>552</v>
      </c>
      <c r="E27" s="52" t="s">
        <v>618</v>
      </c>
      <c r="F27" s="52" t="s">
        <v>619</v>
      </c>
      <c r="G27" s="52" t="s">
        <v>620</v>
      </c>
      <c r="H27" s="1"/>
      <c r="I27" s="1"/>
      <c r="J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</row>
    <row r="29">
      <c r="A29" s="1"/>
      <c r="B29" s="16" t="s">
        <v>621</v>
      </c>
      <c r="C29" s="1"/>
      <c r="D29" s="1"/>
      <c r="E29" s="1"/>
      <c r="F29" s="1"/>
      <c r="G29" s="1"/>
      <c r="H29" s="1"/>
      <c r="I29" s="1"/>
      <c r="J29" s="1"/>
    </row>
    <row r="30">
      <c r="A30" s="1"/>
      <c r="B30" s="1" t="s">
        <v>622</v>
      </c>
      <c r="C30" s="1"/>
      <c r="D30" s="1"/>
      <c r="E30" s="1"/>
      <c r="F30" s="1"/>
      <c r="G30" s="1"/>
      <c r="H30" s="1"/>
      <c r="I30" s="1"/>
      <c r="J30" s="1"/>
    </row>
    <row r="31">
      <c r="A31" s="1"/>
      <c r="B31" s="1" t="s">
        <v>623</v>
      </c>
      <c r="C31" s="1"/>
      <c r="D31" s="1"/>
      <c r="E31" s="1"/>
      <c r="F31" s="1"/>
      <c r="G31" s="1"/>
      <c r="H31" s="1"/>
      <c r="I31" s="1"/>
      <c r="J31" s="1"/>
    </row>
    <row r="32">
      <c r="A32" s="1"/>
      <c r="B32" s="1" t="s">
        <v>624</v>
      </c>
      <c r="C32" s="1"/>
      <c r="D32" s="1"/>
      <c r="E32" s="1"/>
      <c r="F32" s="1"/>
      <c r="G32" s="1"/>
      <c r="H32" s="1"/>
      <c r="I32" s="1"/>
      <c r="J32" s="1"/>
    </row>
    <row r="33">
      <c r="A33" s="1"/>
      <c r="B33" s="1" t="s">
        <v>625</v>
      </c>
      <c r="C33" s="1"/>
      <c r="D33" s="1"/>
      <c r="E33" s="1"/>
      <c r="F33" s="1"/>
      <c r="G33" s="1"/>
      <c r="H33" s="1"/>
      <c r="I33" s="1"/>
      <c r="J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5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16" t="s">
        <v>626</v>
      </c>
      <c r="C3" s="1"/>
      <c r="D3" s="1"/>
      <c r="E3" s="1"/>
      <c r="F3" s="1"/>
      <c r="G3" s="1"/>
      <c r="H3" s="1"/>
      <c r="I3" s="1"/>
      <c r="J3" s="1"/>
    </row>
    <row r="4">
      <c r="A4" s="1"/>
      <c r="B4" s="19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38" t="s">
        <v>3</v>
      </c>
      <c r="C5" s="5" t="s">
        <v>4</v>
      </c>
      <c r="D5" s="5"/>
      <c r="E5" s="5"/>
      <c r="F5" s="5"/>
      <c r="G5" s="5"/>
      <c r="H5" s="5"/>
      <c r="I5" s="1"/>
      <c r="J5" s="1"/>
    </row>
    <row r="6">
      <c r="A6" s="1"/>
      <c r="B6" s="14" t="s">
        <v>5</v>
      </c>
      <c r="C6" s="25">
        <v>46265</v>
      </c>
      <c r="D6" s="22"/>
      <c r="E6" s="22"/>
      <c r="F6" s="22"/>
      <c r="G6" s="22"/>
      <c r="H6" s="22"/>
      <c r="I6" s="1"/>
      <c r="J6" s="1"/>
    </row>
    <row r="7">
      <c r="A7" s="1"/>
      <c r="B7" s="33" t="s">
        <v>6</v>
      </c>
      <c r="C7" s="17">
        <v>92</v>
      </c>
      <c r="D7" s="7"/>
      <c r="E7" s="7"/>
      <c r="F7" s="7"/>
      <c r="G7" s="7"/>
      <c r="H7" s="7"/>
      <c r="I7" s="1"/>
      <c r="J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16" t="s">
        <v>627</v>
      </c>
      <c r="C9" s="1"/>
      <c r="D9" s="1"/>
      <c r="E9" s="1"/>
      <c r="F9" s="1"/>
      <c r="G9" s="1"/>
      <c r="H9" s="1"/>
      <c r="I9" s="1"/>
      <c r="J9" s="1"/>
    </row>
    <row r="10" ht="42">
      <c r="A10" s="1"/>
      <c r="B10" s="34" t="s">
        <v>628</v>
      </c>
      <c r="C10" s="2" t="s">
        <v>629</v>
      </c>
      <c r="D10" s="2"/>
      <c r="E10" s="2"/>
      <c r="F10" s="2"/>
      <c r="G10" s="2"/>
      <c r="H10" s="2"/>
      <c r="I10" s="2"/>
      <c r="J10" s="1"/>
    </row>
    <row r="11">
      <c r="A11" s="1"/>
      <c r="B11" s="1" t="s">
        <v>630</v>
      </c>
      <c r="C11" s="69" t="s">
        <v>631</v>
      </c>
      <c r="D11" s="1"/>
      <c r="E11" s="1"/>
      <c r="F11" s="1"/>
      <c r="G11" s="1"/>
      <c r="H11" s="1"/>
      <c r="I11" s="1"/>
      <c r="J11" s="1"/>
    </row>
    <row r="12">
      <c r="A12" s="1"/>
      <c r="B12" s="1" t="s">
        <v>632</v>
      </c>
      <c r="C12" s="69" t="s">
        <v>11</v>
      </c>
      <c r="D12" s="1"/>
      <c r="E12" s="1"/>
      <c r="F12" s="1"/>
      <c r="G12" s="1"/>
      <c r="H12" s="1"/>
      <c r="I12" s="1"/>
      <c r="J12" s="1"/>
    </row>
    <row r="13">
      <c r="A13" s="1"/>
      <c r="B13" s="1" t="s">
        <v>633</v>
      </c>
      <c r="C13" s="69" t="s">
        <v>9</v>
      </c>
      <c r="D13" s="1"/>
      <c r="E13" s="1"/>
      <c r="F13" s="1"/>
      <c r="G13" s="1"/>
      <c r="H13" s="1"/>
      <c r="I13" s="1"/>
      <c r="J13" s="1"/>
    </row>
    <row r="14">
      <c r="A14" s="1"/>
      <c r="B14" s="1" t="s">
        <v>634</v>
      </c>
      <c r="C14" s="69" t="s">
        <v>635</v>
      </c>
      <c r="D14" s="1"/>
      <c r="E14" s="1"/>
      <c r="F14" s="1"/>
      <c r="G14" s="1"/>
      <c r="H14" s="1"/>
      <c r="I14" s="1"/>
      <c r="J14" s="1"/>
    </row>
    <row r="15">
      <c r="A15" s="1"/>
      <c r="B15" s="1" t="s">
        <v>636</v>
      </c>
      <c r="C15" s="70" t="s">
        <v>637</v>
      </c>
      <c r="D15" s="1"/>
      <c r="E15" s="1"/>
      <c r="F15" s="1"/>
      <c r="G15" s="1"/>
      <c r="H15" s="1"/>
      <c r="I15" s="1"/>
      <c r="J15" s="1"/>
    </row>
    <row r="16">
      <c r="A16" s="1"/>
      <c r="B16" s="1" t="s">
        <v>638</v>
      </c>
      <c r="C16" s="70" t="s">
        <v>639</v>
      </c>
      <c r="D16" s="1"/>
      <c r="E16" s="1"/>
      <c r="F16" s="1"/>
      <c r="G16" s="1"/>
      <c r="H16" s="1"/>
      <c r="I16" s="1"/>
      <c r="J16" s="1"/>
    </row>
    <row r="17">
      <c r="A17" s="1"/>
      <c r="B17" s="1" t="s">
        <v>640</v>
      </c>
      <c r="C17" s="71">
        <v>4</v>
      </c>
      <c r="D17" s="1"/>
      <c r="E17" s="1"/>
      <c r="F17" s="1"/>
      <c r="G17" s="1"/>
      <c r="H17" s="1"/>
      <c r="I17" s="1"/>
      <c r="J17" s="1"/>
    </row>
    <row r="18">
      <c r="A18" s="1"/>
      <c r="B18" s="1" t="s">
        <v>641</v>
      </c>
      <c r="C18" s="71">
        <v>0.5</v>
      </c>
      <c r="D18" s="1"/>
      <c r="E18" s="1"/>
      <c r="F18" s="1"/>
      <c r="G18" s="1"/>
      <c r="H18" s="1"/>
      <c r="I18" s="1"/>
      <c r="J18" s="1"/>
    </row>
    <row r="19">
      <c r="A19" s="1"/>
      <c r="B19" s="1" t="s">
        <v>642</v>
      </c>
      <c r="C19" s="69" t="s">
        <v>643</v>
      </c>
      <c r="D19" s="1"/>
      <c r="E19" s="1"/>
      <c r="F19" s="1"/>
      <c r="G19" s="1"/>
      <c r="H19" s="1"/>
      <c r="I19" s="1"/>
      <c r="J19" s="1"/>
    </row>
    <row r="20">
      <c r="A20" s="1"/>
      <c r="B20" s="1" t="s">
        <v>644</v>
      </c>
      <c r="C20" s="71">
        <v>443.21</v>
      </c>
      <c r="D20" s="1"/>
      <c r="E20" s="1"/>
      <c r="F20" s="1"/>
      <c r="G20" s="1"/>
      <c r="H20" s="1"/>
      <c r="I20" s="1"/>
      <c r="J20" s="1"/>
    </row>
    <row r="21">
      <c r="A21" s="1"/>
      <c r="B21" s="1" t="s">
        <v>645</v>
      </c>
      <c r="C21" s="69" t="s">
        <v>17</v>
      </c>
      <c r="D21" s="1"/>
      <c r="E21" s="1"/>
      <c r="F21" s="1"/>
      <c r="G21" s="1"/>
      <c r="H21" s="1"/>
      <c r="I21" s="1"/>
      <c r="J21" s="1"/>
    </row>
    <row r="22">
      <c r="A22" s="1"/>
      <c r="B22" s="1" t="s">
        <v>646</v>
      </c>
      <c r="C22" s="69" t="s">
        <v>647</v>
      </c>
      <c r="D22" s="1"/>
      <c r="E22" s="1"/>
      <c r="F22" s="1"/>
      <c r="G22" s="1"/>
      <c r="H22" s="1"/>
      <c r="I22" s="1"/>
      <c r="J22" s="1"/>
    </row>
    <row r="23">
      <c r="A23" s="1"/>
      <c r="B23" s="1" t="s">
        <v>648</v>
      </c>
      <c r="C23" s="69" t="s">
        <v>649</v>
      </c>
      <c r="D23" s="1"/>
      <c r="E23" s="1"/>
      <c r="F23" s="1"/>
      <c r="G23" s="1"/>
      <c r="H23" s="1"/>
      <c r="I23" s="1"/>
      <c r="J23" s="1"/>
    </row>
    <row r="24">
      <c r="A24" s="1"/>
      <c r="B24" s="1" t="s">
        <v>650</v>
      </c>
      <c r="C24" s="69" t="s">
        <v>651</v>
      </c>
      <c r="D24" s="1"/>
      <c r="E24" s="1"/>
      <c r="F24" s="1"/>
      <c r="G24" s="1"/>
      <c r="H24" s="1"/>
      <c r="I24" s="1"/>
      <c r="J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>
      <c r="A26" s="1"/>
      <c r="B26" s="16" t="s">
        <v>652</v>
      </c>
      <c r="C26" s="1"/>
      <c r="D26" s="1"/>
      <c r="E26" s="1"/>
      <c r="F26" s="1"/>
      <c r="G26" s="1"/>
      <c r="H26" s="1"/>
      <c r="I26" s="1"/>
      <c r="J26" s="1"/>
    </row>
    <row r="27" ht="42">
      <c r="A27" s="1"/>
      <c r="B27" s="34" t="s">
        <v>628</v>
      </c>
      <c r="C27" s="2" t="s">
        <v>653</v>
      </c>
      <c r="D27" s="2"/>
      <c r="E27" s="2"/>
      <c r="F27" s="2"/>
      <c r="G27" s="2"/>
      <c r="H27" s="2"/>
      <c r="I27" s="2"/>
      <c r="J27" s="1"/>
    </row>
    <row r="28">
      <c r="A28" s="1"/>
      <c r="B28" s="1" t="s">
        <v>632</v>
      </c>
      <c r="C28" s="69" t="s">
        <v>11</v>
      </c>
      <c r="D28" s="1"/>
      <c r="E28" s="1"/>
      <c r="F28" s="1"/>
      <c r="G28" s="1"/>
      <c r="H28" s="1"/>
      <c r="I28" s="1"/>
      <c r="J28" s="1"/>
    </row>
    <row r="29">
      <c r="A29" s="1"/>
      <c r="B29" s="1" t="s">
        <v>654</v>
      </c>
      <c r="C29" s="69" t="s">
        <v>9</v>
      </c>
      <c r="D29" s="1"/>
      <c r="E29" s="1"/>
      <c r="F29" s="1"/>
      <c r="G29" s="1"/>
      <c r="H29" s="1"/>
      <c r="I29" s="1"/>
      <c r="J29" s="1"/>
    </row>
    <row r="30">
      <c r="A30" s="1"/>
      <c r="B30" s="1" t="s">
        <v>655</v>
      </c>
      <c r="C30" s="69" t="s">
        <v>656</v>
      </c>
      <c r="D30" s="1"/>
      <c r="E30" s="1"/>
      <c r="F30" s="1"/>
      <c r="G30" s="1"/>
      <c r="H30" s="1"/>
      <c r="I30" s="1"/>
      <c r="J30" s="1"/>
    </row>
    <row r="31">
      <c r="A31" s="1"/>
      <c r="B31" s="1" t="s">
        <v>657</v>
      </c>
      <c r="C31" s="27" t="s">
        <v>658</v>
      </c>
      <c r="D31" s="1"/>
      <c r="E31" s="1"/>
      <c r="F31" s="1"/>
      <c r="G31" s="1"/>
      <c r="H31" s="1"/>
      <c r="I31" s="1"/>
      <c r="J31" s="1"/>
    </row>
    <row r="32">
      <c r="A32" s="1"/>
      <c r="B32" s="1" t="s">
        <v>659</v>
      </c>
      <c r="C32" s="69" t="s">
        <v>660</v>
      </c>
      <c r="D32" s="1"/>
      <c r="E32" s="1"/>
      <c r="F32" s="1"/>
      <c r="G32" s="1"/>
      <c r="H32" s="1"/>
      <c r="I32" s="1"/>
      <c r="J32" s="1"/>
    </row>
    <row r="33">
      <c r="A33" s="1"/>
      <c r="B33" s="1" t="s">
        <v>661</v>
      </c>
      <c r="C33" s="27"/>
      <c r="D33" s="1"/>
      <c r="E33" s="1"/>
      <c r="F33" s="1"/>
      <c r="G33" s="1"/>
      <c r="H33" s="1"/>
      <c r="I33" s="1"/>
      <c r="J33" s="1"/>
    </row>
    <row r="34">
      <c r="A34" s="1"/>
      <c r="B34" s="1" t="s">
        <v>662</v>
      </c>
      <c r="C34" s="69" t="s">
        <v>663</v>
      </c>
      <c r="D34" s="1"/>
      <c r="E34" s="1"/>
      <c r="F34" s="1"/>
      <c r="G34" s="1"/>
      <c r="H34" s="1"/>
      <c r="I34" s="1"/>
      <c r="J34" s="1"/>
    </row>
    <row r="35">
      <c r="A35" s="1"/>
      <c r="B35" s="1" t="s">
        <v>664</v>
      </c>
      <c r="C35" s="70" t="s">
        <v>637</v>
      </c>
      <c r="D35" s="1"/>
      <c r="E35" s="1"/>
      <c r="F35" s="1"/>
      <c r="G35" s="1"/>
      <c r="H35" s="1"/>
      <c r="I35" s="1"/>
      <c r="J35" s="1"/>
    </row>
    <row r="36">
      <c r="A36" s="1"/>
      <c r="B36" s="1" t="s">
        <v>665</v>
      </c>
      <c r="C36" s="70" t="s">
        <v>666</v>
      </c>
      <c r="D36" s="1"/>
      <c r="E36" s="1"/>
      <c r="F36" s="1"/>
      <c r="G36" s="1"/>
      <c r="H36" s="1"/>
      <c r="I36" s="1"/>
      <c r="J36" s="1" t="s">
        <v>667</v>
      </c>
    </row>
    <row r="37">
      <c r="A37" s="1"/>
      <c r="B37" s="1" t="s">
        <v>668</v>
      </c>
      <c r="C37" s="69" t="s">
        <v>669</v>
      </c>
      <c r="D37" s="1"/>
      <c r="E37" s="1"/>
      <c r="F37" s="1"/>
      <c r="G37" s="1"/>
      <c r="H37" s="1"/>
      <c r="I37" s="1"/>
      <c r="J37" s="1"/>
    </row>
    <row r="38">
      <c r="A38" s="1"/>
      <c r="B38" s="1" t="s">
        <v>670</v>
      </c>
      <c r="C38" s="71">
        <v>4</v>
      </c>
      <c r="D38" s="1"/>
      <c r="E38" s="1"/>
      <c r="F38" s="1"/>
      <c r="G38" s="1"/>
      <c r="H38" s="1"/>
      <c r="I38" s="1"/>
      <c r="J38" s="1"/>
    </row>
    <row r="39">
      <c r="A39" s="1"/>
      <c r="B39" s="1" t="s">
        <v>671</v>
      </c>
      <c r="C39" s="71">
        <v>0.5</v>
      </c>
      <c r="D39" s="1"/>
      <c r="E39" s="1"/>
      <c r="F39" s="1"/>
      <c r="G39" s="1"/>
      <c r="H39" s="1"/>
      <c r="I39" s="1"/>
      <c r="J39" s="1"/>
    </row>
    <row r="40">
      <c r="A40" s="1"/>
      <c r="B40" s="1" t="s">
        <v>672</v>
      </c>
      <c r="C40" s="71">
        <v>0.5</v>
      </c>
      <c r="D40" s="1"/>
      <c r="E40" s="1"/>
      <c r="F40" s="1"/>
      <c r="G40" s="1"/>
      <c r="H40" s="1"/>
      <c r="I40" s="1"/>
      <c r="J40" s="1"/>
    </row>
    <row r="41">
      <c r="A41" s="1"/>
      <c r="B41" s="1" t="s">
        <v>673</v>
      </c>
      <c r="C41" s="71">
        <v>0.55</v>
      </c>
      <c r="D41" s="1"/>
      <c r="E41" s="1"/>
      <c r="F41" s="1"/>
      <c r="G41" s="1"/>
      <c r="H41" s="1"/>
      <c r="I41" s="1"/>
      <c r="J41" s="1"/>
    </row>
    <row r="42">
      <c r="A42" s="1"/>
      <c r="B42" s="1" t="s">
        <v>674</v>
      </c>
      <c r="C42" s="71">
        <v>0.46</v>
      </c>
      <c r="D42" s="1"/>
      <c r="E42" s="1"/>
      <c r="F42" s="1"/>
      <c r="G42" s="1"/>
      <c r="H42" s="1"/>
      <c r="I42" s="1"/>
      <c r="J42" s="1"/>
    </row>
    <row r="43">
      <c r="A43" s="1"/>
      <c r="B43" s="1" t="s">
        <v>675</v>
      </c>
      <c r="C43" s="71">
        <v>0.03</v>
      </c>
      <c r="D43" s="1"/>
      <c r="E43" s="1"/>
      <c r="F43" s="1"/>
      <c r="G43" s="1"/>
      <c r="H43" s="1"/>
      <c r="I43" s="1"/>
      <c r="J43" s="1"/>
    </row>
    <row r="44">
      <c r="A44" s="1"/>
      <c r="B44" s="1" t="s">
        <v>676</v>
      </c>
      <c r="C44" s="71">
        <v>4</v>
      </c>
      <c r="D44" s="1"/>
      <c r="E44" s="1"/>
      <c r="F44" s="1"/>
      <c r="G44" s="1"/>
      <c r="H44" s="1"/>
      <c r="I44" s="1"/>
      <c r="J44" s="1"/>
    </row>
    <row r="45">
      <c r="A45" s="1"/>
      <c r="B45" s="1" t="s">
        <v>677</v>
      </c>
      <c r="C45" s="27"/>
      <c r="D45" s="1"/>
      <c r="E45" s="1"/>
      <c r="F45" s="1"/>
      <c r="G45" s="1"/>
      <c r="H45" s="1"/>
      <c r="I45" s="1"/>
      <c r="J45" s="1"/>
    </row>
    <row r="46">
      <c r="A46" s="1"/>
      <c r="B46" s="1" t="s">
        <v>678</v>
      </c>
      <c r="C46" s="27"/>
      <c r="D46" s="1"/>
      <c r="E46" s="1"/>
      <c r="F46" s="1"/>
      <c r="G46" s="1"/>
      <c r="H46" s="1"/>
      <c r="I46" s="1"/>
      <c r="J46" s="1"/>
    </row>
    <row r="47">
      <c r="A47" s="1"/>
      <c r="B47" s="1" t="s">
        <v>679</v>
      </c>
      <c r="C47" s="27"/>
      <c r="D47" s="1"/>
      <c r="E47" s="1"/>
      <c r="F47" s="1"/>
      <c r="G47" s="1"/>
      <c r="H47" s="1"/>
      <c r="I47" s="1"/>
      <c r="J47" s="1"/>
    </row>
    <row r="48">
      <c r="A48" s="1"/>
      <c r="B48" s="1" t="s">
        <v>680</v>
      </c>
      <c r="C48" s="71">
        <v>0.25</v>
      </c>
      <c r="D48" s="1"/>
      <c r="E48" s="1"/>
      <c r="F48" s="1"/>
      <c r="G48" s="1"/>
      <c r="H48" s="1"/>
      <c r="I48" s="1"/>
      <c r="J48" s="1"/>
    </row>
    <row r="49">
      <c r="A49" s="1"/>
      <c r="B49" s="1" t="s">
        <v>681</v>
      </c>
      <c r="C49" s="71">
        <v>0.15</v>
      </c>
      <c r="D49" s="1"/>
      <c r="E49" s="1"/>
      <c r="F49" s="1"/>
      <c r="G49" s="1"/>
      <c r="H49" s="1"/>
      <c r="I49" s="1"/>
      <c r="J49" s="1"/>
    </row>
    <row r="50">
      <c r="A50" s="1"/>
      <c r="B50" s="1" t="s">
        <v>682</v>
      </c>
      <c r="C50" s="71">
        <v>0.46</v>
      </c>
      <c r="D50" s="1"/>
      <c r="E50" s="1"/>
      <c r="F50" s="1"/>
      <c r="G50" s="1"/>
      <c r="H50" s="1"/>
      <c r="I50" s="1"/>
      <c r="J50" s="1"/>
    </row>
    <row r="51">
      <c r="A51" s="1"/>
      <c r="B51" s="1" t="s">
        <v>683</v>
      </c>
      <c r="C51" s="71">
        <v>0.14</v>
      </c>
      <c r="D51" s="1"/>
      <c r="E51" s="1"/>
      <c r="F51" s="1"/>
      <c r="G51" s="1"/>
      <c r="H51" s="1"/>
      <c r="I51" s="1"/>
      <c r="J51" s="1"/>
    </row>
    <row r="52">
      <c r="A52" s="1"/>
      <c r="B52" s="1" t="s">
        <v>684</v>
      </c>
      <c r="C52" s="71">
        <v>0.15</v>
      </c>
      <c r="D52" s="1"/>
      <c r="E52" s="1"/>
      <c r="F52" s="1"/>
      <c r="G52" s="1"/>
      <c r="H52" s="1"/>
      <c r="I52" s="1"/>
      <c r="J52" s="1"/>
    </row>
    <row r="53">
      <c r="A53" s="1"/>
      <c r="B53" s="1" t="s">
        <v>685</v>
      </c>
      <c r="C53" s="71">
        <v>3</v>
      </c>
      <c r="D53" s="1"/>
      <c r="E53" s="1"/>
      <c r="F53" s="1"/>
      <c r="G53" s="1"/>
      <c r="H53" s="1"/>
      <c r="I53" s="1"/>
      <c r="J53" s="1"/>
    </row>
    <row r="54">
      <c r="A54" s="1"/>
      <c r="B54" s="1" t="s">
        <v>686</v>
      </c>
      <c r="C54" s="27"/>
      <c r="D54" s="1"/>
      <c r="E54" s="1"/>
      <c r="F54" s="1"/>
      <c r="G54" s="1"/>
      <c r="H54" s="1"/>
      <c r="I54" s="1"/>
      <c r="J54" s="1"/>
    </row>
    <row r="55">
      <c r="A55" s="1"/>
      <c r="B55" s="1" t="s">
        <v>687</v>
      </c>
      <c r="C55" s="71">
        <v>443.21</v>
      </c>
      <c r="D55" s="1"/>
      <c r="E55" s="1"/>
      <c r="F55" s="1"/>
      <c r="G55" s="1"/>
      <c r="H55" s="1"/>
      <c r="I55" s="1"/>
      <c r="J55" s="1"/>
    </row>
    <row r="56">
      <c r="A56" s="1"/>
      <c r="B56" s="1" t="s">
        <v>688</v>
      </c>
      <c r="C56" s="71">
        <v>443.12</v>
      </c>
      <c r="D56" s="1"/>
      <c r="E56" s="1"/>
      <c r="F56" s="1"/>
      <c r="G56" s="1"/>
      <c r="H56" s="1"/>
      <c r="I56" s="1"/>
      <c r="J56" s="1"/>
    </row>
    <row r="57">
      <c r="A57" s="1"/>
      <c r="B57" s="1" t="s">
        <v>689</v>
      </c>
      <c r="C57" s="71">
        <v>446.5</v>
      </c>
      <c r="D57" s="1"/>
      <c r="E57" s="1"/>
      <c r="F57" s="1"/>
      <c r="G57" s="1"/>
      <c r="H57" s="1"/>
      <c r="I57" s="1"/>
      <c r="J57" s="1"/>
    </row>
    <row r="58">
      <c r="A58" s="1"/>
      <c r="B58" s="1" t="s">
        <v>690</v>
      </c>
      <c r="C58" s="71">
        <v>440.1</v>
      </c>
      <c r="D58" s="1"/>
      <c r="E58" s="1"/>
      <c r="F58" s="1"/>
      <c r="G58" s="1"/>
      <c r="H58" s="1"/>
      <c r="I58" s="1"/>
      <c r="J58" s="1"/>
    </row>
    <row r="59">
      <c r="A59" s="1"/>
      <c r="B59" s="1" t="s">
        <v>691</v>
      </c>
      <c r="C59" s="71">
        <v>2.41</v>
      </c>
      <c r="D59" s="1"/>
      <c r="E59" s="1"/>
      <c r="F59" s="1"/>
      <c r="G59" s="1"/>
      <c r="H59" s="1"/>
      <c r="I59" s="1"/>
      <c r="J59" s="1"/>
    </row>
    <row r="60">
      <c r="A60" s="1"/>
      <c r="B60" s="1" t="s">
        <v>692</v>
      </c>
      <c r="C60" s="71">
        <v>4</v>
      </c>
      <c r="D60" s="1"/>
      <c r="E60" s="1"/>
      <c r="F60" s="1"/>
      <c r="G60" s="1"/>
      <c r="H60" s="1"/>
      <c r="I60" s="1"/>
      <c r="J60" s="1"/>
    </row>
    <row r="61">
      <c r="A61" s="1"/>
      <c r="B61" s="1" t="s">
        <v>693</v>
      </c>
      <c r="C61" s="27"/>
      <c r="D61" s="1"/>
      <c r="E61" s="1"/>
      <c r="F61" s="1"/>
      <c r="G61" s="1"/>
      <c r="H61" s="1"/>
      <c r="I61" s="1"/>
      <c r="J61" s="1"/>
    </row>
    <row r="62">
      <c r="A62" s="1"/>
      <c r="B62" s="1" t="s">
        <v>694</v>
      </c>
      <c r="C62" s="27"/>
      <c r="D62" s="1"/>
      <c r="E62" s="1"/>
      <c r="F62" s="1"/>
      <c r="G62" s="1"/>
      <c r="H62" s="1"/>
      <c r="I62" s="1"/>
      <c r="J62" s="1"/>
    </row>
    <row r="63">
      <c r="A63" s="1"/>
      <c r="B63" s="1" t="s">
        <v>695</v>
      </c>
      <c r="C63" s="27"/>
      <c r="D63" s="1"/>
      <c r="E63" s="1"/>
      <c r="F63" s="1"/>
      <c r="G63" s="1"/>
      <c r="H63" s="1"/>
      <c r="I63" s="1"/>
      <c r="J63" s="1"/>
    </row>
    <row r="64">
      <c r="A64" s="1"/>
      <c r="B64" s="1" t="s">
        <v>696</v>
      </c>
      <c r="C64" s="71">
        <v>35.82</v>
      </c>
      <c r="D64" s="1"/>
      <c r="E64" s="1"/>
      <c r="F64" s="1"/>
      <c r="G64" s="1"/>
      <c r="H64" s="1"/>
      <c r="I64" s="1"/>
      <c r="J64" s="1"/>
    </row>
    <row r="65">
      <c r="A65" s="1"/>
      <c r="B65" s="1" t="s">
        <v>697</v>
      </c>
      <c r="C65" s="71">
        <v>27.68</v>
      </c>
      <c r="D65" s="1"/>
      <c r="E65" s="1"/>
      <c r="F65" s="1"/>
      <c r="G65" s="1"/>
      <c r="H65" s="1"/>
      <c r="I65" s="1"/>
      <c r="J65" s="1"/>
    </row>
    <row r="66">
      <c r="A66" s="1"/>
      <c r="B66" s="1" t="s">
        <v>698</v>
      </c>
      <c r="C66" s="71">
        <v>16.1</v>
      </c>
      <c r="D66" s="1"/>
      <c r="E66" s="1"/>
      <c r="F66" s="1"/>
      <c r="G66" s="1"/>
      <c r="H66" s="1"/>
      <c r="I66" s="1"/>
      <c r="J66" s="1"/>
    </row>
    <row r="67">
      <c r="A67" s="1"/>
      <c r="B67" s="1" t="s">
        <v>699</v>
      </c>
      <c r="C67" s="71">
        <v>8.92</v>
      </c>
      <c r="D67" s="1"/>
      <c r="E67" s="1"/>
      <c r="F67" s="1"/>
      <c r="G67" s="1"/>
      <c r="H67" s="1"/>
      <c r="I67" s="1"/>
      <c r="J67" s="1"/>
    </row>
    <row r="68">
      <c r="A68" s="1"/>
      <c r="B68" s="1" t="s">
        <v>700</v>
      </c>
      <c r="C68" s="71">
        <v>11.97</v>
      </c>
      <c r="D68" s="1"/>
      <c r="E68" s="1"/>
      <c r="F68" s="1"/>
      <c r="G68" s="1"/>
      <c r="H68" s="1"/>
      <c r="I68" s="1"/>
      <c r="J68" s="1"/>
    </row>
    <row r="69">
      <c r="A69" s="1"/>
      <c r="B69" s="1" t="s">
        <v>701</v>
      </c>
      <c r="C69" s="71">
        <v>5.97</v>
      </c>
      <c r="D69" s="1"/>
      <c r="E69" s="1"/>
      <c r="F69" s="1"/>
      <c r="G69" s="1"/>
      <c r="H69" s="1"/>
      <c r="I69" s="1"/>
      <c r="J69" s="1"/>
    </row>
    <row r="70">
      <c r="A70" s="1"/>
      <c r="B70" s="1" t="s">
        <v>702</v>
      </c>
      <c r="C70" s="27"/>
      <c r="D70" s="1"/>
      <c r="E70" s="1"/>
      <c r="F70" s="1"/>
      <c r="G70" s="1"/>
      <c r="H70" s="1"/>
      <c r="I70" s="1"/>
      <c r="J70" s="1"/>
    </row>
    <row r="71">
      <c r="A71" s="1"/>
      <c r="B71" s="1" t="s">
        <v>703</v>
      </c>
      <c r="C71" s="27"/>
      <c r="D71" s="1"/>
      <c r="E71" s="1"/>
      <c r="F71" s="1"/>
      <c r="G71" s="1"/>
      <c r="H71" s="1"/>
      <c r="I71" s="1"/>
      <c r="J71" s="1"/>
    </row>
    <row r="72">
      <c r="A72" s="1"/>
      <c r="B72" s="1" t="s">
        <v>704</v>
      </c>
      <c r="C72" s="27"/>
      <c r="D72" s="1"/>
      <c r="E72" s="1"/>
      <c r="F72" s="1"/>
      <c r="G72" s="1"/>
      <c r="H72" s="1"/>
      <c r="I72" s="1"/>
      <c r="J72" s="1"/>
    </row>
    <row r="73">
      <c r="A73" s="1"/>
      <c r="B73" s="1" t="s">
        <v>705</v>
      </c>
      <c r="C73" s="27"/>
      <c r="D73" s="1"/>
      <c r="E73" s="1"/>
      <c r="F73" s="1"/>
      <c r="G73" s="1"/>
      <c r="H73" s="1"/>
      <c r="I73" s="1"/>
      <c r="J73" s="1"/>
    </row>
    <row r="74">
      <c r="A74" s="1"/>
      <c r="B74" s="1" t="s">
        <v>706</v>
      </c>
      <c r="C74" s="27"/>
      <c r="D74" s="1"/>
      <c r="E74" s="1"/>
      <c r="F74" s="1"/>
      <c r="G74" s="1"/>
      <c r="H74" s="1"/>
      <c r="I74" s="1"/>
      <c r="J74" s="1"/>
    </row>
    <row r="75">
      <c r="A75" s="1"/>
      <c r="B75" s="1" t="s">
        <v>707</v>
      </c>
      <c r="C75" s="27"/>
      <c r="D75" s="1"/>
      <c r="E75" s="1"/>
      <c r="F75" s="1"/>
      <c r="G75" s="1"/>
      <c r="H75" s="1"/>
      <c r="I75" s="1"/>
      <c r="J75" s="1"/>
    </row>
    <row r="76">
      <c r="A76" s="1"/>
      <c r="B76" s="1" t="s">
        <v>708</v>
      </c>
      <c r="C76" s="71">
        <v>-12</v>
      </c>
      <c r="D76" s="1"/>
      <c r="E76" s="1"/>
      <c r="F76" s="1"/>
      <c r="G76" s="1"/>
      <c r="H76" s="1"/>
      <c r="I76" s="1"/>
      <c r="J76" s="1"/>
    </row>
    <row r="77">
      <c r="A77" s="1"/>
      <c r="B77" s="1" t="s">
        <v>709</v>
      </c>
      <c r="C77" s="71">
        <v>701.74</v>
      </c>
      <c r="D77" s="1"/>
      <c r="E77" s="1"/>
      <c r="F77" s="1"/>
      <c r="G77" s="1"/>
      <c r="H77" s="1"/>
      <c r="I77" s="1"/>
      <c r="J77" s="1"/>
    </row>
    <row r="78">
      <c r="A78" s="1"/>
      <c r="B78" s="1" t="s">
        <v>710</v>
      </c>
      <c r="C78" s="27"/>
      <c r="D78" s="1"/>
      <c r="E78" s="1"/>
      <c r="F78" s="1"/>
      <c r="G78" s="1"/>
      <c r="H78" s="1"/>
      <c r="I78" s="1"/>
      <c r="J78" s="1"/>
    </row>
    <row r="79">
      <c r="A79" s="1"/>
      <c r="B79" s="1" t="s">
        <v>711</v>
      </c>
      <c r="C79" s="27"/>
      <c r="D79" s="1"/>
      <c r="E79" s="1"/>
      <c r="F79" s="1"/>
      <c r="G79" s="1"/>
      <c r="H79" s="1"/>
      <c r="I79" s="1"/>
      <c r="J79" s="1"/>
    </row>
    <row r="80">
      <c r="A80" s="1"/>
      <c r="B80" s="1" t="s">
        <v>712</v>
      </c>
      <c r="C80" s="27"/>
      <c r="D80" s="1"/>
      <c r="E80" s="1"/>
      <c r="F80" s="1"/>
      <c r="G80" s="1"/>
      <c r="H80" s="1"/>
      <c r="I80" s="1"/>
      <c r="J80" s="1"/>
    </row>
    <row r="81">
      <c r="A81" s="1"/>
      <c r="B81" s="1" t="s">
        <v>713</v>
      </c>
      <c r="C81" s="27"/>
      <c r="D81" s="1"/>
      <c r="E81" s="1"/>
      <c r="F81" s="1"/>
      <c r="G81" s="1"/>
      <c r="H81" s="1"/>
      <c r="I81" s="1"/>
      <c r="J81" s="1"/>
    </row>
    <row r="82">
      <c r="A82" s="1"/>
      <c r="B82" s="1" t="s">
        <v>714</v>
      </c>
      <c r="C82" s="27"/>
      <c r="D82" s="1"/>
      <c r="E82" s="1"/>
      <c r="F82" s="1"/>
      <c r="G82" s="1"/>
      <c r="H82" s="1"/>
      <c r="I82" s="1"/>
      <c r="J82" s="1"/>
    </row>
    <row r="83">
      <c r="A83" s="1"/>
      <c r="B83" s="1" t="s">
        <v>715</v>
      </c>
      <c r="C83" s="27"/>
      <c r="D83" s="1"/>
      <c r="E83" s="1"/>
      <c r="F83" s="1"/>
      <c r="G83" s="1"/>
      <c r="H83" s="1"/>
      <c r="I83" s="1"/>
      <c r="J83" s="1"/>
    </row>
    <row r="84">
      <c r="A84" s="1"/>
      <c r="B84" s="1" t="s">
        <v>716</v>
      </c>
      <c r="C84" s="27"/>
      <c r="D84" s="1"/>
      <c r="E84" s="1"/>
      <c r="F84" s="1"/>
      <c r="G84" s="1"/>
      <c r="H84" s="1"/>
      <c r="I84" s="1"/>
      <c r="J84" s="1"/>
    </row>
    <row r="85">
      <c r="A85" s="1"/>
      <c r="B85" s="1" t="s">
        <v>717</v>
      </c>
      <c r="C85" s="71">
        <v>31</v>
      </c>
      <c r="D85" s="1"/>
      <c r="E85" s="1"/>
      <c r="F85" s="1"/>
      <c r="G85" s="1"/>
      <c r="H85" s="1"/>
      <c r="I85" s="1"/>
      <c r="J85" s="1" t="s">
        <v>718</v>
      </c>
    </row>
    <row r="86">
      <c r="A86" s="1"/>
      <c r="B86" s="1" t="s">
        <v>719</v>
      </c>
      <c r="C86" s="71">
        <v>28</v>
      </c>
      <c r="D86" s="1"/>
      <c r="E86" s="1"/>
      <c r="F86" s="1"/>
      <c r="G86" s="1"/>
      <c r="H86" s="1"/>
      <c r="I86" s="1"/>
      <c r="J86" s="1" t="s">
        <v>718</v>
      </c>
    </row>
    <row r="87">
      <c r="A87" s="1"/>
      <c r="B87" s="1" t="s">
        <v>720</v>
      </c>
      <c r="C87" s="71">
        <v>40</v>
      </c>
      <c r="D87" s="1"/>
      <c r="E87" s="1"/>
      <c r="F87" s="1"/>
      <c r="G87" s="1"/>
      <c r="H87" s="1"/>
      <c r="I87" s="1"/>
      <c r="J87" s="1" t="s">
        <v>718</v>
      </c>
    </row>
    <row r="88">
      <c r="A88" s="1"/>
      <c r="B88" s="1" t="s">
        <v>721</v>
      </c>
      <c r="C88" s="71">
        <v>25</v>
      </c>
      <c r="D88" s="1"/>
      <c r="E88" s="1"/>
      <c r="F88" s="1"/>
      <c r="G88" s="1"/>
      <c r="H88" s="1"/>
      <c r="I88" s="1"/>
      <c r="J88" s="1" t="s">
        <v>718</v>
      </c>
    </row>
    <row r="89">
      <c r="A89" s="1"/>
      <c r="B89" s="1" t="s">
        <v>722</v>
      </c>
      <c r="C89" s="71">
        <v>6.48</v>
      </c>
      <c r="D89" s="1"/>
      <c r="E89" s="1"/>
      <c r="F89" s="1"/>
      <c r="G89" s="1"/>
      <c r="H89" s="1"/>
      <c r="I89" s="1"/>
      <c r="J89" s="1" t="s">
        <v>718</v>
      </c>
    </row>
    <row r="90">
      <c r="A90" s="1"/>
      <c r="B90" s="1" t="s">
        <v>723</v>
      </c>
      <c r="C90" s="71">
        <v>3</v>
      </c>
      <c r="D90" s="1"/>
      <c r="E90" s="1"/>
      <c r="F90" s="1"/>
      <c r="G90" s="1"/>
      <c r="H90" s="1"/>
      <c r="I90" s="1"/>
      <c r="J90" s="1" t="s">
        <v>718</v>
      </c>
    </row>
    <row r="91">
      <c r="A91" s="1"/>
      <c r="B91" s="1" t="s">
        <v>724</v>
      </c>
      <c r="C91" s="69" t="s">
        <v>725</v>
      </c>
      <c r="D91" s="1"/>
      <c r="E91" s="1"/>
      <c r="F91" s="1"/>
      <c r="G91" s="1"/>
      <c r="H91" s="1"/>
      <c r="I91" s="1"/>
      <c r="J91" s="1"/>
    </row>
    <row r="92">
      <c r="A92" s="1"/>
      <c r="B92" s="1" t="s">
        <v>726</v>
      </c>
      <c r="C92" s="71">
        <v>2.75</v>
      </c>
      <c r="D92" s="1"/>
      <c r="E92" s="1"/>
      <c r="F92" s="1"/>
      <c r="G92" s="1"/>
      <c r="H92" s="1"/>
      <c r="I92" s="1"/>
      <c r="J92" s="1"/>
    </row>
    <row r="93">
      <c r="A93" s="1"/>
      <c r="B93" s="1" t="s">
        <v>727</v>
      </c>
      <c r="C93" s="71">
        <v>26.74</v>
      </c>
      <c r="D93" s="1"/>
      <c r="E93" s="1"/>
      <c r="F93" s="1"/>
      <c r="G93" s="1"/>
      <c r="H93" s="1"/>
      <c r="I93" s="1"/>
      <c r="J93" s="1"/>
    </row>
    <row r="94">
      <c r="A94" s="1"/>
      <c r="B94" s="1" t="s">
        <v>728</v>
      </c>
      <c r="C94" s="27"/>
      <c r="D94" s="1"/>
      <c r="E94" s="1"/>
      <c r="F94" s="1"/>
      <c r="G94" s="1"/>
      <c r="H94" s="1"/>
      <c r="I94" s="1"/>
      <c r="J94" s="1"/>
    </row>
    <row r="95">
      <c r="A95" s="1"/>
      <c r="B95" s="1" t="s">
        <v>645</v>
      </c>
      <c r="C95" s="69" t="s">
        <v>17</v>
      </c>
      <c r="D95" s="1"/>
      <c r="E95" s="1"/>
      <c r="F95" s="1"/>
      <c r="G95" s="1"/>
      <c r="H95" s="1"/>
      <c r="I95" s="1"/>
      <c r="J95" s="1"/>
    </row>
    <row r="96">
      <c r="A96" s="1"/>
      <c r="B96" s="1" t="s">
        <v>729</v>
      </c>
      <c r="C96" s="69" t="s">
        <v>730</v>
      </c>
      <c r="D96" s="1"/>
      <c r="E96" s="1"/>
      <c r="F96" s="1"/>
      <c r="G96" s="1"/>
      <c r="H96" s="1"/>
      <c r="I96" s="1"/>
      <c r="J96" s="1"/>
    </row>
    <row r="97">
      <c r="A97" s="1"/>
      <c r="B97" s="1" t="s">
        <v>731</v>
      </c>
      <c r="C97" s="70" t="s">
        <v>639</v>
      </c>
      <c r="D97" s="1"/>
      <c r="E97" s="1"/>
      <c r="F97" s="1"/>
      <c r="G97" s="1"/>
      <c r="H97" s="1"/>
      <c r="I97" s="1"/>
      <c r="J97" s="1"/>
    </row>
    <row r="98">
      <c r="A98" s="1"/>
      <c r="B98" s="1" t="s">
        <v>732</v>
      </c>
      <c r="C98" s="69" t="s">
        <v>733</v>
      </c>
      <c r="D98" s="1"/>
      <c r="E98" s="1"/>
      <c r="F98" s="1"/>
      <c r="G98" s="1"/>
      <c r="H98" s="1"/>
      <c r="I98" s="1"/>
      <c r="J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>
      <c r="A100" s="1"/>
      <c r="B100" s="16" t="s">
        <v>734</v>
      </c>
      <c r="C100" s="1"/>
      <c r="D100" s="1"/>
      <c r="E100" s="1"/>
      <c r="F100" s="1"/>
      <c r="G100" s="1"/>
      <c r="H100" s="1"/>
      <c r="I100" s="1"/>
      <c r="J100" s="1"/>
    </row>
    <row r="101" ht="42">
      <c r="A101" s="1"/>
      <c r="B101" s="34" t="s">
        <v>636</v>
      </c>
      <c r="C101" s="2" t="s">
        <v>735</v>
      </c>
      <c r="D101" s="2" t="s">
        <v>736</v>
      </c>
      <c r="E101" s="2" t="s">
        <v>737</v>
      </c>
      <c r="F101" s="2" t="s">
        <v>738</v>
      </c>
      <c r="G101" s="2" t="s">
        <v>739</v>
      </c>
      <c r="H101" s="2" t="s">
        <v>740</v>
      </c>
      <c r="I101" s="2" t="s">
        <v>741</v>
      </c>
      <c r="J101" s="1"/>
    </row>
    <row r="102">
      <c r="A102" s="1"/>
      <c r="B102" s="92">
        <v>45716</v>
      </c>
      <c r="C102" s="77">
        <v>45771</v>
      </c>
      <c r="D102" s="68">
        <v>2.38</v>
      </c>
      <c r="E102" s="68">
        <v>2.33</v>
      </c>
      <c r="F102" s="68">
        <v>2.03</v>
      </c>
      <c r="G102" s="68">
        <v>2.22</v>
      </c>
      <c r="H102" s="68">
        <v>481.69</v>
      </c>
      <c r="I102" s="68">
        <v>485.89</v>
      </c>
      <c r="J102" s="1"/>
    </row>
    <row r="103">
      <c r="A103" s="1"/>
      <c r="B103" s="92">
        <v>45808</v>
      </c>
      <c r="C103" s="77">
        <v>45848</v>
      </c>
      <c r="D103" s="68">
        <v>0.84</v>
      </c>
      <c r="E103" s="68">
        <v>0.41</v>
      </c>
      <c r="F103" s="68">
        <v>0.46</v>
      </c>
      <c r="G103" s="68">
        <v>-19.65</v>
      </c>
      <c r="H103" s="68">
        <v>394.88</v>
      </c>
      <c r="I103" s="68">
        <v>371.66</v>
      </c>
      <c r="J103" s="1"/>
    </row>
    <row r="104">
      <c r="A104" s="1"/>
      <c r="B104" s="92">
        <v>45900</v>
      </c>
      <c r="C104" s="77">
        <v>45939</v>
      </c>
      <c r="D104" s="68">
        <v>0.53</v>
      </c>
      <c r="E104" s="68">
        <v>0.59</v>
      </c>
      <c r="F104" s="68">
        <v>0.27</v>
      </c>
      <c r="G104" s="68">
        <v>-13.44</v>
      </c>
      <c r="H104" s="68">
        <v>417.7</v>
      </c>
      <c r="I104" s="68">
        <v>431.78</v>
      </c>
      <c r="J104" s="1"/>
    </row>
    <row r="105">
      <c r="A105" s="1"/>
      <c r="B105" s="92">
        <v>45991</v>
      </c>
      <c r="C105" s="77">
        <v>46030</v>
      </c>
      <c r="D105" s="68">
        <v>1.68</v>
      </c>
      <c r="E105" s="68">
        <v>1.71</v>
      </c>
      <c r="F105" s="68">
        <v>1.36</v>
      </c>
      <c r="G105" s="68">
        <v>-3.65</v>
      </c>
      <c r="H105" s="68">
        <v>502.17</v>
      </c>
      <c r="I105" s="68">
        <v>512.83</v>
      </c>
      <c r="J105" s="1"/>
    </row>
    <row r="106">
      <c r="A106" s="1"/>
      <c r="B106" s="92">
        <v>46081</v>
      </c>
      <c r="C106" s="77">
        <v>46135</v>
      </c>
      <c r="D106" s="68">
        <v>0.7</v>
      </c>
      <c r="E106" s="68">
        <v>0.83</v>
      </c>
      <c r="F106" s="68">
        <v>0.44</v>
      </c>
      <c r="G106" s="68">
        <v>-2.41</v>
      </c>
      <c r="H106" s="68">
        <v>450.38</v>
      </c>
      <c r="I106" s="68">
        <v>470.03</v>
      </c>
      <c r="J106" s="1"/>
    </row>
    <row r="107">
      <c r="A107" s="1"/>
      <c r="B107" s="92">
        <v>46173</v>
      </c>
      <c r="C107" s="77">
        <v>46211</v>
      </c>
      <c r="D107" s="68">
        <v>0.02</v>
      </c>
      <c r="E107" s="68">
        <v>0.17</v>
      </c>
      <c r="F107" s="68">
        <v>-0.22</v>
      </c>
      <c r="G107" s="68">
        <v>1.51</v>
      </c>
      <c r="H107" s="68">
        <v>374.55</v>
      </c>
      <c r="I107" s="68">
        <v>402.12</v>
      </c>
      <c r="J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>
      <c r="A109" s="1"/>
      <c r="B109" s="16" t="s">
        <v>742</v>
      </c>
      <c r="C109" s="1"/>
      <c r="D109" s="1"/>
      <c r="E109" s="1"/>
      <c r="F109" s="1"/>
      <c r="G109" s="1"/>
      <c r="H109" s="1"/>
      <c r="I109" s="1"/>
      <c r="J109" s="1"/>
    </row>
    <row r="110" ht="42">
      <c r="A110" s="1"/>
      <c r="B110" s="34" t="s">
        <v>5</v>
      </c>
      <c r="C110" s="2" t="s">
        <v>468</v>
      </c>
      <c r="D110" s="2" t="s">
        <v>743</v>
      </c>
      <c r="E110" s="2" t="s">
        <v>744</v>
      </c>
      <c r="F110" s="2" t="s">
        <v>745</v>
      </c>
      <c r="G110" s="2" t="s">
        <v>746</v>
      </c>
      <c r="H110" s="2"/>
      <c r="I110" s="2"/>
      <c r="J110" s="1"/>
    </row>
    <row r="111">
      <c r="A111" s="1"/>
      <c r="B111" s="93">
        <f>B102</f>
        <v>45716</v>
      </c>
      <c r="C111" s="74">
        <f>E102</f>
        <v>2.33</v>
      </c>
      <c r="D111" s="74">
        <f>D102</f>
        <v>2.38</v>
      </c>
      <c r="E111" s="74">
        <f>C111-D111</f>
        <v>-0.04999999999999982</v>
      </c>
      <c r="F111" s="73">
        <f>IF(C111&gt;D111,1,0)</f>
        <v>0</v>
      </c>
      <c r="G111" s="73">
        <f>IF(AND(ISNUMBER(C111),ISNUMBER(D111)),1,0)</f>
        <v>1</v>
      </c>
      <c r="H111" s="1"/>
      <c r="I111" s="1"/>
      <c r="J111" s="1"/>
    </row>
    <row r="112">
      <c r="A112" s="1"/>
      <c r="B112" s="93">
        <f>B103</f>
        <v>45808</v>
      </c>
      <c r="C112" s="74">
        <f>E103</f>
        <v>0.41</v>
      </c>
      <c r="D112" s="74">
        <f>D103</f>
        <v>0.84</v>
      </c>
      <c r="E112" s="74">
        <f>C112-D112</f>
        <v>-0.43</v>
      </c>
      <c r="F112" s="73">
        <f>IF(C112&gt;D112,1,0)</f>
        <v>0</v>
      </c>
      <c r="G112" s="73">
        <f>IF(AND(ISNUMBER(C112),ISNUMBER(D112)),1,0)</f>
        <v>1</v>
      </c>
      <c r="H112" s="1"/>
      <c r="I112" s="1"/>
      <c r="J112" s="1"/>
    </row>
    <row r="113">
      <c r="A113" s="1"/>
      <c r="B113" s="93">
        <f>B104</f>
        <v>45900</v>
      </c>
      <c r="C113" s="74">
        <f>E104</f>
        <v>0.59</v>
      </c>
      <c r="D113" s="74">
        <f>D104</f>
        <v>0.53</v>
      </c>
      <c r="E113" s="74">
        <f>C113-D113</f>
        <v>0.05999999999999994</v>
      </c>
      <c r="F113" s="73">
        <f>IF(C113&gt;D113,1,0)</f>
        <v>1</v>
      </c>
      <c r="G113" s="73">
        <f>IF(AND(ISNUMBER(C113),ISNUMBER(D113)),1,0)</f>
        <v>1</v>
      </c>
      <c r="H113" s="1"/>
      <c r="I113" s="1"/>
      <c r="J113" s="1"/>
    </row>
    <row r="114">
      <c r="A114" s="1"/>
      <c r="B114" s="93">
        <f>B105</f>
        <v>45991</v>
      </c>
      <c r="C114" s="74">
        <f>E105</f>
        <v>1.71</v>
      </c>
      <c r="D114" s="74">
        <f>D105</f>
        <v>1.68</v>
      </c>
      <c r="E114" s="74">
        <f>C114-D114</f>
        <v>0.030000000000000027</v>
      </c>
      <c r="F114" s="73">
        <f>IF(C114&gt;D114,1,0)</f>
        <v>1</v>
      </c>
      <c r="G114" s="73">
        <f>IF(AND(ISNUMBER(C114),ISNUMBER(D114)),1,0)</f>
        <v>1</v>
      </c>
      <c r="H114" s="1"/>
      <c r="I114" s="1"/>
      <c r="J114" s="1"/>
    </row>
    <row r="115">
      <c r="A115" s="1"/>
      <c r="B115" s="93">
        <f>B106</f>
        <v>46081</v>
      </c>
      <c r="C115" s="74">
        <f>E106</f>
        <v>0.83</v>
      </c>
      <c r="D115" s="74">
        <f>D106</f>
        <v>0.7</v>
      </c>
      <c r="E115" s="74">
        <f>C115-D115</f>
        <v>0.13</v>
      </c>
      <c r="F115" s="73">
        <f>IF(C115&gt;D115,1,0)</f>
        <v>1</v>
      </c>
      <c r="G115" s="73">
        <f>IF(AND(ISNUMBER(C115),ISNUMBER(D115)),1,0)</f>
        <v>1</v>
      </c>
      <c r="H115" s="1"/>
      <c r="I115" s="1"/>
      <c r="J115" s="1"/>
    </row>
    <row r="116">
      <c r="A116" s="1"/>
      <c r="B116" s="93">
        <f>B107</f>
        <v>46173</v>
      </c>
      <c r="C116" s="74">
        <f>E107</f>
        <v>0.17</v>
      </c>
      <c r="D116" s="74">
        <f>D107</f>
        <v>0.02</v>
      </c>
      <c r="E116" s="74">
        <f>C116-D116</f>
        <v>0.15000000000000002</v>
      </c>
      <c r="F116" s="73">
        <f>IF(C116&gt;D116,1,0)</f>
        <v>1</v>
      </c>
      <c r="G116" s="73">
        <f>IF(AND(ISNUMBER(C116),ISNUMBER(D116)),1,0)</f>
        <v>1</v>
      </c>
      <c r="H116" s="1"/>
      <c r="I116" s="1"/>
      <c r="J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>
      <c r="A118" s="1"/>
      <c r="B118" s="16" t="s">
        <v>747</v>
      </c>
      <c r="C118" s="1"/>
      <c r="D118" s="1"/>
      <c r="E118" s="1"/>
      <c r="F118" s="1"/>
      <c r="G118" s="1"/>
      <c r="H118" s="1"/>
      <c r="I118" s="1"/>
      <c r="J118" s="1"/>
    </row>
    <row r="119">
      <c r="A119" s="1"/>
      <c r="B119" s="1" t="s">
        <v>748</v>
      </c>
      <c r="C119" s="9">
        <f>C93</f>
        <v>26.74</v>
      </c>
      <c r="D119" s="1"/>
      <c r="E119" s="1"/>
      <c r="F119" s="1"/>
      <c r="G119" s="1"/>
      <c r="H119" s="1"/>
      <c r="I119" s="1"/>
      <c r="J119" s="1" t="s">
        <v>749</v>
      </c>
    </row>
    <row r="120">
      <c r="A120" s="1"/>
      <c r="B120" s="1" t="s">
        <v>750</v>
      </c>
      <c r="C120" s="13">
        <v>23.292061</v>
      </c>
      <c r="D120" s="1"/>
      <c r="E120" s="1"/>
      <c r="F120" s="1"/>
      <c r="G120" s="1"/>
      <c r="H120" s="1"/>
      <c r="I120" s="1"/>
      <c r="J120" s="1" t="s">
        <v>751</v>
      </c>
    </row>
    <row r="121">
      <c r="A121" s="1"/>
      <c r="B121" s="1" t="s">
        <v>752</v>
      </c>
      <c r="C121" s="8">
        <f>C119*C120</f>
        <v>622.82971114</v>
      </c>
      <c r="D121" s="1"/>
      <c r="E121" s="1"/>
      <c r="F121" s="1"/>
      <c r="G121" s="1"/>
      <c r="H121" s="1"/>
      <c r="I121" s="1"/>
      <c r="J121" s="1" t="s">
        <v>753</v>
      </c>
    </row>
    <row r="122">
      <c r="A122" s="1"/>
      <c r="B122" s="1" t="s">
        <v>754</v>
      </c>
      <c r="C122" s="69" t="str">
        <f>IF(C121&lt;2000,"small",IF(C121&lt;10000,"mid","large"))</f>
        <v>small</v>
      </c>
      <c r="D122" s="1"/>
      <c r="E122" s="1"/>
      <c r="F122" s="1"/>
      <c r="G122" s="1"/>
      <c r="H122" s="1"/>
      <c r="I122" s="1"/>
      <c r="J122" s="1" t="s">
        <v>755</v>
      </c>
    </row>
    <row r="123">
      <c r="A123" s="1"/>
      <c r="B123" s="1" t="s">
        <v>756</v>
      </c>
      <c r="C123" s="69" t="str">
        <f>C32</f>
        <v>N</v>
      </c>
      <c r="D123" s="1"/>
      <c r="E123" s="1"/>
      <c r="F123" s="1"/>
      <c r="G123" s="1"/>
      <c r="H123" s="1"/>
      <c r="I123" s="1"/>
      <c r="J123" s="1" t="s">
        <v>757</v>
      </c>
    </row>
    <row r="124">
      <c r="A124" s="1"/>
      <c r="B124" s="72" t="s">
        <v>758</v>
      </c>
      <c r="C124" s="3">
        <f>IF(OR(C123="Y",C122="large"),0.78,IF(C122="mid",0.70,0.60))</f>
        <v>0.6</v>
      </c>
      <c r="D124" s="1"/>
      <c r="E124" s="1"/>
      <c r="F124" s="1"/>
      <c r="G124" s="1"/>
      <c r="H124" s="1"/>
      <c r="I124" s="1"/>
      <c r="J124" s="1" t="s">
        <v>759</v>
      </c>
    </row>
    <row r="125">
      <c r="A125" s="1"/>
      <c r="B125" s="1" t="s">
        <v>760</v>
      </c>
      <c r="C125" s="65">
        <f>SUM(F111:F116)</f>
        <v>4</v>
      </c>
      <c r="D125" s="1"/>
      <c r="E125" s="1"/>
      <c r="F125" s="1"/>
      <c r="G125" s="1"/>
      <c r="H125" s="1"/>
      <c r="I125" s="1"/>
      <c r="J125" s="1"/>
    </row>
    <row r="126">
      <c r="A126" s="1"/>
      <c r="B126" s="1" t="s">
        <v>761</v>
      </c>
      <c r="C126" s="65">
        <f>SUM(G111:G116)</f>
        <v>6</v>
      </c>
      <c r="D126" s="1"/>
      <c r="E126" s="1"/>
      <c r="F126" s="1"/>
      <c r="G126" s="1"/>
      <c r="H126" s="1"/>
      <c r="I126" s="1"/>
      <c r="J126" s="1"/>
    </row>
    <row r="127">
      <c r="A127" s="1"/>
      <c r="B127" s="1" t="s">
        <v>762</v>
      </c>
      <c r="C127" s="78">
        <v>8</v>
      </c>
      <c r="D127" s="1"/>
      <c r="E127" s="1"/>
      <c r="F127" s="1"/>
      <c r="G127" s="1"/>
      <c r="H127" s="1"/>
      <c r="I127" s="1"/>
      <c r="J127" s="1"/>
    </row>
    <row r="128">
      <c r="A128" s="1"/>
      <c r="B128" s="72" t="s">
        <v>763</v>
      </c>
      <c r="C128" s="3">
        <f>(C127*C124+C125)/(C127+C126)</f>
        <v>0.6285714285714287</v>
      </c>
      <c r="D128" s="1"/>
      <c r="E128" s="1"/>
      <c r="F128" s="1"/>
      <c r="G128" s="1"/>
      <c r="H128" s="1"/>
      <c r="I128" s="1"/>
      <c r="J128" s="1"/>
    </row>
    <row r="129">
      <c r="A129" s="1"/>
      <c r="B129" s="72" t="s">
        <v>764</v>
      </c>
      <c r="C129" s="57">
        <v>0.03</v>
      </c>
      <c r="D129" s="1"/>
      <c r="E129" s="1"/>
      <c r="F129" s="1"/>
      <c r="G129" s="1"/>
      <c r="H129" s="1"/>
      <c r="I129" s="1"/>
      <c r="J129" s="1" t="s">
        <v>765</v>
      </c>
    </row>
    <row r="130">
      <c r="A130" s="1"/>
      <c r="B130" s="72" t="s">
        <v>766</v>
      </c>
      <c r="C130" s="57">
        <v>0.04</v>
      </c>
      <c r="D130" s="1"/>
      <c r="E130" s="1"/>
      <c r="F130" s="1"/>
      <c r="G130" s="1"/>
      <c r="H130" s="1"/>
      <c r="I130" s="1"/>
      <c r="J130" s="1" t="s">
        <v>767</v>
      </c>
    </row>
    <row r="131">
      <c r="A131" s="1"/>
      <c r="B131" s="72" t="s">
        <v>768</v>
      </c>
      <c r="C131" s="57">
        <v>-0.02</v>
      </c>
      <c r="D131" s="1"/>
      <c r="E131" s="1"/>
      <c r="F131" s="1"/>
      <c r="G131" s="1"/>
      <c r="H131" s="1"/>
      <c r="I131" s="1"/>
      <c r="J131" s="1" t="s">
        <v>769</v>
      </c>
    </row>
    <row r="132">
      <c r="A132" s="1"/>
      <c r="B132" s="72" t="s">
        <v>770</v>
      </c>
      <c r="C132" s="57">
        <v>0</v>
      </c>
      <c r="D132" s="1"/>
      <c r="E132" s="1"/>
      <c r="F132" s="1"/>
      <c r="G132" s="1"/>
      <c r="H132" s="1"/>
      <c r="I132" s="1"/>
      <c r="J132" s="1" t="s">
        <v>771</v>
      </c>
    </row>
    <row r="133">
      <c r="A133" s="1"/>
      <c r="B133" s="80" t="s">
        <v>772</v>
      </c>
      <c r="C133" s="79">
        <f>ROUND(C128+SUM(C129:C132),2)</f>
        <v>0.68</v>
      </c>
      <c r="D133" s="1"/>
      <c r="E133" s="1"/>
      <c r="F133" s="1"/>
      <c r="G133" s="1"/>
      <c r="H133" s="1"/>
      <c r="I133" s="1"/>
      <c r="J133" s="1"/>
    </row>
    <row r="134">
      <c r="A134" s="1"/>
      <c r="B134" s="1" t="s">
        <v>50</v>
      </c>
      <c r="C134" s="69" t="s">
        <v>773</v>
      </c>
      <c r="D134" s="1"/>
      <c r="E134" s="1"/>
      <c r="F134" s="1"/>
      <c r="G134" s="1"/>
      <c r="H134" s="1"/>
      <c r="I134" s="1"/>
      <c r="J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>
      <c r="A136" s="1"/>
      <c r="B136" s="16" t="s">
        <v>774</v>
      </c>
      <c r="C136" s="1"/>
      <c r="D136" s="1"/>
      <c r="E136" s="1"/>
      <c r="F136" s="1"/>
      <c r="G136" s="1"/>
      <c r="H136" s="1"/>
      <c r="I136" s="1"/>
      <c r="J136" s="1"/>
    </row>
    <row r="137">
      <c r="A137" s="1"/>
      <c r="B137" s="1" t="s">
        <v>64</v>
      </c>
      <c r="C137" s="37">
        <v>177.983</v>
      </c>
      <c r="D137" s="1"/>
      <c r="E137" s="1"/>
      <c r="F137" s="1"/>
      <c r="G137" s="1"/>
      <c r="H137" s="1"/>
      <c r="I137" s="1"/>
      <c r="J137" s="1" t="s">
        <v>775</v>
      </c>
    </row>
    <row r="138">
      <c r="A138" s="1"/>
      <c r="B138" s="1" t="s">
        <v>76</v>
      </c>
      <c r="C138" s="37">
        <v>193.672</v>
      </c>
      <c r="D138" s="1"/>
      <c r="E138" s="1"/>
      <c r="F138" s="1"/>
      <c r="G138" s="1"/>
      <c r="H138" s="1"/>
      <c r="I138" s="1"/>
      <c r="J138" s="1" t="s">
        <v>775</v>
      </c>
    </row>
    <row r="139">
      <c r="A139" s="1"/>
      <c r="B139" s="1" t="s">
        <v>78</v>
      </c>
      <c r="C139" s="37">
        <v>371.655</v>
      </c>
      <c r="D139" s="1"/>
      <c r="E139" s="1"/>
      <c r="F139" s="1"/>
      <c r="G139" s="1"/>
      <c r="H139" s="1"/>
      <c r="I139" s="1"/>
      <c r="J139" s="1" t="s">
        <v>775</v>
      </c>
    </row>
    <row r="140">
      <c r="A140" s="1"/>
      <c r="B140" s="1" t="s">
        <v>776</v>
      </c>
      <c r="C140" s="37">
        <v>8.86</v>
      </c>
      <c r="D140" s="1"/>
      <c r="E140" s="1"/>
      <c r="F140" s="1"/>
      <c r="G140" s="1"/>
      <c r="H140" s="1"/>
      <c r="I140" s="1"/>
      <c r="J140" s="1" t="s">
        <v>775</v>
      </c>
    </row>
    <row r="141">
      <c r="A141" s="1"/>
      <c r="B141" s="1" t="s">
        <v>777</v>
      </c>
      <c r="C141" s="37">
        <v>7.256</v>
      </c>
      <c r="D141" s="1"/>
      <c r="E141" s="1"/>
      <c r="F141" s="1"/>
      <c r="G141" s="1"/>
      <c r="H141" s="1"/>
      <c r="I141" s="1"/>
      <c r="J141" s="1" t="s">
        <v>775</v>
      </c>
    </row>
    <row r="142">
      <c r="A142" s="1"/>
      <c r="B142" s="1" t="s">
        <v>183</v>
      </c>
      <c r="C142" s="37">
        <v>175.011</v>
      </c>
      <c r="D142" s="1"/>
      <c r="E142" s="1"/>
      <c r="F142" s="1"/>
      <c r="G142" s="1"/>
      <c r="H142" s="1"/>
      <c r="I142" s="1"/>
      <c r="J142" s="1" t="s">
        <v>775</v>
      </c>
    </row>
    <row r="143">
      <c r="A143" s="1"/>
      <c r="B143" s="1" t="s">
        <v>197</v>
      </c>
      <c r="C143" s="37">
        <v>-407.038</v>
      </c>
      <c r="D143" s="1"/>
      <c r="E143" s="1"/>
      <c r="F143" s="1"/>
      <c r="G143" s="1"/>
      <c r="H143" s="1"/>
      <c r="I143" s="1"/>
      <c r="J143" s="1" t="s">
        <v>775</v>
      </c>
    </row>
    <row r="144">
      <c r="A144" s="1"/>
      <c r="B144" s="1" t="s">
        <v>778</v>
      </c>
      <c r="C144" s="8">
        <f>C157</f>
        <v>-450.718</v>
      </c>
      <c r="D144" s="1"/>
      <c r="E144" s="1"/>
      <c r="F144" s="1"/>
      <c r="G144" s="1"/>
      <c r="H144" s="1"/>
      <c r="I144" s="1"/>
      <c r="J144" s="1" t="s">
        <v>775</v>
      </c>
    </row>
    <row r="145">
      <c r="A145" s="1"/>
      <c r="B145" s="1" t="s">
        <v>428</v>
      </c>
      <c r="C145" s="37">
        <v>277.96</v>
      </c>
      <c r="D145" s="1"/>
      <c r="E145" s="1"/>
      <c r="F145" s="1"/>
      <c r="G145" s="1"/>
      <c r="H145" s="1"/>
      <c r="I145" s="1"/>
      <c r="J145" s="1" t="s">
        <v>775</v>
      </c>
    </row>
    <row r="146">
      <c r="A146" s="1"/>
      <c r="B146" s="1" t="s">
        <v>424</v>
      </c>
      <c r="C146" s="37">
        <v>93.695</v>
      </c>
      <c r="D146" s="1"/>
      <c r="E146" s="1"/>
      <c r="F146" s="1"/>
      <c r="G146" s="1"/>
      <c r="H146" s="1"/>
      <c r="I146" s="1"/>
      <c r="J146" s="1" t="s">
        <v>775</v>
      </c>
    </row>
    <row r="147">
      <c r="A147" s="1"/>
      <c r="B147" s="1" t="s">
        <v>230</v>
      </c>
      <c r="C147" s="13">
        <v>22.943</v>
      </c>
      <c r="D147" s="1"/>
      <c r="E147" s="1"/>
      <c r="F147" s="1"/>
      <c r="G147" s="1"/>
      <c r="H147" s="1"/>
      <c r="I147" s="1"/>
      <c r="J147" s="1" t="s">
        <v>775</v>
      </c>
    </row>
    <row r="148">
      <c r="A148" s="1"/>
      <c r="B148" s="1" t="s">
        <v>213</v>
      </c>
      <c r="C148" s="37">
        <v>-420.538</v>
      </c>
      <c r="D148" s="1"/>
      <c r="E148" s="1"/>
      <c r="F148" s="1"/>
      <c r="G148" s="1"/>
      <c r="H148" s="1"/>
      <c r="I148" s="1"/>
      <c r="J148" s="1" t="s">
        <v>775</v>
      </c>
    </row>
    <row r="149">
      <c r="A149" s="1"/>
      <c r="B149" s="1" t="s">
        <v>779</v>
      </c>
      <c r="C149" s="37">
        <v>30.18</v>
      </c>
      <c r="D149" s="1"/>
      <c r="E149" s="1"/>
      <c r="F149" s="1"/>
      <c r="G149" s="1"/>
      <c r="H149" s="1"/>
      <c r="I149" s="1"/>
      <c r="J149" s="1" t="s">
        <v>775</v>
      </c>
    </row>
    <row r="150" ht="33">
      <c r="A150" s="1"/>
      <c r="B150" s="1" t="s">
        <v>209</v>
      </c>
      <c r="C150" s="37">
        <v>13.808</v>
      </c>
      <c r="D150" s="1"/>
      <c r="E150" s="1"/>
      <c r="F150" s="1"/>
      <c r="G150" s="1"/>
      <c r="H150" s="1"/>
      <c r="I150" s="1"/>
      <c r="J150" s="1" t="s">
        <v>775</v>
      </c>
    </row>
    <row r="151">
      <c r="A151" s="1"/>
      <c r="B151" s="1" t="s">
        <v>780</v>
      </c>
      <c r="C151" s="37">
        <v>9.487</v>
      </c>
      <c r="D151" s="1"/>
      <c r="E151" s="1"/>
      <c r="F151" s="1"/>
      <c r="G151" s="1"/>
      <c r="H151" s="1"/>
      <c r="I151" s="1"/>
      <c r="J151" s="1" t="s">
        <v>775</v>
      </c>
    </row>
    <row r="152">
      <c r="A152" s="1"/>
      <c r="B152" s="1" t="s">
        <v>248</v>
      </c>
      <c r="C152" s="37">
        <v>2.616</v>
      </c>
      <c r="D152" s="1"/>
      <c r="E152" s="1"/>
      <c r="F152" s="1"/>
      <c r="G152" s="1"/>
      <c r="H152" s="1"/>
      <c r="I152" s="1"/>
      <c r="J152" s="1" t="s">
        <v>775</v>
      </c>
    </row>
    <row r="153">
      <c r="A153" s="1"/>
      <c r="B153" s="1" t="s">
        <v>260</v>
      </c>
      <c r="C153" s="37">
        <v>-6.871</v>
      </c>
      <c r="D153" s="1"/>
      <c r="E153" s="1"/>
      <c r="F153" s="1"/>
      <c r="G153" s="1"/>
      <c r="H153" s="1"/>
      <c r="I153" s="1"/>
      <c r="J153" s="1" t="s">
        <v>775</v>
      </c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>
      <c r="A155" s="1"/>
      <c r="B155" s="16" t="s">
        <v>781</v>
      </c>
      <c r="C155" s="1"/>
      <c r="D155" s="1"/>
      <c r="E155" s="1"/>
      <c r="F155" s="1"/>
      <c r="G155" s="1"/>
      <c r="H155" s="1"/>
      <c r="I155" s="1"/>
      <c r="J155" s="1"/>
    </row>
    <row r="156" ht="42">
      <c r="A156" s="1"/>
      <c r="B156" s="34" t="s">
        <v>782</v>
      </c>
      <c r="C156" s="2" t="s">
        <v>783</v>
      </c>
      <c r="D156" s="2" t="s">
        <v>784</v>
      </c>
      <c r="E156" s="2" t="s">
        <v>785</v>
      </c>
      <c r="F156" s="2" t="s">
        <v>786</v>
      </c>
      <c r="G156" s="2" t="s">
        <v>787</v>
      </c>
      <c r="H156" s="2"/>
      <c r="I156" s="2"/>
      <c r="J156" s="1"/>
    </row>
    <row r="157">
      <c r="A157" s="1"/>
      <c r="B157" s="1" t="s">
        <v>778</v>
      </c>
      <c r="C157" s="37">
        <v>-450.718</v>
      </c>
      <c r="D157" s="37">
        <v>-759.361</v>
      </c>
      <c r="E157" s="37">
        <v>-843.417</v>
      </c>
      <c r="F157" s="37">
        <v>-898.982</v>
      </c>
      <c r="G157" s="37">
        <v>35.762</v>
      </c>
      <c r="H157" s="8"/>
      <c r="I157" s="1"/>
      <c r="J157" s="1" t="s">
        <v>788</v>
      </c>
    </row>
    <row r="158">
      <c r="A158" s="1"/>
      <c r="B158" s="1" t="s">
        <v>789</v>
      </c>
      <c r="C158" s="37">
        <v>14.084</v>
      </c>
      <c r="D158" s="37">
        <v>26.944</v>
      </c>
      <c r="E158" s="37">
        <v>39.781</v>
      </c>
      <c r="F158" s="37">
        <v>53.295</v>
      </c>
      <c r="G158" s="37">
        <v>13.377</v>
      </c>
      <c r="H158" s="8"/>
      <c r="I158" s="1"/>
      <c r="J158" s="1"/>
    </row>
    <row r="159">
      <c r="A159" s="1"/>
      <c r="B159" s="1" t="s">
        <v>790</v>
      </c>
      <c r="C159" s="37">
        <v>0.369</v>
      </c>
      <c r="D159" s="37">
        <v>0.764</v>
      </c>
      <c r="E159" s="37">
        <v>1.159</v>
      </c>
      <c r="F159" s="37">
        <v>1.564</v>
      </c>
      <c r="G159" s="37">
        <v>0.406</v>
      </c>
      <c r="H159" s="8"/>
      <c r="I159" s="1"/>
      <c r="J159" s="1"/>
    </row>
    <row r="160">
      <c r="A160" s="1"/>
      <c r="B160" s="1" t="s">
        <v>791</v>
      </c>
      <c r="C160" s="37">
        <v>2.189</v>
      </c>
      <c r="D160" s="37">
        <v>4.336</v>
      </c>
      <c r="E160" s="37">
        <v>6.77</v>
      </c>
      <c r="F160" s="37">
        <v>9.2</v>
      </c>
      <c r="G160" s="37">
        <v>3.344</v>
      </c>
      <c r="H160" s="8"/>
      <c r="I160" s="1"/>
      <c r="J160" s="1"/>
    </row>
    <row r="161">
      <c r="A161" s="1"/>
      <c r="B161" s="1" t="s">
        <v>792</v>
      </c>
      <c r="C161" s="37">
        <v>0.621</v>
      </c>
      <c r="D161" s="37">
        <v>0.342</v>
      </c>
      <c r="E161" s="37">
        <v>0.194</v>
      </c>
      <c r="F161" s="37">
        <v>0.634</v>
      </c>
      <c r="G161" s="37">
        <v>1.198</v>
      </c>
      <c r="H161" s="8"/>
      <c r="I161" s="1"/>
      <c r="J161" s="1"/>
    </row>
    <row r="162">
      <c r="A162" s="1"/>
      <c r="B162" s="1" t="s">
        <v>793</v>
      </c>
      <c r="C162" s="37">
        <v>0.296</v>
      </c>
      <c r="D162" s="37">
        <v>9.668</v>
      </c>
      <c r="E162" s="37">
        <v>14.698</v>
      </c>
      <c r="F162" s="37">
        <v>16.885</v>
      </c>
      <c r="G162" s="37">
        <v>6.437</v>
      </c>
      <c r="H162" s="8"/>
      <c r="I162" s="1"/>
      <c r="J162" s="1"/>
    </row>
    <row r="163">
      <c r="A163" s="1"/>
      <c r="B163" s="1" t="s">
        <v>194</v>
      </c>
      <c r="C163" s="37">
        <v>414.385</v>
      </c>
      <c r="D163" s="37">
        <v>740.779</v>
      </c>
      <c r="E163" s="37">
        <v>806.685</v>
      </c>
      <c r="F163" s="37">
        <v>885.861</v>
      </c>
      <c r="G163" s="37">
        <v>0</v>
      </c>
      <c r="H163" s="8"/>
      <c r="I163" s="1"/>
      <c r="J163" s="1"/>
    </row>
    <row r="164">
      <c r="A164" s="1"/>
      <c r="B164" s="1" t="s">
        <v>794</v>
      </c>
      <c r="C164" s="37">
        <v>0</v>
      </c>
      <c r="D164" s="37">
        <v>0</v>
      </c>
      <c r="E164" s="37">
        <v>0.855</v>
      </c>
      <c r="F164" s="37">
        <v>0.855</v>
      </c>
      <c r="G164" s="37">
        <v>0</v>
      </c>
      <c r="H164" s="8"/>
      <c r="I164" s="1"/>
      <c r="J164" s="1" t="s">
        <v>795</v>
      </c>
    </row>
    <row r="165">
      <c r="A165" s="1"/>
      <c r="B165" s="1" t="s">
        <v>796</v>
      </c>
      <c r="C165" s="37">
        <v>0</v>
      </c>
      <c r="D165" s="37">
        <v>0</v>
      </c>
      <c r="E165" s="37">
        <v>0</v>
      </c>
      <c r="F165" s="37">
        <v>0</v>
      </c>
      <c r="G165" s="37">
        <v>-54.854</v>
      </c>
      <c r="H165" s="8"/>
      <c r="I165" s="1"/>
      <c r="J165" s="1"/>
    </row>
    <row r="166">
      <c r="A166" s="1"/>
      <c r="B166" s="1" t="s">
        <v>797</v>
      </c>
      <c r="C166" s="37">
        <v>-0.039</v>
      </c>
      <c r="D166" s="37">
        <v>-0.075</v>
      </c>
      <c r="E166" s="37">
        <v>-0.217</v>
      </c>
      <c r="F166" s="37">
        <v>-0.286</v>
      </c>
      <c r="G166" s="37">
        <v>-0.032</v>
      </c>
      <c r="H166" s="8"/>
      <c r="I166" s="1"/>
      <c r="J166" s="1"/>
    </row>
    <row r="167">
      <c r="A167" s="1"/>
      <c r="B167" s="1" t="s">
        <v>798</v>
      </c>
      <c r="C167" s="37">
        <v>-19.988</v>
      </c>
      <c r="D167" s="37">
        <v>-25.77</v>
      </c>
      <c r="E167" s="37">
        <v>45.304</v>
      </c>
      <c r="F167" s="37">
        <v>38.009</v>
      </c>
      <c r="G167" s="37">
        <v>4.346</v>
      </c>
      <c r="H167" s="8"/>
      <c r="I167" s="1"/>
      <c r="J167" s="1"/>
    </row>
    <row r="168">
      <c r="A168" s="1"/>
      <c r="B168" s="1" t="s">
        <v>799</v>
      </c>
      <c r="C168" s="37">
        <v>114.092</v>
      </c>
      <c r="D168" s="37">
        <v>77.353</v>
      </c>
      <c r="E168" s="37">
        <v>-6.239</v>
      </c>
      <c r="F168" s="37">
        <v>67.949</v>
      </c>
      <c r="G168" s="37">
        <v>34.405</v>
      </c>
      <c r="H168" s="8"/>
      <c r="I168" s="1"/>
      <c r="J168" s="1"/>
    </row>
    <row r="169">
      <c r="A169" s="1"/>
      <c r="B169" s="1" t="s">
        <v>800</v>
      </c>
      <c r="C169" s="37">
        <v>-31.512</v>
      </c>
      <c r="D169" s="37">
        <v>-76.278</v>
      </c>
      <c r="E169" s="37">
        <v>-52.65</v>
      </c>
      <c r="F169" s="37">
        <v>-3.197</v>
      </c>
      <c r="G169" s="37">
        <v>-11.583</v>
      </c>
      <c r="H169" s="8"/>
      <c r="I169" s="1"/>
      <c r="J169" s="1"/>
    </row>
    <row r="170">
      <c r="A170" s="1"/>
      <c r="B170" s="1" t="s">
        <v>801</v>
      </c>
      <c r="C170" s="37">
        <v>-1.777</v>
      </c>
      <c r="D170" s="37">
        <v>-8.006</v>
      </c>
      <c r="E170" s="37">
        <v>-6.615</v>
      </c>
      <c r="F170" s="37">
        <v>-3.968</v>
      </c>
      <c r="G170" s="37">
        <v>-9.132</v>
      </c>
      <c r="H170" s="8"/>
      <c r="I170" s="1"/>
      <c r="J170" s="1"/>
    </row>
    <row r="171">
      <c r="A171" s="1"/>
      <c r="B171" s="1" t="s">
        <v>802</v>
      </c>
      <c r="C171" s="37">
        <v>-0.271</v>
      </c>
      <c r="D171" s="37">
        <v>-1.756</v>
      </c>
      <c r="E171" s="37">
        <v>-1.839</v>
      </c>
      <c r="F171" s="37">
        <v>-0.345</v>
      </c>
      <c r="G171" s="37">
        <v>0.084</v>
      </c>
      <c r="H171" s="8"/>
      <c r="I171" s="1"/>
      <c r="J171" s="1"/>
    </row>
    <row r="172">
      <c r="A172" s="1"/>
      <c r="B172" s="1" t="s">
        <v>803</v>
      </c>
      <c r="C172" s="37">
        <v>-42.372</v>
      </c>
      <c r="D172" s="37">
        <v>11.723</v>
      </c>
      <c r="E172" s="37">
        <v>12.271</v>
      </c>
      <c r="F172" s="37">
        <v>-16.454</v>
      </c>
      <c r="G172" s="37">
        <v>-7.555</v>
      </c>
      <c r="H172" s="8"/>
      <c r="I172" s="1"/>
      <c r="J172" s="1"/>
    </row>
    <row r="173">
      <c r="A173" s="1"/>
      <c r="B173" s="1" t="s">
        <v>804</v>
      </c>
      <c r="C173" s="37">
        <v>15.019</v>
      </c>
      <c r="D173" s="37">
        <v>26.378</v>
      </c>
      <c r="E173" s="37">
        <v>44.76</v>
      </c>
      <c r="F173" s="37">
        <v>25.016</v>
      </c>
      <c r="G173" s="37">
        <v>-11.248</v>
      </c>
      <c r="H173" s="8"/>
      <c r="I173" s="1"/>
      <c r="J173" s="1"/>
    </row>
    <row r="174">
      <c r="A174" s="1"/>
      <c r="B174" s="1" t="s">
        <v>805</v>
      </c>
      <c r="C174" s="37">
        <v>43.96</v>
      </c>
      <c r="D174" s="37">
        <v>20.827</v>
      </c>
      <c r="E174" s="37">
        <v>-1.687</v>
      </c>
      <c r="F174" s="37">
        <v>-4.9</v>
      </c>
      <c r="G174" s="37">
        <v>-5.591</v>
      </c>
      <c r="H174" s="8"/>
      <c r="I174" s="1"/>
      <c r="J174" s="1"/>
    </row>
    <row r="175">
      <c r="A175" s="1"/>
      <c r="B175" s="1" t="s">
        <v>806</v>
      </c>
      <c r="C175" s="37">
        <v>-13.362</v>
      </c>
      <c r="D175" s="37">
        <v>-24.832</v>
      </c>
      <c r="E175" s="37">
        <v>-31.006</v>
      </c>
      <c r="F175" s="37">
        <v>-39.226</v>
      </c>
      <c r="G175" s="37">
        <v>-5.806</v>
      </c>
      <c r="H175" s="8"/>
      <c r="I175" s="1"/>
      <c r="J175" s="1"/>
    </row>
    <row r="176">
      <c r="A176" s="1"/>
      <c r="B176" s="1" t="s">
        <v>807</v>
      </c>
      <c r="C176" s="37">
        <v>3.88</v>
      </c>
      <c r="D176" s="37">
        <v>3.88</v>
      </c>
      <c r="E176" s="37">
        <v>3.88</v>
      </c>
      <c r="F176" s="37">
        <v>3.88</v>
      </c>
      <c r="G176" s="37">
        <v>0</v>
      </c>
      <c r="H176" s="8"/>
      <c r="I176" s="1"/>
      <c r="J176" s="1"/>
    </row>
    <row r="177">
      <c r="A177" s="1"/>
      <c r="B177" s="1" t="s">
        <v>808</v>
      </c>
      <c r="C177" s="37">
        <v>-0.687</v>
      </c>
      <c r="D177" s="37">
        <v>-1.387</v>
      </c>
      <c r="E177" s="37">
        <v>-2.092</v>
      </c>
      <c r="F177" s="37">
        <v>-2.156</v>
      </c>
      <c r="G177" s="37">
        <v>-0.724</v>
      </c>
      <c r="H177" s="8"/>
      <c r="I177" s="1"/>
      <c r="J177" s="1"/>
    </row>
    <row r="178">
      <c r="A178" s="1"/>
      <c r="B178" s="1" t="s">
        <v>809</v>
      </c>
      <c r="C178" s="37">
        <v>0.639</v>
      </c>
      <c r="D178" s="37">
        <v>1.275</v>
      </c>
      <c r="E178" s="37">
        <v>1.916</v>
      </c>
      <c r="F178" s="37">
        <v>2.56</v>
      </c>
      <c r="G178" s="37">
        <v>0.657</v>
      </c>
      <c r="H178" s="8"/>
      <c r="I178" s="1"/>
      <c r="J178" s="1"/>
    </row>
    <row r="179">
      <c r="A179" s="1"/>
      <c r="B179" s="1" t="s">
        <v>810</v>
      </c>
      <c r="C179" s="37">
        <v>0</v>
      </c>
      <c r="D179" s="37">
        <v>0</v>
      </c>
      <c r="E179" s="37">
        <v>0</v>
      </c>
      <c r="F179" s="37">
        <v>0</v>
      </c>
      <c r="G179" s="37">
        <v>78.16</v>
      </c>
      <c r="H179" s="8"/>
      <c r="I179" s="1"/>
      <c r="J179" s="1"/>
    </row>
    <row r="180">
      <c r="A180" s="1"/>
      <c r="B180" s="1" t="s">
        <v>811</v>
      </c>
      <c r="C180" s="37">
        <v>0.046</v>
      </c>
      <c r="D180" s="37">
        <v>0.089</v>
      </c>
      <c r="E180" s="37">
        <v>0.252</v>
      </c>
      <c r="F180" s="37">
        <v>0.349</v>
      </c>
      <c r="G180" s="37">
        <v>0.032</v>
      </c>
      <c r="H180" s="8"/>
      <c r="I180" s="1"/>
      <c r="J180" s="1"/>
    </row>
    <row r="181">
      <c r="A181" s="1"/>
      <c r="B181" s="1" t="s">
        <v>812</v>
      </c>
      <c r="C181" s="37">
        <v>0</v>
      </c>
      <c r="D181" s="37">
        <v>0</v>
      </c>
      <c r="E181" s="37">
        <v>0</v>
      </c>
      <c r="F181" s="37">
        <v>0.164</v>
      </c>
      <c r="G181" s="37">
        <v>0.164</v>
      </c>
      <c r="H181" s="8"/>
      <c r="I181" s="1"/>
      <c r="J181" s="1"/>
    </row>
    <row r="182">
      <c r="A182" s="1"/>
      <c r="B182" s="1" t="s">
        <v>813</v>
      </c>
      <c r="C182" s="37">
        <v>131.5</v>
      </c>
      <c r="D182" s="37">
        <v>317.2</v>
      </c>
      <c r="E182" s="37">
        <v>450.51</v>
      </c>
      <c r="F182" s="37">
        <v>566.35</v>
      </c>
      <c r="G182" s="37">
        <v>257.74</v>
      </c>
      <c r="H182" s="8"/>
      <c r="I182" s="1"/>
      <c r="J182" s="1"/>
    </row>
    <row r="183">
      <c r="A183" s="1"/>
      <c r="B183" s="1" t="s">
        <v>814</v>
      </c>
      <c r="C183" s="37">
        <v>-424.2</v>
      </c>
      <c r="D183" s="37">
        <v>-583.4</v>
      </c>
      <c r="E183" s="37">
        <v>-713.11</v>
      </c>
      <c r="F183" s="37">
        <v>-936.25</v>
      </c>
      <c r="G183" s="37">
        <v>-316.56</v>
      </c>
      <c r="H183" s="8"/>
      <c r="I183" s="1"/>
      <c r="J183" s="1"/>
    </row>
    <row r="184">
      <c r="A184" s="1"/>
      <c r="B184" s="1" t="s">
        <v>815</v>
      </c>
      <c r="C184" s="37">
        <v>250</v>
      </c>
      <c r="D184" s="37">
        <v>250</v>
      </c>
      <c r="E184" s="37">
        <v>250</v>
      </c>
      <c r="F184" s="37">
        <v>250</v>
      </c>
      <c r="G184" s="37">
        <v>0</v>
      </c>
      <c r="H184" s="8"/>
      <c r="I184" s="1"/>
      <c r="J184" s="1"/>
    </row>
    <row r="185">
      <c r="A185" s="1"/>
      <c r="B185" s="1" t="s">
        <v>816</v>
      </c>
      <c r="C185" s="37">
        <v>-2.344</v>
      </c>
      <c r="D185" s="37">
        <v>-7.031</v>
      </c>
      <c r="E185" s="37">
        <v>-11.719</v>
      </c>
      <c r="F185" s="37">
        <v>-16.406</v>
      </c>
      <c r="G185" s="37">
        <v>-6.25</v>
      </c>
      <c r="H185" s="8"/>
      <c r="I185" s="1"/>
      <c r="J185" s="1"/>
    </row>
    <row r="186">
      <c r="A186" s="1"/>
      <c r="B186" s="1" t="s">
        <v>817</v>
      </c>
      <c r="C186" s="37">
        <v>-0.434</v>
      </c>
      <c r="D186" s="37">
        <v>-0.434</v>
      </c>
      <c r="E186" s="37">
        <v>-1.392</v>
      </c>
      <c r="F186" s="37">
        <v>-1.392</v>
      </c>
      <c r="G186" s="37">
        <v>0</v>
      </c>
      <c r="H186" s="8"/>
      <c r="I186" s="1"/>
      <c r="J186" s="1"/>
    </row>
    <row r="187">
      <c r="A187" s="1"/>
      <c r="B187" s="1" t="s">
        <v>818</v>
      </c>
      <c r="C187" s="37">
        <v>0</v>
      </c>
      <c r="D187" s="37">
        <v>0</v>
      </c>
      <c r="E187" s="37">
        <v>0</v>
      </c>
      <c r="F187" s="37">
        <v>0</v>
      </c>
      <c r="G187" s="37">
        <v>-4.1</v>
      </c>
      <c r="H187" s="8"/>
      <c r="I187" s="1"/>
      <c r="J187" s="1"/>
    </row>
    <row r="188">
      <c r="A188" s="1"/>
      <c r="B188" s="1" t="s">
        <v>819</v>
      </c>
      <c r="C188" s="37">
        <v>1.757</v>
      </c>
      <c r="D188" s="37">
        <v>1.757</v>
      </c>
      <c r="E188" s="37">
        <v>2.924</v>
      </c>
      <c r="F188" s="37">
        <v>2.925</v>
      </c>
      <c r="G188" s="37">
        <v>1.334</v>
      </c>
      <c r="H188" s="8"/>
      <c r="I188" s="1"/>
      <c r="J188" s="1"/>
    </row>
    <row r="189">
      <c r="A189" s="1"/>
      <c r="B189" s="1" t="s">
        <v>820</v>
      </c>
      <c r="C189" s="37">
        <v>-1.331</v>
      </c>
      <c r="D189" s="37">
        <v>-1.482</v>
      </c>
      <c r="E189" s="37">
        <v>-1.706</v>
      </c>
      <c r="F189" s="37">
        <v>-1.915</v>
      </c>
      <c r="G189" s="37">
        <v>-1.215</v>
      </c>
      <c r="H189" s="8"/>
      <c r="I189" s="1"/>
      <c r="J189" s="1"/>
    </row>
    <row r="190">
      <c r="A190" s="1"/>
      <c r="B190" s="1" t="s">
        <v>821</v>
      </c>
      <c r="C190" s="37">
        <v>58.338</v>
      </c>
      <c r="D190" s="37">
        <v>47.868</v>
      </c>
      <c r="E190" s="37">
        <v>59.813</v>
      </c>
      <c r="F190" s="37">
        <v>171.136</v>
      </c>
      <c r="G190" s="37">
        <v>-0.636</v>
      </c>
      <c r="H190" s="8"/>
      <c r="I190" s="1"/>
      <c r="J190" s="1"/>
    </row>
    <row r="191">
      <c r="A191" s="1"/>
      <c r="B191" s="1" t="s">
        <v>822</v>
      </c>
      <c r="C191" s="37">
        <v>-9.484</v>
      </c>
      <c r="D191" s="37">
        <v>-20.975</v>
      </c>
      <c r="E191" s="37">
        <v>-27.05</v>
      </c>
      <c r="F191" s="37">
        <v>-34.429</v>
      </c>
      <c r="G191" s="37">
        <v>72.483</v>
      </c>
      <c r="H191" s="8"/>
      <c r="I191" s="1"/>
      <c r="J191" s="1"/>
    </row>
    <row r="192">
      <c r="A192" s="1"/>
      <c r="B192" s="1" t="s">
        <v>823</v>
      </c>
      <c r="C192" s="37">
        <v>-45.052</v>
      </c>
      <c r="D192" s="37">
        <v>-23.39</v>
      </c>
      <c r="E192" s="37">
        <v>-24.493</v>
      </c>
      <c r="F192" s="37">
        <v>-136.688</v>
      </c>
      <c r="G192" s="37">
        <v>-69.051</v>
      </c>
      <c r="H192" s="8"/>
      <c r="I192" s="1"/>
      <c r="J192" s="1"/>
    </row>
    <row r="193">
      <c r="A193" s="1"/>
      <c r="B193" s="1" t="s">
        <v>824</v>
      </c>
      <c r="C193" s="37">
        <v>3.802</v>
      </c>
      <c r="D193" s="37">
        <v>3.503</v>
      </c>
      <c r="E193" s="37">
        <v>8.27</v>
      </c>
      <c r="F193" s="37">
        <v>0.019</v>
      </c>
      <c r="G193" s="37">
        <v>2.796</v>
      </c>
      <c r="H193" s="8"/>
      <c r="I193" s="1"/>
      <c r="J193" s="1"/>
    </row>
    <row r="194">
      <c r="A194" s="1"/>
      <c r="B194" s="1" t="s">
        <v>825</v>
      </c>
      <c r="C194" s="37">
        <v>18.867</v>
      </c>
      <c r="D194" s="37">
        <v>18.867</v>
      </c>
      <c r="E194" s="37">
        <v>18.867</v>
      </c>
      <c r="F194" s="37">
        <v>18.867</v>
      </c>
      <c r="G194" s="37">
        <v>18.886</v>
      </c>
      <c r="H194" s="8"/>
      <c r="I194" s="1"/>
      <c r="J194" s="1"/>
    </row>
    <row r="195">
      <c r="A195" s="1"/>
      <c r="B195" s="1" t="s">
        <v>826</v>
      </c>
      <c r="C195" s="37">
        <v>22.669</v>
      </c>
      <c r="D195" s="37">
        <v>22.37</v>
      </c>
      <c r="E195" s="37">
        <v>27.137</v>
      </c>
      <c r="F195" s="37">
        <v>18.886</v>
      </c>
      <c r="G195" s="37">
        <v>21.682</v>
      </c>
      <c r="H195" s="8"/>
      <c r="I195" s="1"/>
      <c r="J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</row>
  </sheetData>
</worksheet>
</file>