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irline" sheetId="3" r:id="rId4"/>
    <sheet name="Segment - Refinery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H13" authorId="0">
      <text>
        <t>Assumption: 3Q26E input: capacity +1% Y/Y (2Q26 call, S11).</t>
      </text>
    </comment>
    <comment ref="H19" authorId="0">
      <text>
        <t>Assumption: 3Q26E input 85.0% (3Q25 85.5%; 2Q26 -0.7 pt Y/Y).</t>
      </text>
    </comment>
    <comment ref="H180" authorId="0">
      <text>
        <t>Assumption: 3Q26E input 14.30 (3Q25 14.40; 2Q26 14.26). Fuel efficiency.</t>
      </text>
    </comment>
    <comment ref="H198" authorId="0">
      <text>
        <t>Assumption: EIA monthly averages via FRED (MJFUELUSGULF). 2025 months not retrieved -&gt; n.a.</t>
      </text>
    </comment>
    <comment ref="H200" authorId="0">
      <text>
        <t>Assumption: Sep-26 (~$4.39) estimated from EIA weekly/daily prints: wk 9/4 $4.08, wk 9/11 $4.42, peak $4.705 on 9/15, 9/23-9/29 $4.29-4.40 (monthly not yet published at cutoff).</t>
      </text>
    </comment>
    <comment ref="H210" authorId="0">
      <text>
        <t>Assumption: Delivery, taxes and NY Harbor/LA premium. 2Q26 actual $0.29; 3Q26 guide implies ~$0.36 ($3.15 + 5c refinery vs ~$2.84 lagged Jul-2 curve). 3Q26E input $0.33 (midpoint). Gross price (before refinery benefit) less lagged Gulf Coast.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H11" authorId="0">
      <text>
        <t>Assumption: 10-Q: refinery "typically produces approximately 200,000 barrels" of refined products per day (narrative, 2026 10-Qs). 3Q26E input held at 200.</t>
      </text>
    </comment>
    <comment ref="H47" authorId="0">
      <text>
        <t>Assumption: Intersegment. Exchange agreements ended in 2H25 (10-Q).</t>
      </text>
    </comment>
    <comment ref="H53" authorId="0">
      <text>
        <t>Assumption: Intersegment.</t>
      </text>
    </comment>
    <comment ref="H90" authorId="0">
      <text>
        <t>Assumption: 3Q26E input 3.6%: ex-hedge margins 3Q25 3.2%, 4Q25 6.8%, 1Q26 5.5%, 2Q26 1.9%; high distillate cracks partly offset by outage drag.</t>
      </text>
    </comment>
    <comment ref="H108" authorId="0">
      <text>
        <t>Assumption: 2Q26: 11c incl. 5c outage drag (S3). 3Q26 guide assumed 5c; 3Q26E 10c on higher cracks (Earnings Whispers flags 5-7c outage drag carrying into 3Q). As disclosed, included in the adjusted fuel price.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H80" authorId="0">
      <text>
        <t>Assumption: Lower debt (adj. net debt $13.6B at Jun-26).</t>
      </text>
    </comment>
    <comment ref="H82" authorId="0">
      <text>
        <t>Assumption: Equity-investment MTM not forecast (nil assumption; excluded from adjusted EPS).</t>
      </text>
    </comment>
    <comment ref="H84" authorId="0">
      <text>
        <t>Assumption: Not forecast (nil).</t>
      </text>
    </comment>
    <comment ref="H97" authorId="0">
      <text>
        <t>Assumption: 3Q26E 24.5%: 10-Q projects 2026 annual ETR of 23-25% excl. MTM (S4); 2Q26 adjusted 24.4%, 3Q25 24.6%.</t>
      </text>
    </comment>
    <comment ref="H121" authorId="0">
      <text>
        <t>Assumption: 3Q25 +5 and FY25 -21 are restated values in the 2Q26 release (originally +11 / -17); 4Q25 +3 as originally reported (not restated publicly). 3Q26E not forecast (nil).</t>
      </text>
    </comment>
    <comment ref="H146" authorId="0">
      <text>
        <t>Assumption: 3Q26E 20.5%: 3Q25 21.0%, 4Q25 21.1%, 2Q26 19.4%. Profit sharing / adjusted pre-tax income before profit sharing.</t>
      </text>
    </comment>
    <comment ref="H151" authorId="0">
      <text>
        <t>Assumption: Delta targets low-double-digit MRO margins (S11); 3Q26E 12%. MRO revenue less MRO expense, over MRO revenue.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H14" authorId="0">
      <text>
        <t>Assumption: Not shown separately in the 3Q25/2Q26 press-release cash flow (within other); 3Q26E assumption nil.</t>
      </text>
    </comment>
    <comment ref="H15" authorId="0">
      <text>
        <t>Assumption: 3Q26E seasonal unwind (3Q25 -$728M).</t>
      </text>
    </comment>
    <comment ref="H17" authorId="0">
      <text>
        <t>Assumption: FY25 = sum of 10-K detail lines below. 3Q26E assumption $300M (3Q25 $459M).</t>
      </text>
    </comment>
    <comment ref="H29" authorId="0">
      <text>
        <t>Assumption: 3Q26E: FY26 gross capex ~$5B run-rate; 2Q26 $1.24B. Including advance payments.</t>
      </text>
    </comment>
    <comment ref="H30" authorId="0">
      <text>
        <t>Assumption: Including technology.</t>
      </text>
    </comment>
    <comment ref="H32" authorId="0">
      <text>
        <t>Assumption: Acquisition of strategic and equity investments.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H17" authorId="0">
      <text>
        <t>Assumption: Company-reported, rounded to whole %. 3Q26E input (system capacity guided ~+1%; S11).</t>
      </text>
    </comment>
    <comment ref="H18" authorId="0">
      <text>
        <t>Assumption: Company-reported, rounded to whole %. 3Q26E input. Company-reported.</t>
      </text>
    </comment>
    <comment ref="H31" authorId="0">
      <text>
        <t>Assumption: Company-reported, rounded to whole %. 3Q26E input (system capacity guided ~+1%; S11).</t>
      </text>
    </comment>
    <comment ref="H32" authorId="0">
      <text>
        <t>Assumption: Company-reported, rounded to whole %. 3Q26E input. Company-reported.</t>
      </text>
    </comment>
    <comment ref="H45" authorId="0">
      <text>
        <t>Assumption: Company-reported, rounded to whole %. 3Q26E input (system capacity guided ~+1%; S11).</t>
      </text>
    </comment>
    <comment ref="H46" authorId="0">
      <text>
        <t>Assumption: Company-reported, rounded to whole %. 3Q26E input. Company-reported.</t>
      </text>
    </comment>
    <comment ref="H59" authorId="0">
      <text>
        <t>Assumption: Company-reported, rounded to whole %. 3Q26E input (system capacity guided ~+1%; S11).</t>
      </text>
    </comment>
    <comment ref="H60" authorId="0">
      <text>
        <t>Assumption: Company-reported, rounded to whole %. 3Q26E input. Company-reported.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H11" authorId="0">
      <text>
        <t>Assumption: 3Q26E basic: 2Q26 654 + modest issuance under equity plans; no buybacks (none under $1.0B authorization through 6/30/26).</t>
      </text>
    </comment>
    <comment ref="H15" authorId="0">
      <text>
        <t>Assumption: Share-based instruments.</t>
      </text>
    </comment>
    <comment ref="H24" authorId="0">
      <text>
        <t>Assumption: 1Q26: remaining 1.9M PSP warrants exercised (net share settled) per 10-Q. 3Q26E assumption 0.5M. Equity plans and warrants.</t>
      </text>
    </comment>
    <comment ref="H25" authorId="0">
      <text>
        <t>Assumption: $1.0B authorization (Jun-2025, through Jun-2028); no repurchases through 6/30/26 (10-Q).</t>
      </text>
    </comment>
    <comment ref="H27" authorId="0">
      <text>
        <t>Assumption: 3Q25: 25% increase to $0.1875 from Sep-25 qtr; 2Q26: $0.1875 paid Jun 4; 3Q26: $0.2150 declared Jun 18 payable Jul 30. 4Q25/1Q26 per-share not verified -&gt; n.a. Declared/paid in the quarter.</t>
      </text>
    </comment>
  </commentList>
</comments>
</file>

<file path=xl/sharedStrings.xml><?xml version="1.0" encoding="utf-8"?>
<sst xmlns="http://schemas.openxmlformats.org/spreadsheetml/2006/main" count="2641" uniqueCount="867">
  <si>
    <t>Delta Air Lines, Inc. (NYSE: DAL)</t>
  </si>
  <si>
    <t>Cover</t>
  </si>
  <si>
    <t>$ millions, except per share</t>
  </si>
  <si>
    <t>Period</t>
  </si>
  <si>
    <t>3Q26E</t>
  </si>
  <si>
    <t>Period end</t>
  </si>
  <si>
    <t>Days in period</t>
  </si>
  <si>
    <t>Company Model — built by Shortcut</t>
  </si>
  <si>
    <t>Author</t>
  </si>
  <si>
    <t>Shortcut</t>
  </si>
  <si>
    <t>Company</t>
  </si>
  <si>
    <t>Delta Air Lines, Inc.</t>
  </si>
  <si>
    <t>Ticker</t>
  </si>
  <si>
    <t>DAL</t>
  </si>
  <si>
    <t>Exchange</t>
  </si>
  <si>
    <t>New York Stock Exchange (NYSE)</t>
  </si>
  <si>
    <t>Fiscal year end</t>
  </si>
  <si>
    <t>December 31 (calendar year)</t>
  </si>
  <si>
    <t>Currency</t>
  </si>
  <si>
    <t>USD ($ millions, except per share)</t>
  </si>
  <si>
    <t>EPS basis</t>
  </si>
  <si>
    <t>Adjusted (non-GAAP) diluted EPS = CapIQ "Normalized diluted EPS"; excludes MTM on investments, Monroe hedge MTM/settlements, debt-extinguishment losses</t>
  </si>
  <si>
    <t>Information cutoff</t>
  </si>
  <si>
    <t>2026-10-04 22:22 UTC</t>
  </si>
  <si>
    <t>Expected report date</t>
  </si>
  <si>
    <t>2026-10-09, before market open; call 10:00 ET (Delta IR, S22)</t>
  </si>
  <si>
    <t>Target period</t>
  </si>
  <si>
    <t>3Q26 (quarter ended 2026-09-30)</t>
  </si>
  <si>
    <t>3Q26E headline ($M, except per share)</t>
  </si>
  <si>
    <t>Shortcut estimate</t>
  </si>
  <si>
    <t>Consensus at cutoff (CapIQ)</t>
  </si>
  <si>
    <t>Variance</t>
  </si>
  <si>
    <t>Variance %</t>
  </si>
  <si>
    <t>Guidance midpoint / implied</t>
  </si>
  <si>
    <t>Est. vs guidance</t>
  </si>
  <si>
    <t>Total operating revenue (GAAP)</t>
  </si>
  <si>
    <t>CapIQ revenue mean ($18,830M, 8 est.) mixes GAAP (~$19.5-19.7B) and adjusted (~$17.6B) contributor bases; GAAP is the reported comparator. G23 = CapIQ GAAP map of adjusted guidance (derived, not company-issued).</t>
  </si>
  <si>
    <t>Adj. operating revenue</t>
  </si>
  <si>
    <t>n.a.</t>
  </si>
  <si>
    <t>Adjusted-basis consensus seen: TradingView $17.62B, Earnings Whispers ~$17.70B (S19-S20); not a CapIQ field. Ex-refinery.</t>
  </si>
  <si>
    <t>Net income - adjusted (normalized)</t>
  </si>
  <si>
    <t>G25 guidance-implied (derived): $2.25 EPS midpoint x 659M model diluted shares; not company guidance.</t>
  </si>
  <si>
    <t>Net income - GAAP</t>
  </si>
  <si>
    <t>Diluted EPS - adjusted</t>
  </si>
  <si>
    <t>Consensus basis (CapIQ normalized).</t>
  </si>
  <si>
    <t>Diluted EPS - GAAP</t>
  </si>
  <si>
    <t>Operating margin, adjusted</t>
  </si>
  <si>
    <t>Est. vs guidance shown in bps.</t>
  </si>
  <si>
    <t>P(beat consensus EPS)</t>
  </si>
  <si>
    <t>Confidence</t>
  </si>
  <si>
    <t>Check: Cover ties to statements</t>
  </si>
  <si>
    <t>Overall check result</t>
  </si>
  <si>
    <t>AND of historical-column check rows on all tabs, the Cover tie-out (C32) and the 3Q26E balance test (Balance Sheet!H46). 3Q26E construction identities (Revenue summary!H85, Airline!H232, Refinery!H89, IS!H116, CF!H49:H50, Geo!H70/H75/H117, Share Count!H34) are excluded: residual-built, not independent validation.</t>
  </si>
  <si>
    <t>Other consensus (not comparator)</t>
  </si>
  <si>
    <t>EPS</t>
  </si>
  <si>
    <t>Revenue</t>
  </si>
  <si>
    <t>Date</t>
  </si>
  <si>
    <t>Source</t>
  </si>
  <si>
    <t>Earnings Whispers consensus</t>
  </si>
  <si>
    <t>S19</t>
  </si>
  <si>
    <t>Source S19.</t>
  </si>
  <si>
    <t>TradingView estimate</t>
  </si>
  <si>
    <t>S20</t>
  </si>
  <si>
    <t>Source S20.</t>
  </si>
  <si>
    <t>CapIQ EPS median</t>
  </si>
  <si>
    <t>S1</t>
  </si>
  <si>
    <t>CapIQ EPS low</t>
  </si>
  <si>
    <t>CapIQ EPS high</t>
  </si>
  <si>
    <t>CapIQ EPS contributors (count)</t>
  </si>
  <si>
    <t>CapIQ EPS standard deviation ($)</t>
  </si>
  <si>
    <t>Prepared by Shortcut from public filings and the supplied CapIQ snapshot; forecasts are estimates, not investment advice.</t>
  </si>
  <si>
    <t>Revenue summary</t>
  </si>
  <si>
    <t>3Q25A</t>
  </si>
  <si>
    <t>4Q25A</t>
  </si>
  <si>
    <t>1Q26A</t>
  </si>
  <si>
    <t>2Q26A</t>
  </si>
  <si>
    <t>FY25A</t>
  </si>
  <si>
    <t>Notes</t>
  </si>
  <si>
    <t>Revenue by reported segment</t>
  </si>
  <si>
    <t>Airline segment revenue</t>
  </si>
  <si>
    <t xml:space="preserve">    PY comparative</t>
  </si>
  <si>
    <t xml:space="preserve">    % Y/Y</t>
  </si>
  <si>
    <t xml:space="preserve">    % Q/Q</t>
  </si>
  <si>
    <t xml:space="preserve">    % of total revenue</t>
  </si>
  <si>
    <t xml:space="preserve">    M&amp;A / scope impact</t>
  </si>
  <si>
    <t>Not disclosed by Delta (no acquisitions consolidated); explicitly unavailable, not zero.</t>
  </si>
  <si>
    <t xml:space="preserve">    FX impact</t>
  </si>
  <si>
    <t>Delta does not disclose an FX impact on revenue; explicitly unavailable, not zero.</t>
  </si>
  <si>
    <t xml:space="preserve">    Organic growth</t>
  </si>
  <si>
    <t>Organic = (1+Y/Y)/((1+M&amp;A)*(1+FX))-1.</t>
  </si>
  <si>
    <t xml:space="preserve">    Total growth (% Y/Y)</t>
  </si>
  <si>
    <t>Refinery segment revenue</t>
  </si>
  <si>
    <t>Including intersegment sales.</t>
  </si>
  <si>
    <t>Intersegment sales/other (elimination)</t>
  </si>
  <si>
    <t>Source S9,S7,S5,S3. Prior-year comparative as reported.</t>
  </si>
  <si>
    <t xml:space="preserve">    Sequential change</t>
  </si>
  <si>
    <t>Revenue by type (income statement captions)</t>
  </si>
  <si>
    <t>Passenger</t>
  </si>
  <si>
    <t>Cargo</t>
  </si>
  <si>
    <t>Other - excluding refinery</t>
  </si>
  <si>
    <t>Other - third-party refinery sales</t>
  </si>
  <si>
    <t>Other revenue (IS caption)</t>
  </si>
  <si>
    <t xml:space="preserve">  Other revenue as reported</t>
  </si>
  <si>
    <t>Source S9,S7,S5,S3.</t>
  </si>
  <si>
    <t>Total operating revenue - by type</t>
  </si>
  <si>
    <t>Check: segments sum to total</t>
  </si>
  <si>
    <t>Tolerance: segment build = type build. 3Q26E column: construction identity (built from a residual/same inputs), excluded from Cover!C33 PASS.</t>
  </si>
  <si>
    <t>Check: other revenue = reported</t>
  </si>
  <si>
    <t>Adjusted revenue (company guidance basis)</t>
  </si>
  <si>
    <t>Operating revenue, adjusted</t>
  </si>
  <si>
    <t>Total operating revenue less third-party refinery sales (Delta guidance basis).</t>
  </si>
  <si>
    <t xml:space="preserve">    Guidance low end (14%)</t>
  </si>
  <si>
    <t>3Q26 guidance "up mid-teens".</t>
  </si>
  <si>
    <t xml:space="preserve">    Guidance high end (16%)</t>
  </si>
  <si>
    <t>Geography: Delta discloses four regions (Domestic, Atlantic, Latin America, Pacific) - see Geo tab.</t>
  </si>
  <si>
    <t>Segment - Airline (drivers, revenue build, segment profit)</t>
  </si>
  <si>
    <t>Capacity and traffic</t>
  </si>
  <si>
    <t>Available seat miles (ASMs, millions)</t>
  </si>
  <si>
    <t>3Q26E input: capacity +1% Y/Y (2Q26 call, S11).</t>
  </si>
  <si>
    <t>RPMs (millions)</t>
  </si>
  <si>
    <t>Source S9,S7,S5,S3. Revenue passenger miles.</t>
  </si>
  <si>
    <t>Passenger load factor</t>
  </si>
  <si>
    <t>3Q26E input 85.0% (3Q25 85.5%; 2Q26 -0.7 pt Y/Y).</t>
  </si>
  <si>
    <t xml:space="preserve">    Prior-year load factor</t>
  </si>
  <si>
    <t xml:space="preserve">    Change Y/Y (bps)</t>
  </si>
  <si>
    <t xml:space="preserve">    Change Q/Q (bps)</t>
  </si>
  <si>
    <t>Passenger mile yield (cents)</t>
  </si>
  <si>
    <t xml:space="preserve">    Prior-year yield (cents)</t>
  </si>
  <si>
    <t>PRASM (cents)</t>
  </si>
  <si>
    <t>Passenger revenue per ASM.</t>
  </si>
  <si>
    <t xml:space="preserve">    Prior-year PRASM (cents)</t>
  </si>
  <si>
    <t>TRASM, adjusted (cents)</t>
  </si>
  <si>
    <t>Airline revenue per ASM.</t>
  </si>
  <si>
    <t xml:space="preserve">    Prior-year TRASM, adjusted (cents)</t>
  </si>
  <si>
    <t>TRASM, GAAP (cents)</t>
  </si>
  <si>
    <t>Total operating revenue (incl. refinery) per ASM.</t>
  </si>
  <si>
    <t xml:space="preserve">    PY TRASM, GAAP (cents)</t>
  </si>
  <si>
    <t>Passenger revenue by product</t>
  </si>
  <si>
    <t>Ticket - Main cabin</t>
  </si>
  <si>
    <t>Source S9,S7,S5,S3. 3Q26E = Geo passenger total less premium, loyalty awards and travel-related (residual). Main-cabin unit revenue was up mid-teens in Jun-26 (S11).</t>
  </si>
  <si>
    <t xml:space="preserve">    % of passenger revenue (mix)</t>
  </si>
  <si>
    <t>Ticket - Premium products</t>
  </si>
  <si>
    <t>Source S9,S7,S5,S3. 3Q26E = 3Q25 x (1 + growth input).</t>
  </si>
  <si>
    <t>Loyalty travel awards</t>
  </si>
  <si>
    <t>Travel-related services</t>
  </si>
  <si>
    <t>Passenger revenue</t>
  </si>
  <si>
    <t>Prior-year comparative as reported.</t>
  </si>
  <si>
    <t xml:space="preserve">  Passenger revenue as reported</t>
  </si>
  <si>
    <t>Source S9,S7,S5,S3. Income statement.</t>
  </si>
  <si>
    <t>Check: products = reported passenger</t>
  </si>
  <si>
    <t>Cargo and other revenue (excluding refinery)</t>
  </si>
  <si>
    <t>Cargo revenue</t>
  </si>
  <si>
    <t>Source S9,S7,S5,S3. 3Q26E: +30% Y/Y (2Q26 +39%, primarily volume).</t>
  </si>
  <si>
    <t>Loyalty and related (2026 basis)</t>
  </si>
  <si>
    <t>Source S5,S3. 3Q26E = 2Q26 x (1 + Q/Q input); Amex remuneration +16% in 2Q26, FY26 ~ $9B expected (S11). 3Q25 not restated -&gt; Y/Y n.a.</t>
  </si>
  <si>
    <t xml:space="preserve">    PY comparative (restated)</t>
  </si>
  <si>
    <t>Source S5,S3.</t>
  </si>
  <si>
    <t>MRO (2026 basis)</t>
  </si>
  <si>
    <t>Source S5,S3. FY26 MRO ~ $1.2B guided (S11) implies ~ $250-280M per quarter in 2H26 after $695M in 1H26. Third-party maintenance, repair and overhaul.</t>
  </si>
  <si>
    <t>Miscellaneous (2026 basis)</t>
  </si>
  <si>
    <t>Source S5,S3. Codeshare / JV settlements.</t>
  </si>
  <si>
    <t>Loyalty program (2025 basis)</t>
  </si>
  <si>
    <t>Source S9,S7. 2025 releases/10-K used the pre-2026 "Other revenue" categories; Delta has not published 3Q25/4Q25 in the new categories -&gt; kept separately, never mixed.</t>
  </si>
  <si>
    <t>Source S9,S7. Prior-year comparative as reported.</t>
  </si>
  <si>
    <t>Ancillary businesses (2025 basis)</t>
  </si>
  <si>
    <t>Miscellaneous (2025 basis)</t>
  </si>
  <si>
    <t>Other revenue ex-refinery</t>
  </si>
  <si>
    <t>Sum of the PY category rows. Prior-year comparative as reported.</t>
  </si>
  <si>
    <t>Airline segment revenue (= adjusted operating revenue)</t>
  </si>
  <si>
    <t>Airline segment operating revenue</t>
  </si>
  <si>
    <t xml:space="preserve">  Airline revenue as reported</t>
  </si>
  <si>
    <t>Source S10,S8,S6,S4. Segment note.</t>
  </si>
  <si>
    <t xml:space="preserve">    9M25: airline segment revenue</t>
  </si>
  <si>
    <t>Source S10. Memo: nine-month cumulative from the Sep-25 10-Q; used to derive the 4Q figure.</t>
  </si>
  <si>
    <t>Check: airline revenue = reported</t>
  </si>
  <si>
    <t>Tolerance: &lt;= $2M rounding.</t>
  </si>
  <si>
    <t>Fuel</t>
  </si>
  <si>
    <t>Fuel gallons consumed (millions)</t>
  </si>
  <si>
    <t>Gallons per 1,000 ASMs</t>
  </si>
  <si>
    <t>3Q26E input 14.30 (3Q25 14.40; 2Q26 14.26). Fuel efficiency.</t>
  </si>
  <si>
    <t xml:space="preserve">    Prior-year gallons per 1,000 ASMs</t>
  </si>
  <si>
    <t>Fuel and related taxes - GAAP</t>
  </si>
  <si>
    <t xml:space="preserve">  Hedge adjustment</t>
  </si>
  <si>
    <t>MTM adjustments and settlements on hedges.</t>
  </si>
  <si>
    <t>Fuel expense, adjusted ($M)</t>
  </si>
  <si>
    <t>Adjusted = GAAP fuel less the pre-tax hedge adjustment in IS row 121 (bridge sign; Delta Note A fuel table adds MTM/settlements back, e.g. 2Q26 4,109 + 301 = 4,410). 3Q25 (+5) and FY25 (-21) use restated hedge adjustments (FY25 9,840 vs 9,836 originally reported; both $2.30/gal); 4Q25 (+3) as originally reported.</t>
  </si>
  <si>
    <t xml:space="preserve">    Prior-year fuel expense, adjusted</t>
  </si>
  <si>
    <t>Fuel price per gallon, adj. ($)</t>
  </si>
  <si>
    <t>3Q26E all-in = gross price less refinery benefit (Segment - Refinery). Guidance assumed ~$3.15 (Jul-2 curve).</t>
  </si>
  <si>
    <t xml:space="preserve">    Prior-year fuel price, adjusted ($)</t>
  </si>
  <si>
    <t>Fuel price per gallon, GAAP ($)</t>
  </si>
  <si>
    <t xml:space="preserve">    PY fuel price per gallon, GAAP ($)</t>
  </si>
  <si>
    <t xml:space="preserve">  Gulf Coast jet - month 1 ($/gal)</t>
  </si>
  <si>
    <t>Source S14. EIA monthly averages via FRED (MJFUELUSGULF). 2025 months not retrieved -&gt; n.a.</t>
  </si>
  <si>
    <t xml:space="preserve">  Gulf Coast jet - month 2 ($/gal)</t>
  </si>
  <si>
    <t>Source S14.</t>
  </si>
  <si>
    <t xml:space="preserve">  Gulf Coast jet - month 3 ($/gal)</t>
  </si>
  <si>
    <t>Source S14,S15. Sep-26 (~$4.39) estimated from EIA weekly/daily prints: wk 9/4 $4.08, wk 9/11 $4.42, peak $4.705 on 9/15, 9/23-9/29 $4.29-4.40 (monthly not yet published at cutoff).</t>
  </si>
  <si>
    <t>Gulf Coast jet - qtr avg ($/gal)</t>
  </si>
  <si>
    <t>Quarter average requires all three monthly prints (COUNT=3); otherwise explicit n.a. (no partial-month averages). Sep-26 (H200) remains an in-month estimate.</t>
  </si>
  <si>
    <t>2025 Gulf Coast monthly prices not retrieved -&gt; n.a.</t>
  </si>
  <si>
    <t xml:space="preserve">  Adj. price less Gulf Coast ($/gal)</t>
  </si>
  <si>
    <t xml:space="preserve">    Change Y/Y ($/gal)</t>
  </si>
  <si>
    <t>Gulf Coast jet, half-month lag ($/gal)</t>
  </si>
  <si>
    <t>Average of month-pair midpoints (prior quarter month 3 to current month 3): proxies Delta purchase/consumption lag. 1Q26 needs Dec-25 (not retrieved) -&gt; n.a.</t>
  </si>
  <si>
    <t xml:space="preserve">  Premium to lagged Gulf Coast ($/gal)</t>
  </si>
  <si>
    <t>Delivery, taxes and NY Harbor/LA premium. 2Q26 actual $0.29; 3Q26 guide implies ~$0.36 ($3.15 + 5c refinery vs ~$2.84 lagged Jul-2 curve). 3Q26E input $0.33 (midpoint). Gross price (before refinery benefit) less lagged Gulf Coast.</t>
  </si>
  <si>
    <t>Requires 2025 lagged Gulf Coast (not retrieved) -&gt; n.a.</t>
  </si>
  <si>
    <t xml:space="preserve">  Guidance fuel price ($/gal)</t>
  </si>
  <si>
    <t xml:space="preserve">  Fuel expense vs guidance price ($M)</t>
  </si>
  <si>
    <t>Headwind vs guidance before profit sharing and tax; sensitivity ~$114M pre-tax per $0.10/gal on ~1.14B gallons (S23: ~$112M/qtr).</t>
  </si>
  <si>
    <t>Non-fuel unit cost</t>
  </si>
  <si>
    <t>Non-fuel cost - 2026 definition ($M)</t>
  </si>
  <si>
    <t>Excludes fuel, third-party refinery, MRO expense and profit sharing. 3Q25 restated CASM-ex 13.08c published in the 2Q26 release; 4Q25/FY25 not restated -&gt; n.a.</t>
  </si>
  <si>
    <t>CASM-ex - 2026 definition (cents)</t>
  </si>
  <si>
    <t>Source S3.</t>
  </si>
  <si>
    <t xml:space="preserve">    PY CASM-ex (cents)</t>
  </si>
  <si>
    <t>Source S5,S3. 2026 definition.</t>
  </si>
  <si>
    <t xml:space="preserve">  CASM-ex, old definition (cents)</t>
  </si>
  <si>
    <t>Source S9,S7. Pre-2026 definition (MRO expense not excluded). Not comparable with 2026 definition. Definition used at the time (memo).</t>
  </si>
  <si>
    <t>Airline segment profit (segment note)</t>
  </si>
  <si>
    <t>Airline salaries and related costs</t>
  </si>
  <si>
    <t>Aircraft fuel and related costs</t>
  </si>
  <si>
    <t>Depreciation and amortization</t>
  </si>
  <si>
    <t>Other segment items</t>
  </si>
  <si>
    <t>Source S10,S8,S6,S4. 3Q26E derived as the residual to segment operating income.</t>
  </si>
  <si>
    <t xml:space="preserve">    9M25: airline other segment items</t>
  </si>
  <si>
    <t>Airline segment operating income</t>
  </si>
  <si>
    <t>Source S10,S8,S6,S4.</t>
  </si>
  <si>
    <t xml:space="preserve">    9M25: airline op. income</t>
  </si>
  <si>
    <t>Check: revenue - costs - segment OI = 0</t>
  </si>
  <si>
    <t>Tolerance: &lt;= $3M rounding. 3Q26E column: construction identity (built from a residual/same inputs), excluded from Cover!C33 PASS.</t>
  </si>
  <si>
    <t>Airline segment operating margin</t>
  </si>
  <si>
    <t xml:space="preserve">    Prior-year airline operating margin</t>
  </si>
  <si>
    <t xml:space="preserve">    PY airline operating income</t>
  </si>
  <si>
    <t>Source S10,S8,S6,S4. 4Q24 = FY24 (10-K) less 9M24 (Sep-25 10-Q). As reported.</t>
  </si>
  <si>
    <t xml:space="preserve">    9M24: airline op. income</t>
  </si>
  <si>
    <t>Airline income before income taxes</t>
  </si>
  <si>
    <t xml:space="preserve">    9M25: airline pre-tax</t>
  </si>
  <si>
    <t>Airline capital expenditures</t>
  </si>
  <si>
    <t xml:space="preserve">    9M25: airline capex</t>
  </si>
  <si>
    <t>Airline total assets, period end</t>
  </si>
  <si>
    <t>Segment - Refinery (Monroe Energy, Trainer PA)</t>
  </si>
  <si>
    <t>Refinery drivers</t>
  </si>
  <si>
    <t>Typical throughput (kbpd)</t>
  </si>
  <si>
    <t>Source S4. 10-Q: refinery "typically produces approximately 200,000 barrels" of refined products per day (narrative, 2026 10-Qs). 3Q26E input held at 200.</t>
  </si>
  <si>
    <t>2025 throughput not used (exchange agreements changed product flows) -&gt; n.a.</t>
  </si>
  <si>
    <t xml:space="preserve">  Days in period</t>
  </si>
  <si>
    <t>Throughput volume (million bbl)</t>
  </si>
  <si>
    <t xml:space="preserve">    Volume % Q/Q</t>
  </si>
  <si>
    <t>2025 throughput volume not modelled -&gt; n.a.</t>
  </si>
  <si>
    <t>Price index: Gulf Coast jet avg ($/gal)</t>
  </si>
  <si>
    <t xml:space="preserve">    Price index % Q/Q</t>
  </si>
  <si>
    <t>Third-party sales per bbl ($)</t>
  </si>
  <si>
    <t>Third-party sales per barrel of typical throughput; 3Q26E = 2Q26 x (1 + price index Q/Q).</t>
  </si>
  <si>
    <t>2025 quarters: throughput narrative not used (exchange agreements changed product flows) -&gt; n.a.</t>
  </si>
  <si>
    <t>Refinery segment revenue build</t>
  </si>
  <si>
    <t>Third-party refinery sales</t>
  </si>
  <si>
    <t>Source S9,S7,S5,S3. Consolidated "Refinery" revenue. 3Q26E = sales per bbl x throughput volume. Equal-and-offsetting refinery expense in GAAP.</t>
  </si>
  <si>
    <t xml:space="preserve">    9M25: sales to airline segment</t>
  </si>
  <si>
    <t xml:space="preserve">    9M25: exchanged products</t>
  </si>
  <si>
    <t xml:space="preserve">    9M25: sales of refined products</t>
  </si>
  <si>
    <t>Sales to airline segment</t>
  </si>
  <si>
    <t>Source S10,S8,S6,S4. Intersegment. 4Q25 derived = FY25 (10-K) less 9M25 (10-Q). 3Q26E = 2Q26 x price and volume drivers.</t>
  </si>
  <si>
    <t>PY quarterly intersegment detail not in the timeline (3Q24 $369M per 10-Q) - n.a. for history.</t>
  </si>
  <si>
    <t>Exchanged products</t>
  </si>
  <si>
    <t>Source S10,S8,S6,S4. Intersegment. Exchange agreements ended in 2H25 (10-Q).</t>
  </si>
  <si>
    <t>Sales of refined products</t>
  </si>
  <si>
    <t>Source S10,S8. Intersegment.</t>
  </si>
  <si>
    <t>Intersegment sales/other - subtotal</t>
  </si>
  <si>
    <t>Source S10,S8,S6,S4. 4Q24 = FY24 (10-K) less 9M24 (Sep-25 10-Q). Prior-year comparative as reported.</t>
  </si>
  <si>
    <t xml:space="preserve">    9M24: intersegment sales</t>
  </si>
  <si>
    <t>Refinery segment operating revenue</t>
  </si>
  <si>
    <t xml:space="preserve">    9M24: refinery segment revenue</t>
  </si>
  <si>
    <t xml:space="preserve">  Refinery revenue as reported</t>
  </si>
  <si>
    <t xml:space="preserve">    9M25: refinery segment revenue</t>
  </si>
  <si>
    <t>Check: segment revenue = reported</t>
  </si>
  <si>
    <t>Tolerance: abs diff &lt;= $2M rounding.</t>
  </si>
  <si>
    <t>Refinery segment profit (segment note)</t>
  </si>
  <si>
    <t>Refinery cost of goods sold</t>
  </si>
  <si>
    <t>Source S10,S8,S6,S4. 3Q26E derived from operating-income assumption.</t>
  </si>
  <si>
    <t xml:space="preserve">    9M25: refinery COGS</t>
  </si>
  <si>
    <t xml:space="preserve">    9M25: refinery D&amp;A</t>
  </si>
  <si>
    <t xml:space="preserve">    9M25: refinery other items</t>
  </si>
  <si>
    <t>Refinery operating income</t>
  </si>
  <si>
    <t>Source S10,S8,S6,S4. GAAP refinery OI includes Monroe hedge MTM/settlements (excluded from adjusted). 3Q26E = segment revenue x margin input. Illustrative segment split: independent of the $0.10/gal refinery benefit in fuel (H108); does not drive consolidated EPS.</t>
  </si>
  <si>
    <t xml:space="preserve">    9M25: refinery op. income</t>
  </si>
  <si>
    <t>Check: refinery P&amp;L ties</t>
  </si>
  <si>
    <t>Tolerance: &lt;= $2M rounding. Revenue - COGS - D&amp;A - other - OI = 0. 3Q26E column: construction identity (built from a residual/same inputs), excluded from Cover!C33 PASS.</t>
  </si>
  <si>
    <t>Refinery operating margin</t>
  </si>
  <si>
    <t>3Q26E input 3.6%: ex-hedge margins 3Q25 3.2%, 4Q25 6.8%, 1Q26 5.5%, 2Q26 1.9%; high distillate cracks partly offset by outage drag.</t>
  </si>
  <si>
    <t xml:space="preserve">    PY refinery operating income</t>
  </si>
  <si>
    <t>Source S10,S8,S6,S4. 4Q24 = FY24 (10-K) less 9M24 (Sep-25 10-Q).</t>
  </si>
  <si>
    <t xml:space="preserve">    9M24: refinery op. income</t>
  </si>
  <si>
    <t xml:space="preserve">    PY refinery operating margin</t>
  </si>
  <si>
    <t xml:space="preserve">  Monroe hedge adjustment</t>
  </si>
  <si>
    <t>MTM and settlements on hedges (non-GAAP adjustment).</t>
  </si>
  <si>
    <t>Refinery OI, ex hedge adjustment</t>
  </si>
  <si>
    <t>Refinery income before income taxes</t>
  </si>
  <si>
    <t xml:space="preserve">    9M25: refinery pre-tax</t>
  </si>
  <si>
    <t>Refinery capital expenditures</t>
  </si>
  <si>
    <t xml:space="preserve">    9M25: refinery capex</t>
  </si>
  <si>
    <t>Refinery total assets, period end</t>
  </si>
  <si>
    <t>Refinery contribution to airline fuel price ($/gallon)</t>
  </si>
  <si>
    <t>Gross fuel price ($/gal)</t>
  </si>
  <si>
    <t>3Q26E = half-month-lagged Gulf Coast jet (~$3.61; Jul $3.40, Aug $3.72, Sep ~$4.39) plus $0.33 delivery/tax/NYH premium (Segment - Airline). Before refinery benefit.</t>
  </si>
  <si>
    <t>Refinery benefit not disclosed for 2025 quarters -&gt; n.a.</t>
  </si>
  <si>
    <t>Refinery benefit ($/gal)</t>
  </si>
  <si>
    <t>Source S3. 2Q26: 11c incl. 5c outage drag (S3). 3Q26 guide assumed 5c; 3Q26E 10c on higher cracks (Earnings Whispers flags 5-7c outage drag carrying into 3Q). As disclosed, included in the adjusted fuel price.</t>
  </si>
  <si>
    <t>Not disclosed for 2025 quarters -&gt; n.a.</t>
  </si>
  <si>
    <t xml:space="preserve">  3Q26 guidance assumption ($/gal)</t>
  </si>
  <si>
    <t>Income Statement</t>
  </si>
  <si>
    <t>Operating revenue</t>
  </si>
  <si>
    <t>Other</t>
  </si>
  <si>
    <t>Total operating revenue</t>
  </si>
  <si>
    <t>Operating expense</t>
  </si>
  <si>
    <t>Salaries and related costs</t>
  </si>
  <si>
    <t>Source S9,S7,S5,S3. 3Q26E +7.8% Y/Y: 4% pay raise (May-26), crew costs; 2Q26 +8.2%.</t>
  </si>
  <si>
    <t>Aircraft fuel and related taxes</t>
  </si>
  <si>
    <t>Source S9,S7,S5,S3. 3Q26E = adjusted fuel (gallons x all-in price) plus row 121 hedge adjustment (nil); GAAP fuel = adjusted fuel + row 121.</t>
  </si>
  <si>
    <t>Refinery expense (2026 basis)</t>
  </si>
  <si>
    <t>Source S9,S7,S5,S3. Equals third-party refinery sales (excluded from adjusted results).</t>
  </si>
  <si>
    <t>Ancillary &amp; refinery (2025 basis)</t>
  </si>
  <si>
    <t>Source S9,S7,S5,S3. Pre-2026 caption combining refinery, MRO and other ancillary costs; not restated by Delta for 3Q25/4Q25 -&gt; kept on its own row. Pre-2026 income-statement caption.</t>
  </si>
  <si>
    <t>Contracted services</t>
  </si>
  <si>
    <t>Landing fees and other rents</t>
  </si>
  <si>
    <t>Aircraft maintenance &amp; repairs</t>
  </si>
  <si>
    <t>Source S9,S7,S5,S3. Aircraft maintenance materials and outside repairs.</t>
  </si>
  <si>
    <t>Regional carrier expense</t>
  </si>
  <si>
    <t>Commissions &amp; selling expenses</t>
  </si>
  <si>
    <t>Source S9,S7,S5,S3. Revenue-linked. Passenger commissions and other selling expenses. FY25 and FY24 both $2,485M per 10-K (S8) and 4Q25 release (S7) - verified, not a transposition.</t>
  </si>
  <si>
    <t>Passenger service</t>
  </si>
  <si>
    <t>MRO expense (2026 basis)</t>
  </si>
  <si>
    <t>Source S9,S7,S5,S3. 3Q26E = MRO revenue x (1 - margin input).</t>
  </si>
  <si>
    <t>Profit sharing</t>
  </si>
  <si>
    <t>Source S9,S7,S5,S3. 3Q26E = rate x adjusted pre-tax income before profit sharing.</t>
  </si>
  <si>
    <t>Aircraft rent</t>
  </si>
  <si>
    <t>Source S9,S7,S5,S3. 2026 "Other" absorbs some former ancillary costs; 3Q26E = 2Q26 x (1 + Q/Q input).</t>
  </si>
  <si>
    <t>Total operating expense</t>
  </si>
  <si>
    <t xml:space="preserve">  Total operating expense as reported</t>
  </si>
  <si>
    <t>Check: opex lines = reported total</t>
  </si>
  <si>
    <t xml:space="preserve">    PY total operating expense</t>
  </si>
  <si>
    <t>Sum of PY line items.</t>
  </si>
  <si>
    <t>Operating income</t>
  </si>
  <si>
    <t>Operating margin</t>
  </si>
  <si>
    <t xml:space="preserve">    Prior-year operating margin</t>
  </si>
  <si>
    <t>Non-operating income/(expense)</t>
  </si>
  <si>
    <t>Interest expense, net</t>
  </si>
  <si>
    <t>Source S9,S7,S5,S3. Lower debt (adj. net debt $13.6B at Jun-26).</t>
  </si>
  <si>
    <t>Gain/(loss) on investments, net</t>
  </si>
  <si>
    <t>Source S9,S7,S5,S3. Equity-investment MTM not forecast (nil assumption; excluded from adjusted EPS).</t>
  </si>
  <si>
    <t>Loss on extinguishment of debt</t>
  </si>
  <si>
    <t>Source S9,S7,S5,S3. Not forecast (nil).</t>
  </si>
  <si>
    <t>Miscellaneous, net</t>
  </si>
  <si>
    <t>Total non-operating, net</t>
  </si>
  <si>
    <t>Income before income taxes</t>
  </si>
  <si>
    <t>Pre-tax margin</t>
  </si>
  <si>
    <t xml:space="preserve">    Prior-year pre-tax margin</t>
  </si>
  <si>
    <t>Income tax provision</t>
  </si>
  <si>
    <t>Effective tax rate</t>
  </si>
  <si>
    <t>3Q26E 24.5%: 10-Q projects 2026 annual ETR of 23-25% excl. MTM (S4); 2Q26 adjusted 24.4%, 3Q25 24.6%.</t>
  </si>
  <si>
    <t xml:space="preserve">    Prior-year effective tax rate</t>
  </si>
  <si>
    <t>Net income/(loss)</t>
  </si>
  <si>
    <t>Net margin</t>
  </si>
  <si>
    <t xml:space="preserve">    Prior-year net margin</t>
  </si>
  <si>
    <t>Per share (GAAP)</t>
  </si>
  <si>
    <t>Basic weighted average shares (M)</t>
  </si>
  <si>
    <t>Diluted weighted average shares (M)</t>
  </si>
  <si>
    <t>Basic EPS ($)</t>
  </si>
  <si>
    <t>Diluted EPS - GAAP ($)</t>
  </si>
  <si>
    <t xml:space="preserve">  Diluted EPS as reported ($)</t>
  </si>
  <si>
    <t>Check: EPS = NI / diluted shares</t>
  </si>
  <si>
    <t>Tolerance: within $0.01 of reported. 3Q26E column: construction identity (built from a residual/same inputs), excluded from Cover!C33 PASS.</t>
  </si>
  <si>
    <t>GAAP to non-GAAP bridge (pre-tax; Delta Note A)</t>
  </si>
  <si>
    <t>Income before income taxes - GAAP</t>
  </si>
  <si>
    <t xml:space="preserve">  MTM adjustments on investments</t>
  </si>
  <si>
    <t>Source S9,S7,S5,S3. Reverses unrealized equity-investment MTM (3Q26E nil).</t>
  </si>
  <si>
    <t xml:space="preserve">  MTM &amp; settlements on hedges</t>
  </si>
  <si>
    <t>Source S3,S7,S5,S3. 3Q25 +5 and FY25 -21 are restated values in the 2Q26 release (originally +11 / -17); 4Q25 +3 as originally reported (not restated publicly). 3Q26E not forecast (nil).</t>
  </si>
  <si>
    <t xml:space="preserve">  Loss on extinguishment of debt</t>
  </si>
  <si>
    <t xml:space="preserve">  Realized gain on sale of investments</t>
  </si>
  <si>
    <t>Source S5.</t>
  </si>
  <si>
    <t>Income before income taxes - adjusted</t>
  </si>
  <si>
    <t>Delta notes reconciliations may not calculate exactly due to rounding ($1M differences in 1Q26/2Q26/FY25).</t>
  </si>
  <si>
    <t>Income tax - adjusted</t>
  </si>
  <si>
    <t>Source S3,S7,S5,S3.</t>
  </si>
  <si>
    <t>Net income - adjusted (non-GAAP)</t>
  </si>
  <si>
    <t>Diluted shares, non-GAAP (M)</t>
  </si>
  <si>
    <t>Diluted EPS - adjusted ($)</t>
  </si>
  <si>
    <t>Consensus basis: CapIQ normalized diluted EPS.</t>
  </si>
  <si>
    <t>Source S9,S7,S5,S3. Prior-year comparative as reported in the current-year release: 1Q25 $0.45 (S5) and 2Q25 $2.12 (S3) are restated comparatives; CapIQ history (Inputs E101:E102) keeps originally reported $0.46/$2.10 for calibration.</t>
  </si>
  <si>
    <t xml:space="preserve">  Adjusted diluted EPS as reported ($)</t>
  </si>
  <si>
    <t>Source S3,S7,S5,S3. 3Q25 $1.70 and FY25 $5.81 as restated in 2Q26 release (originally $1.71 / $5.82; CapIQ history shows $1.71).</t>
  </si>
  <si>
    <t>Check: adj. EPS = reported</t>
  </si>
  <si>
    <t>Tolerance $0.01.</t>
  </si>
  <si>
    <t xml:space="preserve">  GAAP EPS less adjusted EPS ($/share)</t>
  </si>
  <si>
    <t>Adjusted operating metrics and profit-sharing driver</t>
  </si>
  <si>
    <t>Operating income, adjusted</t>
  </si>
  <si>
    <t>GAAP operating income plus hedge adjustment.</t>
  </si>
  <si>
    <t xml:space="preserve">    Guidance margin midpoint</t>
  </si>
  <si>
    <t>3Q26 guidance.</t>
  </si>
  <si>
    <t xml:space="preserve">    PY operating income, adjusted</t>
  </si>
  <si>
    <t>Source S9,S5,S3. As reported in the PY comparatives (4Q24/FY24 adjusted OI not retrieved -&gt; n.a.).</t>
  </si>
  <si>
    <t xml:space="preserve">    PY operating margin, adjusted</t>
  </si>
  <si>
    <t>Non-fuel cost - 2026 definition</t>
  </si>
  <si>
    <t>Opex excl. fuel, third-party refinery, MRO expense and profit sharing (Delta definition from 1Q26). 2025 columns not computable in this definition.</t>
  </si>
  <si>
    <t>Adj. pre-tax before profit sharing</t>
  </si>
  <si>
    <t>Profit sharing % of pre-PS pre-tax</t>
  </si>
  <si>
    <t>3Q26E 20.5%: 3Q25 21.0%, 4Q25 21.1%, 2Q26 19.4%. Profit sharing / adjusted pre-tax income before profit sharing.</t>
  </si>
  <si>
    <t xml:space="preserve">    PY adjusted pre-tax income</t>
  </si>
  <si>
    <t xml:space="preserve">    PY profit-sharing rate</t>
  </si>
  <si>
    <t>MRO margin</t>
  </si>
  <si>
    <t>Delta targets low-double-digit MRO margins (S11); 3Q26E 12%. MRO revenue less MRO expense, over MRO revenue.</t>
  </si>
  <si>
    <t xml:space="preserve">    PY MRO margin</t>
  </si>
  <si>
    <t>Annual reconciliation (FY25 = 1H25 + 3Q25 + 4Q25)</t>
  </si>
  <si>
    <t xml:space="preserve">  1H25 memo: total operating revenue</t>
  </si>
  <si>
    <t>Source S3. Six months to Jun-30-2025 comparative in the Jun-26 10-Q/8-K.</t>
  </si>
  <si>
    <t xml:space="preserve">  1H25 memo: operating income</t>
  </si>
  <si>
    <t xml:space="preserve">  1H25 memo: net income</t>
  </si>
  <si>
    <t>Check: FY25 rev = 1H25+3Q25+4Q25</t>
  </si>
  <si>
    <t>Check: FY25 OI = 1H25+3Q25+4Q25</t>
  </si>
  <si>
    <t>Check: FY25 NI = 1H25+3Q25+4Q25</t>
  </si>
  <si>
    <t>Balance Sheet</t>
  </si>
  <si>
    <t>Assets</t>
  </si>
  <si>
    <t>Cash and cash equivalents</t>
  </si>
  <si>
    <t>Source S9,S8,S5,S3. FY25A = Dec-31-2025 balance (same date as 4Q25A).</t>
  </si>
  <si>
    <t>Accounts receivable, net</t>
  </si>
  <si>
    <t>Source S9,S8,S5,S3.</t>
  </si>
  <si>
    <t>Fuel, parts &amp; supplies inventories</t>
  </si>
  <si>
    <t>Source S9,S8,S5,S3. Fuel, expendable parts and supplies inventories, net.</t>
  </si>
  <si>
    <t>Prepaid expenses and other</t>
  </si>
  <si>
    <t>Total current assets</t>
  </si>
  <si>
    <t>Property and equipment, net</t>
  </si>
  <si>
    <t>Operating lease right-of-use assets</t>
  </si>
  <si>
    <t>Goodwill</t>
  </si>
  <si>
    <t>Identifiable intangibles, net</t>
  </si>
  <si>
    <t>Equity investments</t>
  </si>
  <si>
    <t>Other noncurrent assets</t>
  </si>
  <si>
    <t>Total noncurrent assets</t>
  </si>
  <si>
    <t>Total assets</t>
  </si>
  <si>
    <t xml:space="preserve">  Total assets as reported</t>
  </si>
  <si>
    <t>Source S9,S8,S5,S3. Dec-25 per 10-K and 2026 comparatives ($81,317M); the Jan-13-2026 release showed $81,185M before revision.</t>
  </si>
  <si>
    <t>Liabilities and stockholders' equity</t>
  </si>
  <si>
    <t>Current debt &amp; finance leases</t>
  </si>
  <si>
    <t>Source S9,S8,S5,S3. Current maturities of debt and finance leases.</t>
  </si>
  <si>
    <t>Current maturities of operating leases</t>
  </si>
  <si>
    <t>Air traffic liability</t>
  </si>
  <si>
    <t>Accounts payable</t>
  </si>
  <si>
    <t>Accrued salaries and related benefits</t>
  </si>
  <si>
    <t>Loyalty deferred revenue (current)</t>
  </si>
  <si>
    <t>Fuel card obligation</t>
  </si>
  <si>
    <t>Other accrued liabilities</t>
  </si>
  <si>
    <t>Total current liabilities</t>
  </si>
  <si>
    <t>Debt and finance leases</t>
  </si>
  <si>
    <t>Noncurrent operating leases</t>
  </si>
  <si>
    <t>Pension &amp; postretirement</t>
  </si>
  <si>
    <t>Source S9,S8,S5,S3. Pension, postretirement and related benefits.</t>
  </si>
  <si>
    <t>Loyalty deferred revenue (noncurr.)</t>
  </si>
  <si>
    <t>Deferred income taxes, net</t>
  </si>
  <si>
    <t>Other noncurrent liabilities</t>
  </si>
  <si>
    <t>Total noncurrent liabilities</t>
  </si>
  <si>
    <t>Total liabilities</t>
  </si>
  <si>
    <t>Stockholders' equity</t>
  </si>
  <si>
    <t>Total liabilities &amp; equity</t>
  </si>
  <si>
    <t>Check: assets - liab. - equity = 0</t>
  </si>
  <si>
    <t>Check: total assets = reported</t>
  </si>
  <si>
    <t>Restricted cash (for cash-flow tie-out)</t>
  </si>
  <si>
    <t>Restricted cash in prepaids</t>
  </si>
  <si>
    <t>Source S9,S7,S5,S3. Restricted cash included in prepaid expenses and other.</t>
  </si>
  <si>
    <t>Restricted cash, noncurrent</t>
  </si>
  <si>
    <t>Cash &amp; restricted cash</t>
  </si>
  <si>
    <t>Ratios</t>
  </si>
  <si>
    <t>Net debt</t>
  </si>
  <si>
    <t>Debt and finance leases incl. current maturities, less cash and cash equivalents.</t>
  </si>
  <si>
    <t>ATL / quarterly passenger revenue</t>
  </si>
  <si>
    <t>Debt / equity</t>
  </si>
  <si>
    <t>Cash Flow Statement</t>
  </si>
  <si>
    <t>Operating activities</t>
  </si>
  <si>
    <t>(Gain)/loss on fair value investments</t>
  </si>
  <si>
    <t>Source S9,S7,S5,S3,S8.</t>
  </si>
  <si>
    <t>Change in receivables</t>
  </si>
  <si>
    <t>Source S7,S5,S8. Not shown separately in the 3Q25/2Q26 press-release cash flow (within row 17 other) -&gt; n.a., not zero; 3Q26E assumption nil.</t>
  </si>
  <si>
    <t>Changes in air traffic liability</t>
  </si>
  <si>
    <t>Source S9,S7,S5,S3,S8. 3Q26E seasonal unwind (3Q25 -$728M).</t>
  </si>
  <si>
    <t>Changes in profit sharing</t>
  </si>
  <si>
    <t>Source S9,S7,S5,S3,S8. 3Q26E accrual not paid until February.</t>
  </si>
  <si>
    <t>Changes in BS and other, net</t>
  </si>
  <si>
    <t>Source S9,S7,S5,S3. FY25 = sum of 10-K detail lines below. 3Q26E assumption $300M (3Q25 $459M). 3Q25/2Q26 include the receivables change (row 14 n.a.), so not like-for-like with 4Q25/1Q26.</t>
  </si>
  <si>
    <t xml:space="preserve">    FY 10-K: deferred income taxes</t>
  </si>
  <si>
    <t>Source S8.</t>
  </si>
  <si>
    <t xml:space="preserve">    FY 10-K: pension payments &gt; expense</t>
  </si>
  <si>
    <t xml:space="preserve">    FY 10-K: prepaids &amp; other current</t>
  </si>
  <si>
    <t xml:space="preserve">    FY 10-K: other payables &amp; accrued</t>
  </si>
  <si>
    <t>Source S8. Other payables, deferred revenue and accrued liabilities.</t>
  </si>
  <si>
    <t xml:space="preserve">    FY detail (10-K): other, net</t>
  </si>
  <si>
    <t xml:space="preserve">    FY 10-K: loyalty deferred revenue</t>
  </si>
  <si>
    <t>Cash from operations</t>
  </si>
  <si>
    <t>Net cash provided by operating activities.</t>
  </si>
  <si>
    <t xml:space="preserve">  Operating cash flow as reported</t>
  </si>
  <si>
    <t>Check: CFO build = reported</t>
  </si>
  <si>
    <t>Investing activities</t>
  </si>
  <si>
    <t>Flight equipment</t>
  </si>
  <si>
    <t>Source S9,S7,S5,S3,S8. 3Q26E: FY26 gross capex ~$5B run-rate; 2Q26 $1.24B. Including advance payments.</t>
  </si>
  <si>
    <t>Ground property &amp; equipment</t>
  </si>
  <si>
    <t>Source S9,S7,S5,S3,S8. Including technology.</t>
  </si>
  <si>
    <t>Redemption of short-term investments</t>
  </si>
  <si>
    <t>Source S9,S8.</t>
  </si>
  <si>
    <t>Strategic / equity investments</t>
  </si>
  <si>
    <t>Source S7,S5,S3,S8. Acquisition of strategic and equity investments.</t>
  </si>
  <si>
    <t>Other, net (investing)</t>
  </si>
  <si>
    <t>Net cash used in investing activities</t>
  </si>
  <si>
    <t xml:space="preserve">  Capex (flight + ground)</t>
  </si>
  <si>
    <t xml:space="preserve">  Memo: CFO less capital expenditures</t>
  </si>
  <si>
    <t>Financing activities</t>
  </si>
  <si>
    <t>Proceeds from short-term obligations</t>
  </si>
  <si>
    <t>Proceeds from long-term obligations</t>
  </si>
  <si>
    <t>Source S9,S3,S8.</t>
  </si>
  <si>
    <t>Payments on debt &amp; finance leases</t>
  </si>
  <si>
    <t>Cash dividends</t>
  </si>
  <si>
    <t>Other, net (financing)</t>
  </si>
  <si>
    <t>Net cash used in financing activities</t>
  </si>
  <si>
    <t>Net change in cash &amp; restricted cash</t>
  </si>
  <si>
    <t>Cash &amp; restricted - beginning</t>
  </si>
  <si>
    <t>Source S9,S7,S5,S3,S8. As reported (4Q25 beginning $3,970M vs 3Q25 ending $3,971M: company rounding).</t>
  </si>
  <si>
    <t>Cash &amp; restricted - end</t>
  </si>
  <si>
    <t>Check: ending cash ties to BS</t>
  </si>
  <si>
    <t>Ending cash vs Balance Sheet cash plus restricted cash. 3Q26E column: construction identity (built from a residual/same inputs), excluded from Cover!C33 PASS.</t>
  </si>
  <si>
    <t>Check: change in cash ties to BS</t>
  </si>
  <si>
    <t>3Q25: prior balance (Jun-25) outside the timeline; 4Q25 shows the $1M company rounding between 3Q25 ending and 4Q25 beginning cash. Net change vs change in Balance Sheet cash plus restricted cash. 3Q26E column: construction identity (built from a residual/same inputs), excluded from Cover!C33 PASS.</t>
  </si>
  <si>
    <t>Geo - passenger and operating revenue by region</t>
  </si>
  <si>
    <t>Passenger revenue by region (company "entity" disclosure)</t>
  </si>
  <si>
    <t>Domestic passenger revenue</t>
  </si>
  <si>
    <t>Source S9,S7,S5,S3. 3Q26E = 3Q25 x (1+capacity) x (1+unit revenue).</t>
  </si>
  <si>
    <t xml:space="preserve">    9M24: Domestic pax revenue</t>
  </si>
  <si>
    <t xml:space="preserve">    Capacity (ASMs) % Y/Y</t>
  </si>
  <si>
    <t>Source S9,S7,S5,S3. Company-reported, rounded to whole %. 3Q26E input (system capacity guided ~+1%; S11).</t>
  </si>
  <si>
    <t xml:space="preserve">    Unit revenue (PRASM) % Y/Y</t>
  </si>
  <si>
    <t>Source S9,S7,S5,S3. Company-reported, rounded to whole %. 3Q26E input. Company-reported.</t>
  </si>
  <si>
    <t xml:space="preserve">    Yield % Y/Y - reported</t>
  </si>
  <si>
    <t>Source S9,S7,S5,S3. 3Q26E not modelled at regional level (n.a.).</t>
  </si>
  <si>
    <t xml:space="preserve">    % of passenger revenue</t>
  </si>
  <si>
    <t>Atlantic passenger revenue</t>
  </si>
  <si>
    <t xml:space="preserve">    9M24: Atlantic pax revenue</t>
  </si>
  <si>
    <t>Latin America passenger revenue</t>
  </si>
  <si>
    <t xml:space="preserve">    9M24: Latin America pax revenue</t>
  </si>
  <si>
    <t>Pacific passenger revenue</t>
  </si>
  <si>
    <t xml:space="preserve">    9M24: Pacific pax revenue</t>
  </si>
  <si>
    <t>Passenger revenue - total of regions</t>
  </si>
  <si>
    <t>Check: regions = passenger by product</t>
  </si>
  <si>
    <t>Tolerance: &lt;= $2M rounding. 3Q26E column: construction identity (built from a residual/same inputs), excluded from Cover!C33 PASS.</t>
  </si>
  <si>
    <t>Cargo revenue (not by region)</t>
  </si>
  <si>
    <t>Not allocated by region.</t>
  </si>
  <si>
    <t>Refinery sales (in Domestic)</t>
  </si>
  <si>
    <t>Third-party refinery sales, reported in Domestic.</t>
  </si>
  <si>
    <t>Check: Geo total = IS total revenue</t>
  </si>
  <si>
    <t>Operating revenue by geographic region (10-Q / 10-K note)</t>
  </si>
  <si>
    <t>Domestic operating revenue</t>
  </si>
  <si>
    <t>Source S10,S8,S6,S4. 4Q25 derived = FY25 (10-K) less 9M25 (10-Q). 3Q26E: passenger forecast x 3Q25 op-rev/passenger ratio; Domestic is the residual (includes refinery).</t>
  </si>
  <si>
    <t xml:space="preserve">    9M25: Domestic op. revenue</t>
  </si>
  <si>
    <t>PY regional operating revenue only partly in the timeline; Y/Y shown for the forecast column.</t>
  </si>
  <si>
    <t xml:space="preserve">    % of total operating revenue</t>
  </si>
  <si>
    <t>Atlantic operating revenue</t>
  </si>
  <si>
    <t xml:space="preserve">    9M25: Atlantic op. revenue</t>
  </si>
  <si>
    <t>Latin America operating revenue</t>
  </si>
  <si>
    <t xml:space="preserve">    9M25: Latin America op. revenue</t>
  </si>
  <si>
    <t>Pacific operating revenue</t>
  </si>
  <si>
    <t xml:space="preserve">    9M25: Pacific op. revenue</t>
  </si>
  <si>
    <t xml:space="preserve">  Total operating revenue (IS)</t>
  </si>
  <si>
    <t>Operating revenue - total of regions</t>
  </si>
  <si>
    <t>Check: Geo sums to total revenue</t>
  </si>
  <si>
    <t>Share Count</t>
  </si>
  <si>
    <t>Weighted average shares (millions)</t>
  </si>
  <si>
    <t>Basic weighted average shares</t>
  </si>
  <si>
    <t>Source S9,S7,S5,S3. 3Q26E basic: 2Q26 654 + modest issuance under equity plans; no buybacks (none under $1.0B authorization through 6/30/26).</t>
  </si>
  <si>
    <t xml:space="preserve">  Dilutive effect</t>
  </si>
  <si>
    <t>Share-based instruments.</t>
  </si>
  <si>
    <t>Diluted weighted avg shares</t>
  </si>
  <si>
    <t>Source S9,S7,S5,S3. 1Q26 GAAP diluted = basic because of the net loss (anti-dilution). GAAP.</t>
  </si>
  <si>
    <t>Diluted shares for non-GAAP EPS</t>
  </si>
  <si>
    <t>1Q26 SOURCE LIMITATION (unresolved, historical only): S5 Note A gives non-GAAP NI $423M / EPS $0.64 but no non-GAAP diluted share count; S6 10-Q shows GAAP diluted = basic 652 (loss). 657 is a PROXY = six-month 1H26 diluted weighted count (S4), not a quarter count. $0.64 implies ~656-666M; 652 would give $0.65. No 3Q26E impact.</t>
  </si>
  <si>
    <t>Period-end shares and capital return</t>
  </si>
  <si>
    <t>Shares outstanding, end (M)</t>
  </si>
  <si>
    <t>Source S10,S8,S6,S4. 10-Q/10-K cover pages; Dec-25 = issued 659,669,346 less treasury 6,498,109 (10-K R4).</t>
  </si>
  <si>
    <t xml:space="preserve">  Shares issued (M)</t>
  </si>
  <si>
    <t>1Q26: remaining 1.9M PSP warrants exercised (net share settled) per 10-Q. 3Q26E assumption 0.5M. Equity plans and warrants.</t>
  </si>
  <si>
    <t xml:space="preserve">  Shares repurchased (M)</t>
  </si>
  <si>
    <t>Source S4. $1.0B authorization (Jun-2025, through Jun-2028); no repurchases through 6/30/26 (10-Q).</t>
  </si>
  <si>
    <t xml:space="preserve">  Share repurchases ($M)</t>
  </si>
  <si>
    <t>Source S4.</t>
  </si>
  <si>
    <t>Dividend per share ($)</t>
  </si>
  <si>
    <t>Source S12,S4. 3Q25: 25% increase to $0.1875 from Sep-25 qtr; 2Q26: $0.1875 paid Jun 4; 3Q26: $0.2150 declared Jun 18 payable Jul 30. 4Q25/1Q26 per-share not verified -&gt; n.a. Declared/paid in the quarter.</t>
  </si>
  <si>
    <t>Cash dividends paid ($M)</t>
  </si>
  <si>
    <t>Share count behind EPS</t>
  </si>
  <si>
    <t>Diluted shares in EPS (M)</t>
  </si>
  <si>
    <t>Adjusted net income ($M)</t>
  </si>
  <si>
    <t>Adjusted diluted EPS ($)</t>
  </si>
  <si>
    <t>Check: EPS = adj. NI / shares</t>
  </si>
  <si>
    <t>Compared with Income Statement adjusted EPS. 3Q26E column: construction identity (built from a residual/same inputs), excluded from Cover!C33 PASS.</t>
  </si>
  <si>
    <t>Guidance - issued vs actual</t>
  </si>
  <si>
    <t>Metric</t>
  </si>
  <si>
    <t>Date issued</t>
  </si>
  <si>
    <t>Low</t>
  </si>
  <si>
    <t>High</t>
  </si>
  <si>
    <t>Midpoint</t>
  </si>
  <si>
    <t>Actual / est.</t>
  </si>
  <si>
    <t>Beat / miss</t>
  </si>
  <si>
    <t>Adjusted EPS ($)</t>
  </si>
  <si>
    <t>3Q25</t>
  </si>
  <si>
    <t>S12</t>
  </si>
  <si>
    <t>Source S12.</t>
  </si>
  <si>
    <t>Adjusted revenue growth Y/Y</t>
  </si>
  <si>
    <t>S12,S9</t>
  </si>
  <si>
    <t>Source S12,S9.</t>
  </si>
  <si>
    <t>FY25</t>
  </si>
  <si>
    <t>4Q25</t>
  </si>
  <si>
    <t>S9</t>
  </si>
  <si>
    <t>Source S9.</t>
  </si>
  <si>
    <t>1Q26</t>
  </si>
  <si>
    <t>S7</t>
  </si>
  <si>
    <t>Source S7.</t>
  </si>
  <si>
    <t>2Q26</t>
  </si>
  <si>
    <t>S5</t>
  </si>
  <si>
    <t>Adj. revenue growth (low-teens)</t>
  </si>
  <si>
    <t>Adjusted EPS ($) - target quarter</t>
  </si>
  <si>
    <t>3Q26</t>
  </si>
  <si>
    <t>S3</t>
  </si>
  <si>
    <t>3Q26 adj. revenue growth (mid-teens)</t>
  </si>
  <si>
    <t>3Q26 adj. operating margin</t>
  </si>
  <si>
    <t>3Q26 all-in fuel price ($/gal)</t>
  </si>
  <si>
    <t>Source S3. Jul-2-2026 forward curve.</t>
  </si>
  <si>
    <t>FY26</t>
  </si>
  <si>
    <t>S7,S3</t>
  </si>
  <si>
    <t>Source S7,S3.</t>
  </si>
  <si>
    <t>Free cash flow ($B)</t>
  </si>
  <si>
    <t>Memo: 3Q26 guidance fuel price ($/gal)</t>
  </si>
  <si>
    <t>3Q25 margin actual 11.2% is the originally reported adjusted operating margin (S9).</t>
  </si>
  <si>
    <t>Revenue guidance is on the adjusted (ex-refinery) basis; "mid-teens" read as 14%-16%. CapIQ maps it to GAAP $19,174-19,507M (15%-17% on 3Q25 GAAP $16,673M).</t>
  </si>
  <si>
    <t>4Q25: Dec-3-2025 update flagged ~$200M (~$0.25) pre-tax hit from the government shutdown (S13). Mar-17-2026: 1Q26 revenue raised to high-single-digit growth.</t>
  </si>
  <si>
    <t>No 3Q26 guidance update was filed after Jul-10-2026 (EDGAR filing index checked through the cutoff).</t>
  </si>
  <si>
    <t>Guidance-implied 3Q26 figures</t>
  </si>
  <si>
    <t>Adj. revenue ($M)</t>
  </si>
  <si>
    <t>3Q25 adjusted revenue x (1 + guided growth).</t>
  </si>
  <si>
    <t>Total revenue ($M, CapIQ map)</t>
  </si>
  <si>
    <t>Adj. net income ($M)</t>
  </si>
  <si>
    <t>Guidance EPS x forecast diluted shares.</t>
  </si>
  <si>
    <t>CapIQ EPS guidance ($)</t>
  </si>
  <si>
    <t>Cross-check.</t>
  </si>
  <si>
    <t>Sources</t>
  </si>
  <si>
    <t>ID - title</t>
  </si>
  <si>
    <t>Published</t>
  </si>
  <si>
    <t>Retrieved</t>
  </si>
  <si>
    <t>Publisher</t>
  </si>
  <si>
    <t>Feeds</t>
  </si>
  <si>
    <t>URL or file</t>
  </si>
  <si>
    <t>S1 - DAL_consensus.json - consensus snapshot 3Q26</t>
  </si>
  <si>
    <t>S&amp;P Capital IQ (supplied)</t>
  </si>
  <si>
    <t>Inputs; Cover consensus; Guidance (CapIQ guidance range); prior</t>
  </si>
  <si>
    <t>workspace/DAL_consensus.json</t>
  </si>
  <si>
    <t>S2 - DAL_history.csv - 6 quarters actual vs consensus</t>
  </si>
  <si>
    <t>Inputs; prior calibration</t>
  </si>
  <si>
    <t>workspace/DAL_history.csv</t>
  </si>
  <si>
    <t>S3 - 8-K Ex.99.1 June quarter 2026 results</t>
  </si>
  <si>
    <t>Delta / SEC EDGAR</t>
  </si>
  <si>
    <t>2Q26A and 2Q25 PY: IS, BS, CF, revenue, stats, non-GAAP; 3Q26 guidance</t>
  </si>
  <si>
    <t>https://www.sec.gov/Archives/edgar/data/27904/000002790426000029/deltaairlinesannouncesjune.htm</t>
  </si>
  <si>
    <t>S4 - Form 10-Q quarter ended 2026-06-30</t>
  </si>
  <si>
    <t>Segments, geo revenue, EPS note, shares outstanding, tax-rate outlook</t>
  </si>
  <si>
    <t>https://www.sec.gov/Archives/edgar/data/27904/000002790426000031/dal-20260630.htm</t>
  </si>
  <si>
    <t>S5 - 8-K Ex.99.1 March quarter 2026 results</t>
  </si>
  <si>
    <t>1Q26A and 1Q25 PY; 2Q26 guidance</t>
  </si>
  <si>
    <t>https://www.sec.gov/Archives/edgar/data/27904/000002790426000020/deltaairlinesannouncesmarc.htm</t>
  </si>
  <si>
    <t>S6 - Form 10-Q quarter ended 2026-03-31</t>
  </si>
  <si>
    <t>Segments, geo revenue, shares outstanding</t>
  </si>
  <si>
    <t>https://www.sec.gov/Archives/edgar/data/27904/000002790426000022/dal-20260331.htm</t>
  </si>
  <si>
    <t>S7 - 8-K Ex.99.1 December quarter &amp; FY2025 results</t>
  </si>
  <si>
    <t>4Q25A, FY25A, 4Q24/FY24 PY; FY26 guidance</t>
  </si>
  <si>
    <t>https://www.sec.gov/Archives/edgar/data/27904/000002790426000008/deltaairlinesannouncesdece.htm</t>
  </si>
  <si>
    <t>S8 - Form 10-K FY2025 (R5 IS, R7 CF, R41 segments, R50 geo)</t>
  </si>
  <si>
    <t>FY25 CF detail, segments, geo; Dec-25 BS (revised)</t>
  </si>
  <si>
    <t>https://www.sec.gov/Archives/edgar/data/27904/000002790426000013/dal-20251231.htm</t>
  </si>
  <si>
    <t>S9 - 8-K Ex.99.1 September quarter 2025 results</t>
  </si>
  <si>
    <t>3Q25A and 3Q24 PY; 4Q25 guidance</t>
  </si>
  <si>
    <t>https://www.sec.gov/Archives/edgar/data/27904/000002790425000018/deltaairlinesannouncessept.htm</t>
  </si>
  <si>
    <t>S10 - Form 10-Q quarter ended 2025-09-30</t>
  </si>
  <si>
    <t>3Q25 &amp; 9M25 segments, geo revenue, shares outstanding</t>
  </si>
  <si>
    <t>https://www.sec.gov/Archives/edgar/data/27904/000002790425000020/dal-20250930.htm</t>
  </si>
  <si>
    <t>S11 - 2Q26 earnings call transcript</t>
  </si>
  <si>
    <t>Delta (IR, proofread transcript)</t>
  </si>
  <si>
    <t>3Q26 capacity +1%, fuel +40% Y/Y at $3.15, CASM-ex commentary</t>
  </si>
  <si>
    <t>https://s2.q4cdn.com/181345880/files/doc_earnings/2026/q2/transcript/CORRECTED-TRANSCRIPT-Delta-Air-Lines-Inc-DAL-US-Q2-2026-Earnings-Call.pdf</t>
  </si>
  <si>
    <t>S12 - 8-K Ex.99.1 June quarter 2025 results (guidance)</t>
  </si>
  <si>
    <t>3Q25 and FY25 guidance</t>
  </si>
  <si>
    <t>https://www.sec.gov/Archives/edgar/data/27904/000168316825005002/delta_ex9901.htm</t>
  </si>
  <si>
    <t>S13 - Delta sees $200 million profit hit from US government shutdown</t>
  </si>
  <si>
    <t>Reuters</t>
  </si>
  <si>
    <t>Guidance: 4Q25 update</t>
  </si>
  <si>
    <t>https://www.reuters.com/sustainability/sustainable-finance-reporting/delta-air-flags-200-million-profit-hit-us-government-shutdown-2025-12-03/</t>
  </si>
  <si>
    <t>S14 - Kerosene-type jet fuel, U.S. Gulf Coast (monthly MJFUELUSGULF; daily DJFUELUSGULF)</t>
  </si>
  <si>
    <t>FRED / U.S. EIA</t>
  </si>
  <si>
    <t>Segment - Airline Gulf Coast jet fuel rows</t>
  </si>
  <si>
    <t>https://fred.stlouisfed.org/series/MJFUELUSGULF</t>
  </si>
  <si>
    <t>S15 - Aviation Fuel Spotlight: Gulf Coast wholesale jet peaked $4.705 on Sep 15</t>
  </si>
  <si>
    <t>GlobalAir.com</t>
  </si>
  <si>
    <t>September Gulf Coast jet estimate</t>
  </si>
  <si>
    <t>https://www.globalair.com/articles/aviation-fuel-spotlight-oil-is-flowing-but-jet-a-didnt-get-the-memo/12728</t>
  </si>
  <si>
    <t>S16 - JetBlue 8-K 3Q26 update: fuel $3.96 (from $3.49), RASM +4 pts</t>
  </si>
  <si>
    <t>JetBlue / SEC EDGAR</t>
  </si>
  <si>
    <t>Peer fuel and revenue read-across</t>
  </si>
  <si>
    <t>https://www.sec.gov/Archives/edgar/data/1158463/000115846326000089/jblu-20260910.htm</t>
  </si>
  <si>
    <t>S17 - UAL 3Q26 investor update: fuel $3.69 (Jul-14 curve), +$1.12 EPS hit since early July</t>
  </si>
  <si>
    <t>United Airlines / SEC EDGAR</t>
  </si>
  <si>
    <t>Peer fuel read-across</t>
  </si>
  <si>
    <t>https://www.sec.gov/Archives/edgar/data/100517/000010051726000135/ual_erx06302026xex992.htm</t>
  </si>
  <si>
    <t>S18 - American Airlines warns high fuel prices; 3Q revenue +16-19% reaffirmed</t>
  </si>
  <si>
    <t>Peer revenue read-across</t>
  </si>
  <si>
    <t>https://www.reuters.com/business/american-airlines-warns-high-fuel-prices-could-force-capacity-adjustments-2026-09-16/</t>
  </si>
  <si>
    <t>S19 - Delta must prove fare momentum can outrun record fuel (consensus $1.96)</t>
  </si>
  <si>
    <t>Earnings Whispers</t>
  </si>
  <si>
    <t>Other consensus observation (not comparator)</t>
  </si>
  <si>
    <t>https://beta.earningswhispers.com/article/DAL/20308</t>
  </si>
  <si>
    <t>S20 - TradingView 3Q26 estimate: EPS $1.88, revenue $17.62B</t>
  </si>
  <si>
    <t>Options Trading Report / TradingView</t>
  </si>
  <si>
    <t>Other consensus observation (adjusted revenue basis)</t>
  </si>
  <si>
    <t>https://www.optionstradingreport.com/2026/10/delta-faces-its-biggest-fuel-test-of-2026-options-price-an-8-move/</t>
  </si>
  <si>
    <t>S21 - DAL market cap $55.0B; close $84.09 (Oct 2, 2026)</t>
  </si>
  <si>
    <t>stockanalysis.com</t>
  </si>
  <si>
    <t>Inputs: market cap at cutoff</t>
  </si>
  <si>
    <t>https://stockanalysis.com/stocks/dal/market-cap/</t>
  </si>
  <si>
    <t>S22 - Webcast of September quarter 2026 results on Oct 9, 2026 10am ET</t>
  </si>
  <si>
    <t>Delta IR</t>
  </si>
  <si>
    <t>Cover: expected report date</t>
  </si>
  <si>
    <t>https://ir.delta.com/news/news-details/2026/Delta-Air-Lines-Announces-Webcast-of-September-Quarter-2026-Financial-Results/default.aspx</t>
  </si>
  <si>
    <t>S23 - Gulf Coast jet $4.19 on Sep 1 vs Delta $3.15 guide; 10c = ~$112M/qtr</t>
  </si>
  <si>
    <t>TechStock2 (ts2.tech)</t>
  </si>
  <si>
    <t>Fuel sensitivity cross-check</t>
  </si>
  <si>
    <t>https://ts2.tech/en/delta-stock-rebounds-2-3-jet-fuel-gap-tests-11-13-margin/</t>
  </si>
  <si>
    <t>S24 - 3Q26 US airline net income estimates (DL $1,325M)</t>
  </si>
  <si>
    <t>Airliners.net forum (citing proprietary research)</t>
  </si>
  <si>
    <t>Other estimate observation (low weight)</t>
  </si>
  <si>
    <t>https://www.airliners.net/forum/viewtopic.php?t=1512239</t>
  </si>
  <si>
    <t>Omitted tabs: none - Delta reports two segments (Airline, Refinery) and four geographic regions (10-Q Note 9 / Revenue by Geographic Region, S4).</t>
  </si>
  <si>
    <t>All sources carry published dates on or before 2026-10-04 and were retrieved 2026-10-05 (session date, after the 22:22 UTC cutoff); pages are not frozen as-of-cutoff snapshots, so later edits cannot be excluded. CapIQ S1/S2 capture is Oct-4 date precision only. No target-quarter actual results were encountered.</t>
  </si>
  <si>
    <t>Inputs - raw S&amp;P Capital IQ files (as supplied) and prior calibration</t>
  </si>
  <si>
    <t>A. DAL_consensus.json - top-level fields (S1)</t>
  </si>
  <si>
    <t>source</t>
  </si>
  <si>
    <t>S&amp;P Capital IQ</t>
  </si>
  <si>
    <t>Source S1.</t>
  </si>
  <si>
    <t>ticker</t>
  </si>
  <si>
    <t>company</t>
  </si>
  <si>
    <t>fiscal_period</t>
  </si>
  <si>
    <t>Q3 FY2026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</si>
  <si>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</si>
  <si>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</si>
  <si>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</si>
  <si>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</si>
  <si>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</si>
  <si>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</si>
  <si>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</si>
  <si>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</si>
  <si>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</si>
  <si>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</si>
  <si>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</si>
  <si>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</si>
  <si>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</si>
  <si>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</si>
  <si>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</si>
  <si>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DAL_consensus.json - summary_row (full raw row, values preserved; blanks left empty) (S1)</t>
  </si>
  <si>
    <t>company_name</t>
  </si>
  <si>
    <t>exchange_ticker</t>
  </si>
  <si>
    <t>NYSE:DAL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</si>
  <si>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</si>
  <si>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</si>
  <si>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</si>
  <si>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</si>
  <si>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</si>
  <si>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</si>
  <si>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</si>
  <si>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</si>
  <si>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</si>
  <si>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</si>
  <si>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</si>
  <si>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</si>
  <si>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</si>
  <si>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</si>
  <si>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</si>
  <si>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</si>
  <si>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</si>
  <si>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</si>
  <si>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</si>
  <si>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</si>
  <si>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</si>
  <si>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</si>
  <si>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</si>
  <si>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</si>
  <si>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</si>
  <si>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</si>
  <si>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</si>
  <si>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</si>
  <si>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</si>
  <si>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</si>
  <si>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</si>
  <si>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</si>
  <si>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</si>
  <si>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</si>
  <si>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</si>
  <si>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</si>
  <si>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</si>
  <si>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</si>
  <si>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</si>
  <si>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</si>
  <si>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</si>
  <si>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</si>
  <si>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</si>
  <si>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</si>
  <si>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</si>
  <si>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</si>
  <si>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</si>
  <si>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</si>
  <si>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</si>
  <si>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</si>
  <si>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</si>
  <si>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</si>
  <si>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</si>
  <si>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</si>
  <si>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</si>
  <si>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</si>
  <si>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</si>
  <si>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</si>
  <si>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</si>
  <si>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</si>
  <si>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</si>
  <si>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</si>
  <si>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</si>
  <si>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</si>
  <si>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</si>
  <si>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</si>
  <si>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</si>
  <si>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</si>
  <si>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</si>
  <si>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</si>
  <si>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</si>
  <si>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</si>
  <si>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Consensus EPSn mean 1.88 sits BELOW management guidance of 2.00-2.50, unusual; revenue consensus mean 18830 is likewise below the 19174-19507 guidance range.</t>
  </si>
  <si>
    <t>C. DAL_history.csv - six historical rows (S2)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</si>
  <si>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</si>
  <si>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</si>
  <si>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</si>
  <si>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</si>
  <si>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</si>
  <si>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</si>
  <si>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</si>
  <si>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Source S2.</t>
  </si>
  <si>
    <t>D. Prior calibration (forecasting playbook v2) - formulas over the rows above</t>
  </si>
  <si>
    <t>b = strict beats</t>
  </si>
  <si>
    <t>n = valid normalized pairs</t>
  </si>
  <si>
    <t>Average surprise ($/share, actual - consensus)</t>
  </si>
  <si>
    <t>S&amp;P 500 member (CapIQ field)</t>
  </si>
  <si>
    <t>Shares outstanding 6/30/26 (M, 10-Q cover)</t>
  </si>
  <si>
    <t>Market cap at cutoff ($M) = shares x last close</t>
  </si>
  <si>
    <t>Export left market cap blank; computed from 10-Q share count x CapIQ last close $84.09 (Oct 2, 2026). stockanalysis.com shows ~$55.0B (S21).</t>
  </si>
  <si>
    <t>Size bucket (&gt;$10B = large)</t>
  </si>
  <si>
    <t>Cohort prior (0.78 large OR S&amp;P 500; applied once)</t>
  </si>
  <si>
    <t>Pseudo-observations</t>
  </si>
  <si>
    <t>Starting P(beat) = (8 x prior + b)/(8 + n)</t>
  </si>
  <si>
    <t>Final P(beat consensus EPS) - after quarter-specific evidence</t>
  </si>
  <si>
    <t>Judgmental override, not used in EPS. Lowered from starting 0.80: post-guidance jet fuel spike (~$0.70/gal above the $3.15 guide) not fully offset by fare recapture; model EPS ~$0.24 below $1.88 with ~$0.25 1-sigma model error (~16% on the model alone), blended up toward the prior. Bridge: original run artifacts/prior-calibration.json.</t>
  </si>
  <si>
    <t>low</t>
  </si>
</sst>
</file>

<file path=xl/styles.xml><?xml version="1.0" encoding="utf-8"?>
<styleSheet xmlns="http://schemas.openxmlformats.org/spreadsheetml/2006/main">
  <numFmts count="12">
    <numFmt numFmtId="164" formatCode="yyyy-mm-dd"/>
    <numFmt numFmtId="165" formatCode="@"/>
    <numFmt numFmtId="166" formatCode="0.0%_);(0.0%);&quot;–&quot;_)"/>
    <numFmt numFmtId="167" formatCode="#,##0.00_);(#,##0.00);&quot;–&quot;_)"/>
    <numFmt numFmtId="168" formatCode="$0.00_);($0.00);&quot;–&quot;_)"/>
    <numFmt numFmtId="169" formatCode="#,##0.0_);(#,##0.0);&quot;–&quot;_)"/>
    <numFmt numFmtId="170" formatCode="General"/>
    <numFmt numFmtId="171" formatCode="0"/>
    <numFmt numFmtId="172" formatCode="mm/dd/yyyy"/>
    <numFmt numFmtId="173" formatCode="#,##0_);(#,##0);&quot;–&quot;_)"/>
    <numFmt numFmtId="174" formatCode="0.0x"/>
    <numFmt numFmtId="175" formatCode="$0.00_);($0.00);&quot;–&quot;_);@_)"/>
  </numFmts>
  <fonts count="24">
    <font>
      <sz val="11"/>
      <name val="Calibri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595959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</borders>
  <cellStyleXfs count="1">
    <xf numFmtId="0" fontId="0" fillId="0" borderId="0"/>
  </cellStyleXfs>
  <cellXfs count="109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0" fontId="3" fillId="2" borderId="1" xfId="0" applyFont="1" applyFill="1" applyBorder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166" fontId="6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0" fontId="8" fillId="2" borderId="2" xfId="0" applyFont="1" applyFill="1" applyBorder="1" applyAlignment="1" applyProtection="1">
      <alignment horizontal="right" vertical="bottom" wrapText="1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top" wrapText="1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8" fontId="3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top"/>
      <protection locked="1" hidden="0"/>
    </xf>
    <xf numFmtId="0" fontId="3" fillId="0" borderId="0" xfId="0" applyFont="1" applyFill="1" applyAlignment="1" applyProtection="1">
      <alignment horizontal="general" vertical="top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9" fontId="8" fillId="0" borderId="3" xfId="0" applyNumberFormat="1" applyFont="1" applyFill="1" applyBorder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71" fontId="3" fillId="3" borderId="1" xfId="0" applyNumberFormat="1" applyFont="1" applyFill="1" applyBorder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bottom"/>
      <protection locked="1" hidden="0"/>
    </xf>
    <xf numFmtId="170" fontId="2" fillId="4" borderId="0" xfId="0" applyNumberFormat="1" applyFont="1" applyFill="1" applyAlignment="1" applyProtection="1">
      <alignment horizontal="right" vertical="bottom"/>
      <protection locked="1" hidden="0"/>
    </xf>
    <xf numFmtId="0" fontId="8" fillId="2" borderId="3" xfId="0" applyFont="1" applyFill="1" applyBorder="1" applyAlignment="1" applyProtection="1">
      <alignment horizontal="right" vertical="bottom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0" fontId="8" fillId="3" borderId="3" xfId="0" applyFont="1" applyFill="1" applyBorder="1" applyAlignment="1" applyProtection="1">
      <alignment horizontal="right" vertical="bottom"/>
      <protection locked="1" hidden="0"/>
    </xf>
    <xf numFmtId="169" fontId="4" fillId="0" borderId="0" xfId="0" applyNumberFormat="1" applyFont="1" applyFill="1" applyAlignment="1" applyProtection="1">
      <alignment horizontal="right" vertical="bottom"/>
      <protection locked="1" hidden="0"/>
    </xf>
    <xf numFmtId="171" fontId="3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9" fontId="3" fillId="4" borderId="0" xfId="0" applyNumberFormat="1" applyFont="1" applyFill="1" applyAlignment="1" applyProtection="1">
      <alignment horizontal="right" vertical="bottom"/>
      <protection locked="1" hidden="0"/>
    </xf>
    <xf numFmtId="169" fontId="8" fillId="4" borderId="3" xfId="0" applyNumberFormat="1" applyFont="1" applyFill="1" applyBorder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72" fontId="3" fillId="3" borderId="0" xfId="0" applyNumberFormat="1" applyFont="1" applyFill="1" applyAlignment="1" applyProtection="1">
      <alignment horizontal="right" vertical="bottom"/>
      <protection locked="1" hidden="0"/>
    </xf>
    <xf numFmtId="169" fontId="2" fillId="4" borderId="0" xfId="0" applyNumberFormat="1" applyFont="1" applyFill="1" applyAlignment="1" applyProtection="1">
      <alignment horizontal="right" vertical="bottom"/>
      <protection locked="1" hidden="0"/>
    </xf>
    <xf numFmtId="172" fontId="3" fillId="2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left" vertical="bottom"/>
      <protection locked="1" hidden="0"/>
    </xf>
    <xf numFmtId="0" fontId="3" fillId="2" borderId="3" xfId="0" applyFont="1" applyFill="1" applyBorder="1" applyAlignment="1" applyProtection="1">
      <alignment horizontal="general" vertical="bottom"/>
      <protection locked="1" hidden="0"/>
    </xf>
    <xf numFmtId="169" fontId="5" fillId="4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73" fontId="2" fillId="0" borderId="0" xfId="0" applyNumberFormat="1" applyFont="1" applyFill="1" applyAlignment="1" applyProtection="1">
      <alignment horizontal="right" vertical="bottom"/>
      <protection locked="1" hidden="0"/>
    </xf>
    <xf numFmtId="0" fontId="8" fillId="2" borderId="2" xfId="0" applyFont="1" applyFill="1" applyBorder="1" applyAlignment="1" applyProtection="1">
      <alignment horizontal="general" vertical="bottom" wrapText="1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left" vertical="bottom"/>
      <protection locked="1" hidden="0"/>
    </xf>
    <xf numFmtId="169" fontId="6" fillId="4" borderId="0" xfId="0" applyNumberFormat="1" applyFont="1" applyFill="1" applyAlignment="1" applyProtection="1">
      <alignment horizontal="right" vertical="bottom"/>
      <protection locked="1" hidden="0"/>
    </xf>
    <xf numFmtId="170" fontId="10" fillId="0" borderId="0" xfId="0" applyNumberFormat="1" applyFont="1" applyFill="1" applyAlignment="1" applyProtection="1">
      <alignment horizontal="left" vertical="bottom"/>
      <protection locked="1" hidden="0"/>
    </xf>
    <xf numFmtId="174" fontId="3" fillId="0" borderId="0" xfId="0" applyNumberFormat="1" applyFont="1" applyFill="1" applyAlignment="1" applyProtection="1">
      <alignment horizontal="right" vertical="bottom"/>
      <protection locked="1" hidden="0"/>
    </xf>
    <xf numFmtId="166" fontId="11" fillId="0" borderId="0" xfId="0" applyNumberFormat="1" applyFont="1" applyFill="1" applyAlignment="1" applyProtection="1">
      <alignment horizontal="left" vertical="bottom"/>
      <protection locked="1" hidden="0"/>
    </xf>
    <xf numFmtId="166" fontId="2" fillId="4" borderId="0" xfId="0" applyNumberFormat="1" applyFont="1" applyFill="1" applyAlignment="1" applyProtection="1">
      <alignment horizontal="right" vertical="bottom"/>
      <protection locked="1" hidden="0"/>
    </xf>
    <xf numFmtId="174" fontId="5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168" fontId="3" fillId="4" borderId="0" xfId="0" applyNumberFormat="1" applyFont="1" applyFill="1" applyAlignment="1" applyProtection="1">
      <alignment horizontal="right" vertical="bottom"/>
      <protection locked="1" hidden="0"/>
    </xf>
    <xf numFmtId="169" fontId="12" fillId="0" borderId="3" xfId="0" applyNumberFormat="1" applyFont="1" applyFill="1" applyBorder="1" applyAlignment="1" applyProtection="1">
      <alignment horizontal="right" vertical="bottom"/>
      <protection locked="1" hidden="0"/>
    </xf>
    <xf numFmtId="166" fontId="4" fillId="4" borderId="0" xfId="0" applyNumberFormat="1" applyFont="1" applyFill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73" fontId="5" fillId="0" borderId="0" xfId="0" applyNumberFormat="1" applyFont="1" applyFill="1" applyAlignment="1" applyProtection="1">
      <alignment horizontal="right" vertical="bottom"/>
      <protection locked="1" hidden="0"/>
    </xf>
    <xf numFmtId="166" fontId="6" fillId="4" borderId="0" xfId="0" applyNumberFormat="1" applyFont="1" applyFill="1" applyAlignment="1" applyProtection="1">
      <alignment horizontal="right" vertical="bottom"/>
      <protection locked="1" hidden="0"/>
    </xf>
    <xf numFmtId="167" fontId="3" fillId="4" borderId="0" xfId="0" applyNumberFormat="1" applyFont="1" applyFill="1" applyAlignment="1" applyProtection="1">
      <alignment horizontal="right" vertical="bottom"/>
      <protection locked="1" hidden="0"/>
    </xf>
    <xf numFmtId="173" fontId="2" fillId="4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right" vertical="bottom"/>
      <protection locked="1" hidden="0"/>
    </xf>
    <xf numFmtId="170" fontId="6" fillId="4" borderId="0" xfId="0" applyNumberFormat="1" applyFont="1" applyFill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168" fontId="5" fillId="4" borderId="0" xfId="0" applyNumberFormat="1" applyFont="1" applyFill="1" applyAlignment="1" applyProtection="1">
      <alignment horizontal="right" vertical="bottom"/>
      <protection locked="1" hidden="0"/>
    </xf>
    <xf numFmtId="174" fontId="5" fillId="4" borderId="0" xfId="0" applyNumberFormat="1" applyFont="1" applyFill="1" applyAlignment="1" applyProtection="1">
      <alignment horizontal="right" vertical="bottom"/>
      <protection locked="1" hidden="0"/>
    </xf>
    <xf numFmtId="173" fontId="3" fillId="4" borderId="0" xfId="0" applyNumberFormat="1" applyFont="1" applyFill="1" applyAlignment="1" applyProtection="1">
      <alignment horizontal="right" vertical="bottom"/>
      <protection locked="1" hidden="0"/>
    </xf>
    <xf numFmtId="0" fontId="3" fillId="4" borderId="0" xfId="0" applyFont="1" applyFill="1" applyAlignment="1" applyProtection="1">
      <alignment horizontal="right" vertical="bottom"/>
      <protection locked="1" hidden="0"/>
    </xf>
    <xf numFmtId="174" fontId="3" fillId="4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left" vertical="bottom"/>
      <protection locked="1" hidden="0"/>
    </xf>
    <xf numFmtId="168" fontId="8" fillId="0" borderId="3" xfId="0" applyNumberFormat="1" applyFont="1" applyFill="1" applyBorder="1" applyAlignment="1" applyProtection="1">
      <alignment horizontal="right" vertical="bottom"/>
      <protection locked="1" hidden="0"/>
    </xf>
    <xf numFmtId="168" fontId="2" fillId="4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170" fontId="3" fillId="0" borderId="0" xfId="0" applyNumberFormat="1" applyFont="1" applyFill="1" applyAlignment="1" applyProtection="1">
      <alignment horizontal="right" vertical="bottom"/>
      <protection locked="1" hidden="0"/>
    </xf>
    <xf numFmtId="168" fontId="8" fillId="4" borderId="3" xfId="0" applyNumberFormat="1" applyFont="1" applyFill="1" applyBorder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7" fontId="5" fillId="4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67" fontId="2" fillId="4" borderId="0" xfId="0" applyNumberFormat="1" applyFont="1" applyFill="1" applyAlignment="1" applyProtection="1">
      <alignment horizontal="right" vertical="bottom"/>
      <protection locked="1" hidden="0"/>
    </xf>
    <xf numFmtId="167" fontId="1" fillId="4" borderId="0" xfId="0" applyNumberFormat="1" applyFont="1" applyFill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169" fontId="10" fillId="4" borderId="3" xfId="0" applyNumberFormat="1" applyFont="1" applyFill="1" applyBorder="1" applyAlignment="1" applyProtection="1">
      <alignment horizontal="right" vertical="bottom"/>
      <protection locked="1" hidden="0"/>
    </xf>
    <xf numFmtId="170" fontId="14" fillId="2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0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4" fillId="2" borderId="2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70" fontId="20" fillId="0" borderId="0" xfId="0" applyNumberFormat="1" applyFont="1" applyFill="1" applyAlignment="1" applyProtection="1">
      <alignment horizontal="left" vertical="top" textRotation="0" wrapText="1" indent="1" readingOrder="0"/>
      <protection locked="1" hidden="0"/>
    </xf>
    <xf numFmtId="170" fontId="21" fillId="2" borderId="2" xfId="0" applyNumberFormat="1" applyFont="1" applyFill="1" applyBorder="1" applyAlignment="1" applyProtection="1">
      <alignment horizontal="left" vertical="bottom" textRotation="0" wrapText="1" indent="1" readingOrder="0"/>
      <protection locked="1" hidden="0"/>
    </xf>
    <xf numFmtId="17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1" fillId="4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1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0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showGridLines="0" tabSelected="1" workbookViewId="0"/>
  </sheetViews>
  <sheetFormatPr defaultRowHeight="15"/>
  <cols>
    <col min="1" max="1" width="10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 ht="16.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15" t="s">
        <v>1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46" t="s">
        <v>3</v>
      </c>
      <c r="C6" s="35" t="s">
        <v>4</v>
      </c>
      <c r="D6" s="3"/>
      <c r="E6" s="3"/>
      <c r="F6" s="3"/>
      <c r="G6" s="3"/>
      <c r="H6" s="3"/>
      <c r="I6" s="3"/>
      <c r="J6" s="3"/>
      <c r="K6" s="3"/>
    </row>
    <row r="7">
      <c r="A7" s="3"/>
      <c r="B7" s="41" t="s">
        <v>5</v>
      </c>
      <c r="C7" s="42">
        <v>46295</v>
      </c>
      <c r="D7" s="3"/>
      <c r="E7" s="3"/>
      <c r="F7" s="3"/>
      <c r="G7" s="3"/>
      <c r="H7" s="3"/>
      <c r="I7" s="3"/>
      <c r="J7" s="3"/>
      <c r="K7" s="3"/>
    </row>
    <row r="8">
      <c r="A8" s="3"/>
      <c r="B8" s="7" t="s">
        <v>6</v>
      </c>
      <c r="C8" s="29">
        <v>92</v>
      </c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4" t="s">
        <v>7</v>
      </c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 t="s">
        <v>8</v>
      </c>
      <c r="C11" s="45" t="s">
        <v>9</v>
      </c>
      <c r="D11" s="3"/>
      <c r="E11" s="3"/>
      <c r="F11" s="3"/>
      <c r="G11" s="3"/>
      <c r="H11" s="3"/>
      <c r="I11" s="3"/>
      <c r="J11" s="3"/>
      <c r="K11" s="3"/>
    </row>
    <row r="12">
      <c r="A12" s="3"/>
      <c r="B12" s="3" t="s">
        <v>10</v>
      </c>
      <c r="C12" s="45" t="s">
        <v>11</v>
      </c>
      <c r="D12" s="3"/>
      <c r="E12" s="3"/>
      <c r="F12" s="3"/>
      <c r="G12" s="3"/>
      <c r="H12" s="3"/>
      <c r="I12" s="3"/>
      <c r="J12" s="3"/>
      <c r="K12" s="3"/>
    </row>
    <row r="13">
      <c r="A13" s="3"/>
      <c r="B13" s="3" t="s">
        <v>12</v>
      </c>
      <c r="C13" s="45" t="s">
        <v>13</v>
      </c>
      <c r="D13" s="3"/>
      <c r="E13" s="3"/>
      <c r="F13" s="3"/>
      <c r="G13" s="3"/>
      <c r="H13" s="3"/>
      <c r="I13" s="3"/>
      <c r="J13" s="3"/>
      <c r="K13" s="3"/>
    </row>
    <row r="14">
      <c r="A14" s="3"/>
      <c r="B14" s="3" t="s">
        <v>14</v>
      </c>
      <c r="C14" s="45" t="s">
        <v>15</v>
      </c>
      <c r="D14" s="3"/>
      <c r="E14" s="3"/>
      <c r="F14" s="3"/>
      <c r="G14" s="3"/>
      <c r="H14" s="3"/>
      <c r="I14" s="3"/>
      <c r="J14" s="3"/>
      <c r="K14" s="3"/>
    </row>
    <row r="15">
      <c r="A15" s="3"/>
      <c r="B15" s="3" t="s">
        <v>16</v>
      </c>
      <c r="C15" s="59" t="s">
        <v>17</v>
      </c>
      <c r="D15" s="3"/>
      <c r="E15" s="3"/>
      <c r="F15" s="3"/>
      <c r="G15" s="3"/>
      <c r="H15" s="3"/>
      <c r="I15" s="3"/>
      <c r="J15" s="3"/>
      <c r="K15" s="3"/>
    </row>
    <row r="16">
      <c r="A16" s="3"/>
      <c r="B16" s="3" t="s">
        <v>18</v>
      </c>
      <c r="C16" s="45" t="s">
        <v>19</v>
      </c>
      <c r="D16" s="3"/>
      <c r="E16" s="3"/>
      <c r="F16" s="3"/>
      <c r="G16" s="3"/>
      <c r="H16" s="3"/>
      <c r="I16" s="3"/>
      <c r="J16" s="3"/>
      <c r="K16" s="3"/>
    </row>
    <row r="17">
      <c r="A17" s="3"/>
      <c r="B17" s="3" t="s">
        <v>20</v>
      </c>
      <c r="C17" s="45" t="s">
        <v>21</v>
      </c>
      <c r="D17" s="3"/>
      <c r="E17" s="3"/>
      <c r="F17" s="3"/>
      <c r="G17" s="3"/>
      <c r="H17" s="3"/>
      <c r="I17" s="3"/>
      <c r="J17" s="3"/>
      <c r="K17" s="3"/>
    </row>
    <row r="18">
      <c r="A18" s="3"/>
      <c r="B18" s="3" t="s">
        <v>22</v>
      </c>
      <c r="C18" s="45" t="s">
        <v>23</v>
      </c>
      <c r="D18" s="3"/>
      <c r="E18" s="3"/>
      <c r="F18" s="3"/>
      <c r="G18" s="3"/>
      <c r="H18" s="3"/>
      <c r="I18" s="3"/>
      <c r="J18" s="3"/>
      <c r="K18" s="3"/>
    </row>
    <row r="19">
      <c r="A19" s="3"/>
      <c r="B19" s="3" t="s">
        <v>24</v>
      </c>
      <c r="C19" s="45" t="s">
        <v>25</v>
      </c>
      <c r="D19" s="3"/>
      <c r="E19" s="3"/>
      <c r="F19" s="3"/>
      <c r="G19" s="3"/>
      <c r="H19" s="3"/>
      <c r="I19" s="3"/>
      <c r="J19" s="3"/>
      <c r="K19" s="3"/>
    </row>
    <row r="20">
      <c r="A20" s="3"/>
      <c r="B20" s="3" t="s">
        <v>26</v>
      </c>
      <c r="C20" s="45" t="s">
        <v>27</v>
      </c>
      <c r="D20" s="3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33">
      <c r="A22" s="3"/>
      <c r="B22" s="50" t="s">
        <v>28</v>
      </c>
      <c r="C22" s="13" t="s">
        <v>29</v>
      </c>
      <c r="D22" s="13" t="s">
        <v>30</v>
      </c>
      <c r="E22" s="13" t="s">
        <v>31</v>
      </c>
      <c r="F22" s="13" t="s">
        <v>32</v>
      </c>
      <c r="G22" s="13" t="s">
        <v>33</v>
      </c>
      <c r="H22" s="13" t="s">
        <v>34</v>
      </c>
      <c r="I22" s="3"/>
      <c r="J22" s="3"/>
      <c r="K22" s="3"/>
    </row>
    <row r="23">
      <c r="A23" s="3"/>
      <c r="B23" s="3" t="s">
        <v>35</v>
      </c>
      <c r="C23" s="23">
        <f>'Income Statement'!H14</f>
        <v>19990.520887748175</v>
      </c>
      <c r="D23" s="23">
        <f>Inputs!C54</f>
        <v>18830.21</v>
      </c>
      <c r="E23" s="22">
        <f>C23-D23</f>
        <v>1160.3108877481754</v>
      </c>
      <c r="F23" s="51">
        <f>C23/D23-1</f>
        <v>0.061619646713880316</v>
      </c>
      <c r="G23" s="23">
        <f>Guidance!E38</f>
        <v>19340.68</v>
      </c>
      <c r="H23" s="22">
        <f>C23-G23</f>
        <v>649.8408877481743</v>
      </c>
      <c r="I23" s="11" t="s">
        <v>36</v>
      </c>
      <c r="J23" s="3"/>
      <c r="K23" s="3"/>
    </row>
    <row r="24">
      <c r="A24" s="3"/>
      <c r="B24" s="3" t="s">
        <v>37</v>
      </c>
      <c r="C24" s="23">
        <f>'Revenue summary'!H89</f>
        <v>17759.540874999995</v>
      </c>
      <c r="D24" s="22" t="s">
        <v>38</v>
      </c>
      <c r="E24" s="22" t="s">
        <v>38</v>
      </c>
      <c r="F24" s="51" t="s">
        <v>38</v>
      </c>
      <c r="G24" s="23">
        <f>Guidance!E37</f>
        <v>17476.550000000003</v>
      </c>
      <c r="H24" s="22">
        <f>C24-G24</f>
        <v>282.99087499999223</v>
      </c>
      <c r="I24" s="11" t="s">
        <v>39</v>
      </c>
      <c r="J24" s="3"/>
      <c r="K24" s="3"/>
    </row>
    <row r="25">
      <c r="A25" s="3"/>
      <c r="B25" s="3" t="s">
        <v>40</v>
      </c>
      <c r="C25" s="23">
        <f>'Income Statement'!H126</f>
        <v>1081.368237793567</v>
      </c>
      <c r="D25" s="23">
        <f>Inputs!C67</f>
        <v>1250.96</v>
      </c>
      <c r="E25" s="22">
        <f>C25-D25</f>
        <v>-169.59176220643303</v>
      </c>
      <c r="F25" s="51">
        <f>C25/D25-1</f>
        <v>-0.13556929254846917</v>
      </c>
      <c r="G25" s="23">
        <f>Guidance!E39</f>
        <v>1482.75</v>
      </c>
      <c r="H25" s="22">
        <f>C25-G25</f>
        <v>-401.381762206433</v>
      </c>
      <c r="I25" s="97" t="s">
        <v>41</v>
      </c>
      <c r="J25" s="3"/>
      <c r="K25" s="3"/>
    </row>
    <row r="26">
      <c r="A26" s="3"/>
      <c r="B26" s="3" t="s">
        <v>42</v>
      </c>
      <c r="C26" s="23">
        <f>'Income Statement'!H101</f>
        <v>1081.368237793567</v>
      </c>
      <c r="D26" s="23">
        <f>Inputs!C68</f>
        <v>1315.6</v>
      </c>
      <c r="E26" s="22">
        <f>C26-D26</f>
        <v>-234.2317622064329</v>
      </c>
      <c r="F26" s="51">
        <f>C26/D26-1</f>
        <v>-0.17804177729281923</v>
      </c>
      <c r="G26" s="22" t="s">
        <v>38</v>
      </c>
      <c r="H26" s="22" t="s">
        <v>38</v>
      </c>
      <c r="I26" s="3"/>
      <c r="J26" s="3"/>
      <c r="K26" s="3"/>
    </row>
    <row r="27">
      <c r="A27" s="3"/>
      <c r="B27" s="3" t="s">
        <v>43</v>
      </c>
      <c r="C27" s="8">
        <f>'Income Statement'!H128</f>
        <v>1.6409229708551851</v>
      </c>
      <c r="D27" s="8">
        <f>Inputs!C38</f>
        <v>1.88</v>
      </c>
      <c r="E27" s="18">
        <f>C27-D27</f>
        <v>-0.23907702914481477</v>
      </c>
      <c r="F27" s="51">
        <f>C27/D27-1</f>
        <v>-0.1271686325238377</v>
      </c>
      <c r="G27" s="8">
        <f>Guidance!E36</f>
        <v>2.25</v>
      </c>
      <c r="H27" s="18">
        <f>C27-G27</f>
        <v>-0.6090770291448149</v>
      </c>
      <c r="I27" s="11" t="s">
        <v>44</v>
      </c>
      <c r="J27" s="3"/>
      <c r="K27" s="3"/>
    </row>
    <row r="28">
      <c r="A28" s="3"/>
      <c r="B28" s="3" t="s">
        <v>45</v>
      </c>
      <c r="C28" s="8">
        <f>'Income Statement'!H112</f>
        <v>1.6409229708551851</v>
      </c>
      <c r="D28" s="8">
        <f>Inputs!C47</f>
        <v>1.94</v>
      </c>
      <c r="E28" s="18">
        <f>C28-D28</f>
        <v>-0.2990770291448148</v>
      </c>
      <c r="F28" s="51">
        <f>C28/D28-1</f>
        <v>-0.15416341708495607</v>
      </c>
      <c r="G28" s="18" t="s">
        <v>38</v>
      </c>
      <c r="H28" s="18" t="s">
        <v>38</v>
      </c>
      <c r="I28" s="3"/>
      <c r="J28" s="3"/>
      <c r="K28" s="3"/>
    </row>
    <row r="29">
      <c r="A29" s="3"/>
      <c r="B29" s="6" t="s">
        <v>46</v>
      </c>
      <c r="C29" s="9">
        <f>'Income Statement'!H138</f>
        <v>0.09078364260625116</v>
      </c>
      <c r="D29" s="12" t="s">
        <v>38</v>
      </c>
      <c r="E29" s="12" t="s">
        <v>38</v>
      </c>
      <c r="F29" s="12" t="s">
        <v>38</v>
      </c>
      <c r="G29" s="9">
        <f>Guidance!G25</f>
        <v>0.12</v>
      </c>
      <c r="H29" s="49">
        <f>(C29-G29)*10000</f>
        <v>-292.16357393748837</v>
      </c>
      <c r="I29" s="11" t="s">
        <v>47</v>
      </c>
      <c r="J29" s="3"/>
      <c r="K29" s="3"/>
    </row>
    <row r="30">
      <c r="A30" s="3"/>
      <c r="B30" s="65" t="s">
        <v>48</v>
      </c>
      <c r="C30" s="98">
        <f>Inputs!C131</f>
        <v>0.27</v>
      </c>
      <c r="D30" s="3"/>
      <c r="E30" s="3"/>
      <c r="F30" s="3"/>
      <c r="G30" s="3"/>
      <c r="H30" s="3"/>
      <c r="I30" s="3"/>
      <c r="J30" s="3"/>
      <c r="K30" s="3"/>
    </row>
    <row r="31">
      <c r="A31" s="3"/>
      <c r="B31" s="15" t="s">
        <v>49</v>
      </c>
      <c r="C31" s="54" t="str">
        <f>Inputs!C132</f>
        <v>low</v>
      </c>
      <c r="D31" s="3"/>
      <c r="E31" s="3"/>
      <c r="F31" s="3"/>
      <c r="G31" s="3"/>
      <c r="H31" s="3"/>
      <c r="I31" s="3"/>
      <c r="J31" s="3"/>
      <c r="K31" s="3"/>
    </row>
    <row r="32">
      <c r="A32" s="3"/>
      <c r="B32" s="6" t="s">
        <v>50</v>
      </c>
      <c r="C32" s="96" t="b">
        <f>AND(ABS(C23-'Income Statement'!H14)&lt;0.001,ABS(C25-'Income Statement'!H126)&lt;0.001,ABS(C26-'Income Statement'!H101)&lt;0.001,ABS(C27-'Income Statement'!H128)&lt;0.00001,ABS(C28-'Income Statement'!H112)&lt;0.00001,ABS(C24-'Revenue summary'!H89)&lt;0.001)</f>
        <v>1</v>
      </c>
      <c r="D32" s="3"/>
      <c r="E32" s="3"/>
      <c r="F32" s="3"/>
      <c r="G32" s="3"/>
      <c r="H32" s="3"/>
      <c r="I32" s="3"/>
      <c r="J32" s="3"/>
      <c r="K32" s="3"/>
    </row>
    <row r="33">
      <c r="A33" s="3"/>
      <c r="B33" s="15" t="s">
        <v>51</v>
      </c>
      <c r="C33" s="54" t="str">
        <f>IF(AND(C32,'Revenue summary'!C85,'Revenue summary'!D85,'Revenue summary'!E85,'Revenue summary'!F85,'Revenue summary'!G85,'Revenue summary'!C86,'Revenue summary'!D86,'Revenue summary'!E86,'Revenue summary'!F86,'Revenue summary'!G86,'Segment - Airline'!C91,'Segment - Airline'!D91,'Segment - Airline'!E91,'Segment - Airline'!F91,'Segment - Airline'!G91,'Segment - Airline'!C173,'Segment - Airline'!D173,'Segment - Airline'!E173,'Segment - Airline'!F173,'Segment - Airline'!G173,'Segment - Airline'!C232,'Segment - Airline'!D232,'Segment - Airline'!E232,'Segment - Airline'!F232,'Segment - Airline'!G232,'Segment - Refinery'!C78,'Segment - Refinery'!D78,'Segment - Refinery'!E78,'Segment - Refinery'!F78,'Segment - Refinery'!G78,'Segment - Refinery'!C89,'Segment - Refinery'!D89,'Segment - Refinery'!E89,'Segment - Refinery'!F89,'Segment - Refinery'!G89,'Income Statement'!C68,'Income Statement'!D68,'Income Statement'!E68,'Income Statement'!F68,'Income Statement'!G68,'Income Statement'!C116,'Income Statement'!D116,'Income Statement'!E116,'Income Statement'!F116,'Income Statement'!G116,'Income Statement'!C132,'Income Statement'!D132,'Income Statement'!E132,'Income Statement'!F132,'Income Statement'!G132,'Income Statement'!G160,'Income Statement'!G161,'Income Statement'!G162,ABS('Balance Sheet'!C46)&lt;=1,ABS('Balance Sheet'!D46)&lt;=1,ABS('Balance Sheet'!E46)&lt;=1,ABS('Balance Sheet'!F46)&lt;=1,ABS('Balance Sheet'!G46)&lt;=1,ABS('Balance Sheet'!H46)&lt;=1,'Balance Sheet'!C47,'Balance Sheet'!D47,'Balance Sheet'!E47,'Balance Sheet'!F47,'Balance Sheet'!G47,'Cash Flow Statement'!C26,'Cash Flow Statement'!D26,'Cash Flow Statement'!E26,'Cash Flow Statement'!F26,'Cash Flow Statement'!G26,ABS('Cash Flow Statement'!C49)&lt;=1,ABS('Cash Flow Statement'!D49)&lt;=1,ABS('Cash Flow Statement'!E49)&lt;=1,ABS('Cash Flow Statement'!F49)&lt;=1,ABS('Cash Flow Statement'!G49)&lt;=1,ABS('Cash Flow Statement'!D50)&lt;=1,ABS('Cash Flow Statement'!E50)&lt;=1,ABS('Cash Flow Statement'!F50)&lt;=1,Geo!C70,Geo!D70,Geo!E70,Geo!F70,Geo!G70,Geo!C75,Geo!D75,Geo!E75,Geo!F75,Geo!G75,Geo!C117,Geo!D117,Geo!E117,Geo!F117,Geo!G117,'Share Count'!C34,'Share Count'!D34,'Share Count'!E34,'Share Count'!F34,'Share Count'!G34),"PASS","FAIL")</f>
        <v>PASS</v>
      </c>
      <c r="D33" s="3"/>
      <c r="E33" s="3"/>
      <c r="F33" s="3"/>
      <c r="G33" s="3"/>
      <c r="H33" s="3"/>
      <c r="I33" s="11" t="s">
        <v>52</v>
      </c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ht="33">
      <c r="A35" s="3"/>
      <c r="B35" s="50" t="s">
        <v>53</v>
      </c>
      <c r="C35" s="13" t="s">
        <v>54</v>
      </c>
      <c r="D35" s="13" t="s">
        <v>55</v>
      </c>
      <c r="E35" s="13" t="s">
        <v>56</v>
      </c>
      <c r="F35" s="13" t="s">
        <v>57</v>
      </c>
      <c r="G35" s="3"/>
      <c r="H35" s="3"/>
      <c r="I35" s="3"/>
      <c r="J35" s="3"/>
      <c r="K35" s="3"/>
    </row>
    <row r="36">
      <c r="A36" s="3"/>
      <c r="B36" s="3" t="s">
        <v>58</v>
      </c>
      <c r="C36" s="24">
        <v>1.96</v>
      </c>
      <c r="D36" s="27">
        <v>17700</v>
      </c>
      <c r="E36" s="1">
        <v>46296</v>
      </c>
      <c r="F36" s="24" t="s">
        <v>59</v>
      </c>
      <c r="G36" s="3"/>
      <c r="H36" s="3"/>
      <c r="I36" s="11" t="s">
        <v>60</v>
      </c>
      <c r="J36" s="3"/>
      <c r="K36" s="3"/>
    </row>
    <row r="37">
      <c r="A37" s="3"/>
      <c r="B37" s="3" t="s">
        <v>61</v>
      </c>
      <c r="C37" s="24">
        <v>1.88</v>
      </c>
      <c r="D37" s="27">
        <v>17620</v>
      </c>
      <c r="E37" s="1">
        <v>46299</v>
      </c>
      <c r="F37" s="24" t="s">
        <v>62</v>
      </c>
      <c r="G37" s="3"/>
      <c r="H37" s="3"/>
      <c r="I37" s="11" t="s">
        <v>63</v>
      </c>
      <c r="J37" s="3"/>
      <c r="K37" s="3"/>
    </row>
    <row r="38">
      <c r="A38" s="3"/>
      <c r="B38" s="3" t="s">
        <v>64</v>
      </c>
      <c r="C38" s="8">
        <f>Inputs!C39</f>
        <v>1.78</v>
      </c>
      <c r="D38" s="3"/>
      <c r="E38" s="3"/>
      <c r="F38" s="18" t="s">
        <v>65</v>
      </c>
      <c r="G38" s="3"/>
      <c r="H38" s="3"/>
      <c r="I38" s="3"/>
      <c r="J38" s="3"/>
      <c r="K38" s="3"/>
    </row>
    <row r="39">
      <c r="A39" s="3"/>
      <c r="B39" s="3" t="s">
        <v>66</v>
      </c>
      <c r="C39" s="8">
        <f>Inputs!C41</f>
        <v>1.55</v>
      </c>
      <c r="D39" s="3"/>
      <c r="E39" s="3"/>
      <c r="F39" s="18" t="s">
        <v>65</v>
      </c>
      <c r="G39" s="3"/>
      <c r="H39" s="3"/>
      <c r="I39" s="3"/>
      <c r="J39" s="3"/>
      <c r="K39" s="3"/>
    </row>
    <row r="40">
      <c r="A40" s="3"/>
      <c r="B40" s="3" t="s">
        <v>67</v>
      </c>
      <c r="C40" s="8">
        <f>Inputs!C40</f>
        <v>2.4</v>
      </c>
      <c r="D40" s="3"/>
      <c r="E40" s="3"/>
      <c r="F40" s="18" t="s">
        <v>65</v>
      </c>
      <c r="G40" s="3"/>
      <c r="H40" s="3"/>
      <c r="I40" s="3"/>
      <c r="J40" s="3"/>
      <c r="K40" s="3"/>
    </row>
    <row r="41">
      <c r="A41" s="3"/>
      <c r="B41" s="3" t="s">
        <v>68</v>
      </c>
      <c r="C41" s="66">
        <f>Inputs!C43</f>
        <v>19</v>
      </c>
      <c r="D41" s="3"/>
      <c r="E41" s="3"/>
      <c r="F41" s="64" t="s">
        <v>65</v>
      </c>
      <c r="G41" s="3"/>
      <c r="H41" s="3"/>
      <c r="I41" s="3"/>
      <c r="J41" s="3"/>
      <c r="K41" s="3"/>
    </row>
    <row r="42">
      <c r="A42" s="3"/>
      <c r="B42" s="3" t="s">
        <v>69</v>
      </c>
      <c r="C42" s="8">
        <f>Inputs!C42</f>
        <v>0.25</v>
      </c>
      <c r="D42" s="3"/>
      <c r="E42" s="3"/>
      <c r="F42" s="18" t="s">
        <v>65</v>
      </c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 t="s">
        <v>70</v>
      </c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71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78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79</v>
      </c>
      <c r="C11" s="23">
        <f>'Segment - Airline'!C162</f>
        <v>15197</v>
      </c>
      <c r="D11" s="23">
        <f>'Segment - Airline'!D162</f>
        <v>14606</v>
      </c>
      <c r="E11" s="23">
        <f>'Segment - Airline'!E162</f>
        <v>14200</v>
      </c>
      <c r="F11" s="23">
        <f>'Segment - Airline'!F162</f>
        <v>17666</v>
      </c>
      <c r="G11" s="23">
        <f>'Segment - Airline'!G162</f>
        <v>58287</v>
      </c>
      <c r="H11" s="47">
        <f>'Segment - Airline'!H162</f>
        <v>17759.540874999995</v>
      </c>
      <c r="I11" s="3"/>
    </row>
    <row r="12">
      <c r="A12" s="3"/>
      <c r="B12" s="6" t="s">
        <v>80</v>
      </c>
      <c r="C12" s="33">
        <f>'Segment - Airline'!C163</f>
        <v>14594</v>
      </c>
      <c r="D12" s="33">
        <f>'Segment - Airline'!D163</f>
        <v>14437</v>
      </c>
      <c r="E12" s="33">
        <f>'Segment - Airline'!E163</f>
        <v>12978</v>
      </c>
      <c r="F12" s="33">
        <f>'Segment - Airline'!F163</f>
        <v>15507</v>
      </c>
      <c r="G12" s="33">
        <f>'Segment - Airline'!G163</f>
        <v>57001</v>
      </c>
      <c r="H12" s="43">
        <f>C11</f>
        <v>15197</v>
      </c>
      <c r="I12" s="3"/>
    </row>
    <row r="13">
      <c r="A13" s="3"/>
      <c r="B13" s="6" t="s">
        <v>81</v>
      </c>
      <c r="C13" s="12">
        <f>IFERROR(C11/C12-1,"n.a.")</f>
        <v>0.041318350006852134</v>
      </c>
      <c r="D13" s="12">
        <f>IFERROR(D11/D12-1,"n.a.")</f>
        <v>0.011706033109371683</v>
      </c>
      <c r="E13" s="12">
        <f>IFERROR(E11/E12-1,"n.a.")</f>
        <v>0.09415934658653113</v>
      </c>
      <c r="F13" s="12">
        <f>IFERROR(F11/F12-1,"n.a.")</f>
        <v>0.13922744566969758</v>
      </c>
      <c r="G13" s="12">
        <f>IFERROR(G11/G12-1,"n.a.")</f>
        <v>0.022561007701619173</v>
      </c>
      <c r="H13" s="57">
        <f>IFERROR(H11/C11-1,"n.a.")</f>
        <v>0.1686214960189507</v>
      </c>
      <c r="I13" s="3"/>
    </row>
    <row r="14">
      <c r="A14" s="3"/>
      <c r="B14" s="6" t="s">
        <v>82</v>
      </c>
      <c r="C14" s="12">
        <f>IFERROR(C11/F12-1,"n.a.")</f>
        <v>-0.019990971819178416</v>
      </c>
      <c r="D14" s="12">
        <f>IFERROR(D11/C11-1,"n.a.")</f>
        <v>-0.03888925445811675</v>
      </c>
      <c r="E14" s="12">
        <f>IFERROR(E11/D11-1,"n.a.")</f>
        <v>-0.027796795837327082</v>
      </c>
      <c r="F14" s="12">
        <f>IFERROR(F11/E11-1,"n.a.")</f>
        <v>0.24408450704225348</v>
      </c>
      <c r="G14" s="12" t="s">
        <v>38</v>
      </c>
      <c r="H14" s="57">
        <f>IFERROR(H11/F11-1,"n.a.")</f>
        <v>0.005294966319483452</v>
      </c>
      <c r="I14" s="3"/>
    </row>
    <row r="15">
      <c r="A15" s="3"/>
      <c r="B15" s="6" t="s">
        <v>83</v>
      </c>
      <c r="C15" s="12">
        <f>C11/C31</f>
        <v>0.9114736400167937</v>
      </c>
      <c r="D15" s="12">
        <f>D11/D31</f>
        <v>0.9127038680247453</v>
      </c>
      <c r="E15" s="12">
        <f>E11/E31</f>
        <v>0.8956730162734956</v>
      </c>
      <c r="F15" s="12">
        <f>F11/F31</f>
        <v>0.894164093738928</v>
      </c>
      <c r="G15" s="12">
        <f>G11/G31</f>
        <v>0.9198756391641941</v>
      </c>
      <c r="H15" s="57">
        <f>H11/H31</f>
        <v>0.8883981050180886</v>
      </c>
      <c r="I15" s="3"/>
    </row>
    <row r="16">
      <c r="A16" s="3"/>
      <c r="B16" s="6" t="s">
        <v>84</v>
      </c>
      <c r="C16" s="12" t="s">
        <v>38</v>
      </c>
      <c r="D16" s="12" t="s">
        <v>38</v>
      </c>
      <c r="E16" s="12" t="s">
        <v>38</v>
      </c>
      <c r="F16" s="12" t="s">
        <v>38</v>
      </c>
      <c r="G16" s="12" t="s">
        <v>38</v>
      </c>
      <c r="H16" s="57" t="s">
        <v>38</v>
      </c>
      <c r="I16" s="11" t="s">
        <v>85</v>
      </c>
    </row>
    <row r="17">
      <c r="A17" s="3"/>
      <c r="B17" s="6" t="s">
        <v>86</v>
      </c>
      <c r="C17" s="12" t="s">
        <v>38</v>
      </c>
      <c r="D17" s="12" t="s">
        <v>38</v>
      </c>
      <c r="E17" s="12" t="s">
        <v>38</v>
      </c>
      <c r="F17" s="12" t="s">
        <v>38</v>
      </c>
      <c r="G17" s="12" t="s">
        <v>38</v>
      </c>
      <c r="H17" s="57" t="s">
        <v>38</v>
      </c>
      <c r="I17" s="11" t="s">
        <v>87</v>
      </c>
    </row>
    <row r="18" ht="14.624267578125">
      <c r="A18" s="3"/>
      <c r="B18" s="6" t="s">
        <v>88</v>
      </c>
      <c r="C18" s="12" t="str">
        <f>IF(AND(ISNUMBER(C13),ISNUMBER(C16),ISNUMBER(C17)),(1+C13)/((1+C16)*(1+C17))-1,"n.a.")</f>
        <v>n.a.</v>
      </c>
      <c r="D18" s="12" t="str">
        <f>IF(AND(ISNUMBER(D13),ISNUMBER(D16),ISNUMBER(D17)),(1+D13)/((1+D16)*(1+D17))-1,"n.a.")</f>
        <v>n.a.</v>
      </c>
      <c r="E18" s="12" t="str">
        <f>IF(AND(ISNUMBER(E13),ISNUMBER(E16),ISNUMBER(E17)),(1+E13)/((1+E16)*(1+E17))-1,"n.a.")</f>
        <v>n.a.</v>
      </c>
      <c r="F18" s="12" t="str">
        <f>IF(AND(ISNUMBER(F13),ISNUMBER(F16),ISNUMBER(F17)),(1+F13)/((1+F16)*(1+F17))-1,"n.a.")</f>
        <v>n.a.</v>
      </c>
      <c r="G18" s="12" t="str">
        <f>IF(AND(ISNUMBER(G13),ISNUMBER(G16),ISNUMBER(G17)),(1+G13)/((1+G16)*(1+G17))-1,"n.a.")</f>
        <v>n.a.</v>
      </c>
      <c r="H18" s="57" t="str">
        <f>IF(AND(ISNUMBER(H13),ISNUMBER(H16),ISNUMBER(H17)),(1+H13)/((1+H16)*(1+H17))-1,"n.a.")</f>
        <v>n.a.</v>
      </c>
      <c r="I18" s="11" t="s">
        <v>89</v>
      </c>
    </row>
    <row r="19">
      <c r="A19" s="3"/>
      <c r="B19" s="6" t="s">
        <v>90</v>
      </c>
      <c r="C19" s="12">
        <f>C13</f>
        <v>0.041318350006852134</v>
      </c>
      <c r="D19" s="12">
        <f>D13</f>
        <v>0.011706033109371683</v>
      </c>
      <c r="E19" s="12">
        <f>E13</f>
        <v>0.09415934658653113</v>
      </c>
      <c r="F19" s="12">
        <f>F13</f>
        <v>0.13922744566969758</v>
      </c>
      <c r="G19" s="12">
        <f>G13</f>
        <v>0.022561007701619173</v>
      </c>
      <c r="H19" s="57">
        <f>H13</f>
        <v>0.1686214960189507</v>
      </c>
      <c r="I19" s="3"/>
    </row>
    <row r="20" ht="14.624267578125">
      <c r="A20" s="3"/>
      <c r="B20" s="3" t="s">
        <v>91</v>
      </c>
      <c r="C20" s="23">
        <f>'Segment - Refinery'!C67</f>
        <v>1795</v>
      </c>
      <c r="D20" s="23">
        <f>'Segment - Refinery'!D67</f>
        <v>1748</v>
      </c>
      <c r="E20" s="23">
        <f>'Segment - Refinery'!E67</f>
        <v>2038</v>
      </c>
      <c r="F20" s="23">
        <f>'Segment - Refinery'!F67</f>
        <v>2611</v>
      </c>
      <c r="G20" s="23">
        <f>'Segment - Refinery'!G67</f>
        <v>6961</v>
      </c>
      <c r="H20" s="47">
        <f>'Segment - Refinery'!H67</f>
        <v>2785.7909197922027</v>
      </c>
      <c r="I20" s="11" t="s">
        <v>92</v>
      </c>
    </row>
    <row r="21">
      <c r="A21" s="3"/>
      <c r="B21" s="6" t="s">
        <v>80</v>
      </c>
      <c r="C21" s="33">
        <f>'Segment - Refinery'!C68</f>
        <v>1912</v>
      </c>
      <c r="D21" s="33">
        <f>'Segment - Refinery'!D68</f>
        <v>1756</v>
      </c>
      <c r="E21" s="33">
        <f>'Segment - Refinery'!E68</f>
        <v>1698</v>
      </c>
      <c r="F21" s="33">
        <f>'Segment - Refinery'!F68</f>
        <v>1720</v>
      </c>
      <c r="G21" s="33">
        <f>'Segment - Refinery'!G68</f>
        <v>7767</v>
      </c>
      <c r="H21" s="43">
        <f>C20</f>
        <v>1795</v>
      </c>
      <c r="I21" s="3"/>
    </row>
    <row r="22">
      <c r="A22" s="3"/>
      <c r="B22" s="6" t="s">
        <v>81</v>
      </c>
      <c r="C22" s="12">
        <f>IFERROR(C20/C21-1,"n.a.")</f>
        <v>-0.061192468619246876</v>
      </c>
      <c r="D22" s="12">
        <f>IFERROR(D20/D21-1,"n.a.")</f>
        <v>-0.004555808656036442</v>
      </c>
      <c r="E22" s="12">
        <f>IFERROR(E20/E21-1,"n.a.")</f>
        <v>0.20023557126030633</v>
      </c>
      <c r="F22" s="12">
        <f>IFERROR(F20/F21-1,"n.a.")</f>
        <v>0.5180232558139535</v>
      </c>
      <c r="G22" s="12">
        <f>IFERROR(G20/G21-1,"n.a.")</f>
        <v>-0.10377237028453712</v>
      </c>
      <c r="H22" s="57">
        <f>IFERROR(H20/C20-1,"n.a.")</f>
        <v>0.551972657265851</v>
      </c>
      <c r="I22" s="3"/>
    </row>
    <row r="23">
      <c r="A23" s="3"/>
      <c r="B23" s="6" t="s">
        <v>82</v>
      </c>
      <c r="C23" s="12">
        <f>IFERROR(C20/F21-1,"n.a.")</f>
        <v>0.043604651162790775</v>
      </c>
      <c r="D23" s="12">
        <f>IFERROR(D20/C20-1,"n.a.")</f>
        <v>-0.026183844011142043</v>
      </c>
      <c r="E23" s="12">
        <f>IFERROR(E20/D20-1,"n.a.")</f>
        <v>0.16590389016018303</v>
      </c>
      <c r="F23" s="12">
        <f>IFERROR(F20/E20-1,"n.a.")</f>
        <v>0.28115799803729136</v>
      </c>
      <c r="G23" s="12" t="s">
        <v>38</v>
      </c>
      <c r="H23" s="57">
        <f>IFERROR(H20/F20-1,"n.a.")</f>
        <v>0.06694405200773756</v>
      </c>
      <c r="I23" s="3"/>
    </row>
    <row r="24">
      <c r="A24" s="3"/>
      <c r="B24" s="6" t="s">
        <v>83</v>
      </c>
      <c r="C24" s="12">
        <f>C20/C31</f>
        <v>0.10765908954597253</v>
      </c>
      <c r="D24" s="12">
        <f>D20/D31</f>
        <v>0.10922951946510029</v>
      </c>
      <c r="E24" s="12">
        <f>E20/E31</f>
        <v>0.12854800050460452</v>
      </c>
      <c r="F24" s="12">
        <f>F20/F31</f>
        <v>0.13215569165359115</v>
      </c>
      <c r="G24" s="12">
        <f>G20/G31</f>
        <v>0.10985733223912632</v>
      </c>
      <c r="H24" s="57">
        <f>H20/H31</f>
        <v>0.13935559435570102</v>
      </c>
      <c r="I24" s="3"/>
    </row>
    <row r="25">
      <c r="A25" s="3"/>
      <c r="B25" s="6" t="s">
        <v>84</v>
      </c>
      <c r="C25" s="12" t="s">
        <v>38</v>
      </c>
      <c r="D25" s="12" t="s">
        <v>38</v>
      </c>
      <c r="E25" s="12" t="s">
        <v>38</v>
      </c>
      <c r="F25" s="12" t="s">
        <v>38</v>
      </c>
      <c r="G25" s="12" t="s">
        <v>38</v>
      </c>
      <c r="H25" s="57" t="s">
        <v>38</v>
      </c>
      <c r="I25" s="11" t="s">
        <v>85</v>
      </c>
    </row>
    <row r="26">
      <c r="A26" s="3"/>
      <c r="B26" s="6" t="s">
        <v>86</v>
      </c>
      <c r="C26" s="12" t="s">
        <v>38</v>
      </c>
      <c r="D26" s="12" t="s">
        <v>38</v>
      </c>
      <c r="E26" s="12" t="s">
        <v>38</v>
      </c>
      <c r="F26" s="12" t="s">
        <v>38</v>
      </c>
      <c r="G26" s="12" t="s">
        <v>38</v>
      </c>
      <c r="H26" s="57" t="s">
        <v>38</v>
      </c>
      <c r="I26" s="11" t="s">
        <v>87</v>
      </c>
    </row>
    <row r="27" ht="14.624267578125">
      <c r="A27" s="3"/>
      <c r="B27" s="6" t="s">
        <v>88</v>
      </c>
      <c r="C27" s="12" t="str">
        <f>IF(AND(ISNUMBER(C22),ISNUMBER(C25),ISNUMBER(C26)),(1+C22)/((1+C25)*(1+C26))-1,"n.a.")</f>
        <v>n.a.</v>
      </c>
      <c r="D27" s="12" t="str">
        <f>IF(AND(ISNUMBER(D22),ISNUMBER(D25),ISNUMBER(D26)),(1+D22)/((1+D25)*(1+D26))-1,"n.a.")</f>
        <v>n.a.</v>
      </c>
      <c r="E27" s="12" t="str">
        <f>IF(AND(ISNUMBER(E22),ISNUMBER(E25),ISNUMBER(E26)),(1+E22)/((1+E25)*(1+E26))-1,"n.a.")</f>
        <v>n.a.</v>
      </c>
      <c r="F27" s="12" t="str">
        <f>IF(AND(ISNUMBER(F22),ISNUMBER(F25),ISNUMBER(F26)),(1+F22)/((1+F25)*(1+F26))-1,"n.a.")</f>
        <v>n.a.</v>
      </c>
      <c r="G27" s="12" t="str">
        <f>IF(AND(ISNUMBER(G22),ISNUMBER(G25),ISNUMBER(G26)),(1+G22)/((1+G25)*(1+G26))-1,"n.a.")</f>
        <v>n.a.</v>
      </c>
      <c r="H27" s="57" t="str">
        <f>IF(AND(ISNUMBER(H22),ISNUMBER(H25),ISNUMBER(H26)),(1+H22)/((1+H25)*(1+H26))-1,"n.a.")</f>
        <v>n.a.</v>
      </c>
      <c r="I27" s="11" t="s">
        <v>89</v>
      </c>
    </row>
    <row r="28">
      <c r="A28" s="3"/>
      <c r="B28" s="6" t="s">
        <v>90</v>
      </c>
      <c r="C28" s="12">
        <f>C22</f>
        <v>-0.061192468619246876</v>
      </c>
      <c r="D28" s="12">
        <f>D22</f>
        <v>-0.004555808656036442</v>
      </c>
      <c r="E28" s="12">
        <f>E22</f>
        <v>0.20023557126030633</v>
      </c>
      <c r="F28" s="12">
        <f>F22</f>
        <v>0.5180232558139535</v>
      </c>
      <c r="G28" s="12">
        <f>G22</f>
        <v>-0.10377237028453712</v>
      </c>
      <c r="H28" s="57">
        <f>H22</f>
        <v>0.551972657265851</v>
      </c>
      <c r="I28" s="3"/>
    </row>
    <row r="29">
      <c r="A29" s="3"/>
      <c r="B29" s="3" t="s">
        <v>93</v>
      </c>
      <c r="C29" s="23">
        <f>-'Segment - Refinery'!C59</f>
        <v>-319</v>
      </c>
      <c r="D29" s="23">
        <f>-'Segment - Refinery'!D59</f>
        <v>-351</v>
      </c>
      <c r="E29" s="23">
        <f>-'Segment - Refinery'!E59</f>
        <v>-384</v>
      </c>
      <c r="F29" s="23">
        <f>-'Segment - Refinery'!F59</f>
        <v>-520</v>
      </c>
      <c r="G29" s="23">
        <f>-'Segment - Refinery'!G59</f>
        <v>-1884</v>
      </c>
      <c r="H29" s="47">
        <f>-'Segment - Refinery'!H59</f>
        <v>-554.8109070440235</v>
      </c>
      <c r="I29" s="3"/>
    </row>
    <row r="30">
      <c r="A30" s="3"/>
      <c r="B30" s="6" t="s">
        <v>83</v>
      </c>
      <c r="C30" s="12">
        <f>C29/C31</f>
        <v>-0.019132729562766147</v>
      </c>
      <c r="D30" s="12">
        <f>D29/D31</f>
        <v>-0.021933387489845652</v>
      </c>
      <c r="E30" s="12">
        <f>E29/E31</f>
        <v>-0.024221016778100166</v>
      </c>
      <c r="F30" s="12">
        <f>F29/F31</f>
        <v>-0.026319785392519106</v>
      </c>
      <c r="G30" s="12">
        <f>G29/G31</f>
        <v>-0.0297329714033205</v>
      </c>
      <c r="H30" s="57">
        <f>H29/H31</f>
        <v>-0.02775369937378955</v>
      </c>
      <c r="I30" s="3"/>
    </row>
    <row r="31">
      <c r="A31" s="3"/>
      <c r="B31" s="15" t="s">
        <v>35</v>
      </c>
      <c r="C31" s="26">
        <f>C11+C20+C29</f>
        <v>16673</v>
      </c>
      <c r="D31" s="26">
        <f>D11+D20+D29</f>
        <v>16003</v>
      </c>
      <c r="E31" s="26">
        <f>E11+E20+E29</f>
        <v>15854</v>
      </c>
      <c r="F31" s="26">
        <f>F11+F20+F29</f>
        <v>19757</v>
      </c>
      <c r="G31" s="26">
        <f>G11+G20+G29</f>
        <v>63364</v>
      </c>
      <c r="H31" s="40">
        <f>H11+H20+H29</f>
        <v>19990.520887748175</v>
      </c>
      <c r="I31" s="3"/>
    </row>
    <row r="32">
      <c r="A32" s="3"/>
      <c r="B32" s="6" t="s">
        <v>80</v>
      </c>
      <c r="C32" s="36">
        <v>15677</v>
      </c>
      <c r="D32" s="36">
        <v>15559</v>
      </c>
      <c r="E32" s="36">
        <v>14040</v>
      </c>
      <c r="F32" s="36">
        <v>16648</v>
      </c>
      <c r="G32" s="36">
        <v>61643</v>
      </c>
      <c r="H32" s="43">
        <f>C31</f>
        <v>16673</v>
      </c>
      <c r="I32" s="11" t="s">
        <v>94</v>
      </c>
    </row>
    <row r="33">
      <c r="A33" s="3"/>
      <c r="B33" s="6" t="s">
        <v>81</v>
      </c>
      <c r="C33" s="12">
        <f>IFERROR(C31/C32-1,"n.a.")</f>
        <v>0.06353256362824511</v>
      </c>
      <c r="D33" s="12">
        <f>IFERROR(D31/D32-1,"n.a.")</f>
        <v>0.028536538337939454</v>
      </c>
      <c r="E33" s="12">
        <f>IFERROR(E31/E32-1,"n.a.")</f>
        <v>0.1292022792022791</v>
      </c>
      <c r="F33" s="12">
        <f>IFERROR(F31/F32-1,"n.a.")</f>
        <v>0.18674915905814515</v>
      </c>
      <c r="G33" s="12">
        <f>IFERROR(G31/G32-1,"n.a.")</f>
        <v>0.027918822899599238</v>
      </c>
      <c r="H33" s="57">
        <f>IFERROR(H31/C31-1,"n.a.")</f>
        <v>0.19897564252073252</v>
      </c>
      <c r="I33" s="3"/>
    </row>
    <row r="34">
      <c r="A34" s="3"/>
      <c r="B34" s="6" t="s">
        <v>82</v>
      </c>
      <c r="C34" s="12">
        <f>IFERROR(C31/F32-1,"n.a.")</f>
        <v>0.0015016818837096935</v>
      </c>
      <c r="D34" s="12">
        <f>IFERROR(D31/C31-1,"n.a.")</f>
        <v>-0.04018472980267496</v>
      </c>
      <c r="E34" s="12">
        <f>IFERROR(E31/D31-1,"n.a.")</f>
        <v>-0.009310754233581187</v>
      </c>
      <c r="F34" s="12">
        <f>IFERROR(F31/E31-1,"n.a.")</f>
        <v>0.24618392834615865</v>
      </c>
      <c r="G34" s="12" t="s">
        <v>38</v>
      </c>
      <c r="H34" s="57">
        <f>IFERROR(H31/F31-1,"n.a.")</f>
        <v>0.011819653173466449</v>
      </c>
      <c r="I34" s="3"/>
    </row>
    <row r="35">
      <c r="A35" s="3"/>
      <c r="B35" s="3" t="s">
        <v>95</v>
      </c>
      <c r="C35" s="22">
        <f>IFERROR(C31-F32,"n.a.")</f>
        <v>25</v>
      </c>
      <c r="D35" s="22">
        <f>IFERROR(D31-C31,"n.a.")</f>
        <v>-670</v>
      </c>
      <c r="E35" s="22">
        <f>IFERROR(E31-D31,"n.a.")</f>
        <v>-149</v>
      </c>
      <c r="F35" s="22">
        <f>IFERROR(F31-E31,"n.a.")</f>
        <v>3903</v>
      </c>
      <c r="G35" s="22" t="s">
        <v>38</v>
      </c>
      <c r="H35" s="39">
        <f>IFERROR(H31-F31,"n.a.")</f>
        <v>233.52088774817457</v>
      </c>
      <c r="I35" s="3"/>
    </row>
    <row r="36">
      <c r="A36" s="3"/>
      <c r="B36" s="6" t="s">
        <v>84</v>
      </c>
      <c r="C36" s="12" t="s">
        <v>38</v>
      </c>
      <c r="D36" s="12" t="s">
        <v>38</v>
      </c>
      <c r="E36" s="12" t="s">
        <v>38</v>
      </c>
      <c r="F36" s="12" t="s">
        <v>38</v>
      </c>
      <c r="G36" s="12" t="s">
        <v>38</v>
      </c>
      <c r="H36" s="57" t="s">
        <v>38</v>
      </c>
      <c r="I36" s="11" t="s">
        <v>85</v>
      </c>
    </row>
    <row r="37">
      <c r="A37" s="3"/>
      <c r="B37" s="6" t="s">
        <v>86</v>
      </c>
      <c r="C37" s="12" t="s">
        <v>38</v>
      </c>
      <c r="D37" s="12" t="s">
        <v>38</v>
      </c>
      <c r="E37" s="12" t="s">
        <v>38</v>
      </c>
      <c r="F37" s="12" t="s">
        <v>38</v>
      </c>
      <c r="G37" s="12" t="s">
        <v>38</v>
      </c>
      <c r="H37" s="57" t="s">
        <v>38</v>
      </c>
      <c r="I37" s="11" t="s">
        <v>87</v>
      </c>
    </row>
    <row r="38" ht="14.624267578125">
      <c r="A38" s="3"/>
      <c r="B38" s="6" t="s">
        <v>88</v>
      </c>
      <c r="C38" s="12" t="str">
        <f>IF(AND(ISNUMBER(C33),ISNUMBER(C36),ISNUMBER(C37)),(1+C33)/((1+C36)*(1+C37))-1,"n.a.")</f>
        <v>n.a.</v>
      </c>
      <c r="D38" s="12" t="str">
        <f>IF(AND(ISNUMBER(D33),ISNUMBER(D36),ISNUMBER(D37)),(1+D33)/((1+D36)*(1+D37))-1,"n.a.")</f>
        <v>n.a.</v>
      </c>
      <c r="E38" s="12" t="str">
        <f>IF(AND(ISNUMBER(E33),ISNUMBER(E36),ISNUMBER(E37)),(1+E33)/((1+E36)*(1+E37))-1,"n.a.")</f>
        <v>n.a.</v>
      </c>
      <c r="F38" s="12" t="str">
        <f>IF(AND(ISNUMBER(F33),ISNUMBER(F36),ISNUMBER(F37)),(1+F33)/((1+F36)*(1+F37))-1,"n.a.")</f>
        <v>n.a.</v>
      </c>
      <c r="G38" s="12" t="str">
        <f>IF(AND(ISNUMBER(G33),ISNUMBER(G36),ISNUMBER(G37)),(1+G33)/((1+G36)*(1+G37))-1,"n.a.")</f>
        <v>n.a.</v>
      </c>
      <c r="H38" s="57" t="str">
        <f>IF(AND(ISNUMBER(H33),ISNUMBER(H36),ISNUMBER(H37)),(1+H33)/((1+H36)*(1+H37))-1,"n.a.")</f>
        <v>n.a.</v>
      </c>
      <c r="I38" s="11" t="s">
        <v>89</v>
      </c>
    </row>
    <row r="39">
      <c r="A39" s="3"/>
      <c r="B39" s="6" t="s">
        <v>90</v>
      </c>
      <c r="C39" s="12">
        <f>C33</f>
        <v>0.06353256362824511</v>
      </c>
      <c r="D39" s="12">
        <f>D33</f>
        <v>0.028536538337939454</v>
      </c>
      <c r="E39" s="12">
        <f>E33</f>
        <v>0.1292022792022791</v>
      </c>
      <c r="F39" s="12">
        <f>F33</f>
        <v>0.18674915905814515</v>
      </c>
      <c r="G39" s="12">
        <f>G33</f>
        <v>0.027918822899599238</v>
      </c>
      <c r="H39" s="57">
        <f>H33</f>
        <v>0.19897564252073252</v>
      </c>
      <c r="I39" s="3"/>
    </row>
    <row r="40">
      <c r="A40" s="3"/>
      <c r="B40" s="3"/>
      <c r="C40" s="22"/>
      <c r="D40" s="22"/>
      <c r="E40" s="22"/>
      <c r="F40" s="22"/>
      <c r="G40" s="22"/>
      <c r="H40" s="39"/>
      <c r="I40" s="3"/>
    </row>
    <row r="41" ht="14.624267578125">
      <c r="A41" s="3"/>
      <c r="B41" s="15" t="s">
        <v>96</v>
      </c>
      <c r="C41" s="22"/>
      <c r="D41" s="22"/>
      <c r="E41" s="22"/>
      <c r="F41" s="22"/>
      <c r="G41" s="22"/>
      <c r="H41" s="39"/>
      <c r="I41" s="3"/>
    </row>
    <row r="42">
      <c r="A42" s="3"/>
      <c r="B42" s="3" t="s">
        <v>97</v>
      </c>
      <c r="C42" s="23">
        <f>'Segment - Airline'!C81</f>
        <v>13506</v>
      </c>
      <c r="D42" s="23">
        <f>'Segment - Airline'!D81</f>
        <v>12916</v>
      </c>
      <c r="E42" s="23">
        <f>'Segment - Airline'!E81</f>
        <v>12302</v>
      </c>
      <c r="F42" s="23">
        <f>'Segment - Airline'!F81</f>
        <v>15607</v>
      </c>
      <c r="G42" s="23">
        <f>'Segment - Airline'!G81</f>
        <v>51768</v>
      </c>
      <c r="H42" s="47">
        <f>'Segment - Airline'!H81</f>
        <v>15701.738874999997</v>
      </c>
      <c r="I42" s="3"/>
    </row>
    <row r="43">
      <c r="A43" s="3"/>
      <c r="B43" s="6" t="s">
        <v>81</v>
      </c>
      <c r="C43" s="9">
        <f>'Segment - Airline'!C83</f>
        <v>0.030441748683909253</v>
      </c>
      <c r="D43" s="9">
        <f>'Segment - Airline'!D83</f>
        <v>0.007881388997268868</v>
      </c>
      <c r="E43" s="9">
        <f>'Segment - Airline'!E83</f>
        <v>0.071602787456446</v>
      </c>
      <c r="F43" s="9">
        <f>'Segment - Airline'!F83</f>
        <v>0.12547775293863128</v>
      </c>
      <c r="G43" s="9">
        <f>'Segment - Airline'!G83</f>
        <v>0.017172947695209606</v>
      </c>
      <c r="H43" s="67">
        <f>'Segment - Airline'!H83</f>
        <v>0.16257506848807912</v>
      </c>
      <c r="I43" s="3"/>
    </row>
    <row r="44">
      <c r="A44" s="3"/>
      <c r="B44" s="6" t="s">
        <v>82</v>
      </c>
      <c r="C44" s="9">
        <f>'Segment - Airline'!C84</f>
        <v>-0.026033028052210305</v>
      </c>
      <c r="D44" s="9">
        <f>'Segment - Airline'!D84</f>
        <v>-0.04368428846438621</v>
      </c>
      <c r="E44" s="9">
        <f>'Segment - Airline'!E84</f>
        <v>-0.047537937441932465</v>
      </c>
      <c r="F44" s="9">
        <f>'Segment - Airline'!F84</f>
        <v>0.26865550317021625</v>
      </c>
      <c r="G44" s="9" t="str">
        <f>'Segment - Airline'!G84</f>
        <v>n.a.</v>
      </c>
      <c r="H44" s="67">
        <f>'Segment - Airline'!H84</f>
        <v>0.006070280963669905</v>
      </c>
      <c r="I44" s="3"/>
    </row>
    <row r="45">
      <c r="A45" s="3"/>
      <c r="B45" s="6" t="s">
        <v>83</v>
      </c>
      <c r="C45" s="12">
        <f>C42/C31</f>
        <v>0.8100521801715348</v>
      </c>
      <c r="D45" s="12">
        <f>D42/D31</f>
        <v>0.8070986689995626</v>
      </c>
      <c r="E45" s="12">
        <f>E42/E31</f>
        <v>0.7759555948025735</v>
      </c>
      <c r="F45" s="12">
        <f>F42/F31</f>
        <v>0.789947866578934</v>
      </c>
      <c r="G45" s="12">
        <f>G42/G31</f>
        <v>0.8169938766492014</v>
      </c>
      <c r="H45" s="57">
        <f>H42/H31</f>
        <v>0.7854592165541473</v>
      </c>
      <c r="I45" s="3"/>
    </row>
    <row r="46">
      <c r="A46" s="3"/>
      <c r="B46" s="6" t="s">
        <v>84</v>
      </c>
      <c r="C46" s="12" t="s">
        <v>38</v>
      </c>
      <c r="D46" s="12" t="s">
        <v>38</v>
      </c>
      <c r="E46" s="12" t="s">
        <v>38</v>
      </c>
      <c r="F46" s="12" t="s">
        <v>38</v>
      </c>
      <c r="G46" s="12" t="s">
        <v>38</v>
      </c>
      <c r="H46" s="57" t="s">
        <v>38</v>
      </c>
      <c r="I46" s="11" t="s">
        <v>85</v>
      </c>
    </row>
    <row r="47">
      <c r="A47" s="3"/>
      <c r="B47" s="6" t="s">
        <v>86</v>
      </c>
      <c r="C47" s="12" t="s">
        <v>38</v>
      </c>
      <c r="D47" s="12" t="s">
        <v>38</v>
      </c>
      <c r="E47" s="12" t="s">
        <v>38</v>
      </c>
      <c r="F47" s="12" t="s">
        <v>38</v>
      </c>
      <c r="G47" s="12" t="s">
        <v>38</v>
      </c>
      <c r="H47" s="57" t="s">
        <v>38</v>
      </c>
      <c r="I47" s="11" t="s">
        <v>87</v>
      </c>
    </row>
    <row r="48" ht="14.624267578125">
      <c r="A48" s="3"/>
      <c r="B48" s="6" t="s">
        <v>88</v>
      </c>
      <c r="C48" s="12" t="str">
        <f>IF(AND(ISNUMBER(C43),ISNUMBER(C46),ISNUMBER(C47)),(1+C43)/((1+C46)*(1+C47))-1,"n.a.")</f>
        <v>n.a.</v>
      </c>
      <c r="D48" s="12" t="str">
        <f>IF(AND(ISNUMBER(D43),ISNUMBER(D46),ISNUMBER(D47)),(1+D43)/((1+D46)*(1+D47))-1,"n.a.")</f>
        <v>n.a.</v>
      </c>
      <c r="E48" s="12" t="str">
        <f>IF(AND(ISNUMBER(E43),ISNUMBER(E46),ISNUMBER(E47)),(1+E43)/((1+E46)*(1+E47))-1,"n.a.")</f>
        <v>n.a.</v>
      </c>
      <c r="F48" s="12" t="str">
        <f>IF(AND(ISNUMBER(F43),ISNUMBER(F46),ISNUMBER(F47)),(1+F43)/((1+F46)*(1+F47))-1,"n.a.")</f>
        <v>n.a.</v>
      </c>
      <c r="G48" s="12" t="str">
        <f>IF(AND(ISNUMBER(G43),ISNUMBER(G46),ISNUMBER(G47)),(1+G43)/((1+G46)*(1+G47))-1,"n.a.")</f>
        <v>n.a.</v>
      </c>
      <c r="H48" s="57" t="str">
        <f>IF(AND(ISNUMBER(H43),ISNUMBER(H46),ISNUMBER(H47)),(1+H43)/((1+H46)*(1+H47))-1,"n.a.")</f>
        <v>n.a.</v>
      </c>
      <c r="I48" s="11" t="s">
        <v>89</v>
      </c>
    </row>
    <row r="49">
      <c r="A49" s="3"/>
      <c r="B49" s="6" t="s">
        <v>90</v>
      </c>
      <c r="C49" s="12">
        <f>C43</f>
        <v>0.030441748683909253</v>
      </c>
      <c r="D49" s="12">
        <f>D43</f>
        <v>0.007881388997268868</v>
      </c>
      <c r="E49" s="12">
        <f>E43</f>
        <v>0.071602787456446</v>
      </c>
      <c r="F49" s="12">
        <f>F43</f>
        <v>0.12547775293863128</v>
      </c>
      <c r="G49" s="12">
        <f>G43</f>
        <v>0.017172947695209606</v>
      </c>
      <c r="H49" s="57">
        <f>H43</f>
        <v>0.16257506848807912</v>
      </c>
      <c r="I49" s="3"/>
    </row>
    <row r="50">
      <c r="A50" s="3"/>
      <c r="B50" s="3" t="s">
        <v>98</v>
      </c>
      <c r="C50" s="23">
        <f>'Segment - Airline'!C94</f>
        <v>233</v>
      </c>
      <c r="D50" s="23">
        <f>'Segment - Airline'!D94</f>
        <v>246</v>
      </c>
      <c r="E50" s="23">
        <f>'Segment - Airline'!E94</f>
        <v>226</v>
      </c>
      <c r="F50" s="23">
        <f>'Segment - Airline'!F94</f>
        <v>294</v>
      </c>
      <c r="G50" s="23">
        <f>'Segment - Airline'!G94</f>
        <v>900</v>
      </c>
      <c r="H50" s="47">
        <f>'Segment - Airline'!H94</f>
        <v>302.90000000000003</v>
      </c>
      <c r="I50" s="3"/>
    </row>
    <row r="51">
      <c r="A51" s="3"/>
      <c r="B51" s="6" t="s">
        <v>81</v>
      </c>
      <c r="C51" s="9">
        <f>'Segment - Airline'!C96</f>
        <v>0.18877551020408156</v>
      </c>
      <c r="D51" s="9">
        <f>'Segment - Airline'!D96</f>
        <v>-0.012048192771084376</v>
      </c>
      <c r="E51" s="9">
        <f>'Segment - Airline'!E96</f>
        <v>0.08653846153846145</v>
      </c>
      <c r="F51" s="9">
        <f>'Segment - Airline'!F96</f>
        <v>0.3867924528301887</v>
      </c>
      <c r="G51" s="9">
        <f>'Segment - Airline'!G96</f>
        <v>0.0948905109489051</v>
      </c>
      <c r="H51" s="67">
        <f>'Segment - Airline'!H96</f>
        <v>0.3</v>
      </c>
      <c r="I51" s="3"/>
    </row>
    <row r="52">
      <c r="A52" s="3"/>
      <c r="B52" s="6" t="s">
        <v>82</v>
      </c>
      <c r="C52" s="9">
        <f>'Segment - Airline'!C97</f>
        <v>0.09905660377358494</v>
      </c>
      <c r="D52" s="9">
        <f>'Segment - Airline'!D97</f>
        <v>0.05579399141630903</v>
      </c>
      <c r="E52" s="9">
        <f>'Segment - Airline'!E97</f>
        <v>-0.08130081300813008</v>
      </c>
      <c r="F52" s="9">
        <f>'Segment - Airline'!F97</f>
        <v>0.3008849557522124</v>
      </c>
      <c r="G52" s="9" t="str">
        <f>'Segment - Airline'!G97</f>
        <v>n.a.</v>
      </c>
      <c r="H52" s="67">
        <f>'Segment - Airline'!H97</f>
        <v>0.030272108843537593</v>
      </c>
      <c r="I52" s="3"/>
    </row>
    <row r="53">
      <c r="A53" s="3"/>
      <c r="B53" s="6" t="s">
        <v>83</v>
      </c>
      <c r="C53" s="12">
        <f>C50/C31</f>
        <v>0.013974689617945181</v>
      </c>
      <c r="D53" s="12">
        <f>D50/D31</f>
        <v>0.015372117727926014</v>
      </c>
      <c r="E53" s="12">
        <f>E50/E31</f>
        <v>0.014255077582944368</v>
      </c>
      <c r="F53" s="12">
        <f>F50/F31</f>
        <v>0.014880801741155034</v>
      </c>
      <c r="G53" s="12">
        <f>G50/G31</f>
        <v>0.014203648759548009</v>
      </c>
      <c r="H53" s="57">
        <f>H50/H31</f>
        <v>0.015152181461446656</v>
      </c>
      <c r="I53" s="3"/>
    </row>
    <row r="54">
      <c r="A54" s="3"/>
      <c r="B54" s="6" t="s">
        <v>84</v>
      </c>
      <c r="C54" s="12" t="s">
        <v>38</v>
      </c>
      <c r="D54" s="12" t="s">
        <v>38</v>
      </c>
      <c r="E54" s="12" t="s">
        <v>38</v>
      </c>
      <c r="F54" s="12" t="s">
        <v>38</v>
      </c>
      <c r="G54" s="12" t="s">
        <v>38</v>
      </c>
      <c r="H54" s="57" t="s">
        <v>38</v>
      </c>
      <c r="I54" s="11" t="s">
        <v>85</v>
      </c>
    </row>
    <row r="55">
      <c r="A55" s="3"/>
      <c r="B55" s="6" t="s">
        <v>86</v>
      </c>
      <c r="C55" s="12" t="s">
        <v>38</v>
      </c>
      <c r="D55" s="12" t="s">
        <v>38</v>
      </c>
      <c r="E55" s="12" t="s">
        <v>38</v>
      </c>
      <c r="F55" s="12" t="s">
        <v>38</v>
      </c>
      <c r="G55" s="12" t="s">
        <v>38</v>
      </c>
      <c r="H55" s="57" t="s">
        <v>38</v>
      </c>
      <c r="I55" s="11" t="s">
        <v>87</v>
      </c>
    </row>
    <row r="56" ht="14.624267578125">
      <c r="A56" s="3"/>
      <c r="B56" s="6" t="s">
        <v>88</v>
      </c>
      <c r="C56" s="12" t="str">
        <f>IF(AND(ISNUMBER(C51),ISNUMBER(C54),ISNUMBER(C55)),(1+C51)/((1+C54)*(1+C55))-1,"n.a.")</f>
        <v>n.a.</v>
      </c>
      <c r="D56" s="12" t="str">
        <f>IF(AND(ISNUMBER(D51),ISNUMBER(D54),ISNUMBER(D55)),(1+D51)/((1+D54)*(1+D55))-1,"n.a.")</f>
        <v>n.a.</v>
      </c>
      <c r="E56" s="12" t="str">
        <f>IF(AND(ISNUMBER(E51),ISNUMBER(E54),ISNUMBER(E55)),(1+E51)/((1+E54)*(1+E55))-1,"n.a.")</f>
        <v>n.a.</v>
      </c>
      <c r="F56" s="12" t="str">
        <f>IF(AND(ISNUMBER(F51),ISNUMBER(F54),ISNUMBER(F55)),(1+F51)/((1+F54)*(1+F55))-1,"n.a.")</f>
        <v>n.a.</v>
      </c>
      <c r="G56" s="12" t="str">
        <f>IF(AND(ISNUMBER(G51),ISNUMBER(G54),ISNUMBER(G55)),(1+G51)/((1+G54)*(1+G55))-1,"n.a.")</f>
        <v>n.a.</v>
      </c>
      <c r="H56" s="57" t="str">
        <f>IF(AND(ISNUMBER(H51),ISNUMBER(H54),ISNUMBER(H55)),(1+H51)/((1+H54)*(1+H55))-1,"n.a.")</f>
        <v>n.a.</v>
      </c>
      <c r="I56" s="11" t="s">
        <v>89</v>
      </c>
    </row>
    <row r="57">
      <c r="A57" s="3"/>
      <c r="B57" s="6" t="s">
        <v>90</v>
      </c>
      <c r="C57" s="12">
        <f>C51</f>
        <v>0.18877551020408156</v>
      </c>
      <c r="D57" s="12">
        <f>D51</f>
        <v>-0.012048192771084376</v>
      </c>
      <c r="E57" s="12">
        <f>E51</f>
        <v>0.08653846153846145</v>
      </c>
      <c r="F57" s="12">
        <f>F51</f>
        <v>0.3867924528301887</v>
      </c>
      <c r="G57" s="12">
        <f>G51</f>
        <v>0.0948905109489051</v>
      </c>
      <c r="H57" s="57">
        <f>H51</f>
        <v>0.3</v>
      </c>
      <c r="I57" s="3"/>
    </row>
    <row r="58">
      <c r="A58" s="3"/>
      <c r="B58" s="3" t="s">
        <v>99</v>
      </c>
      <c r="C58" s="23">
        <f>'Segment - Airline'!C151</f>
        <v>1458</v>
      </c>
      <c r="D58" s="23">
        <f>'Segment - Airline'!D151</f>
        <v>1444</v>
      </c>
      <c r="E58" s="23">
        <f>'Segment - Airline'!E151</f>
        <v>1672</v>
      </c>
      <c r="F58" s="23">
        <f>'Segment - Airline'!F151</f>
        <v>1765</v>
      </c>
      <c r="G58" s="23">
        <f>'Segment - Airline'!G151</f>
        <v>5619</v>
      </c>
      <c r="H58" s="47">
        <f>'Segment - Airline'!H151</f>
        <v>1754.9019999999998</v>
      </c>
      <c r="I58" s="3"/>
    </row>
    <row r="59">
      <c r="A59" s="3"/>
      <c r="B59" s="6" t="s">
        <v>81</v>
      </c>
      <c r="C59" s="9">
        <f>'Segment - Airline'!C153</f>
        <v>0.1293570875290473</v>
      </c>
      <c r="D59" s="9">
        <f>'Segment - Airline'!D153</f>
        <v>0.0509461426491995</v>
      </c>
      <c r="E59" s="9">
        <f>'Segment - Airline'!E153</f>
        <v>0.296124031007752</v>
      </c>
      <c r="F59" s="9">
        <f>'Segment - Airline'!F153</f>
        <v>0.2359943977591037</v>
      </c>
      <c r="G59" s="9">
        <f>'Segment - Airline'!G153</f>
        <v>0.06319772942289492</v>
      </c>
      <c r="H59" s="67">
        <f>'Segment - Airline'!H153</f>
        <v>0.203636488340192</v>
      </c>
      <c r="I59" s="3"/>
    </row>
    <row r="60">
      <c r="A60" s="3"/>
      <c r="B60" s="6" t="s">
        <v>82</v>
      </c>
      <c r="C60" s="9">
        <f>'Segment - Airline'!C154</f>
        <v>0.021008403361344463</v>
      </c>
      <c r="D60" s="9">
        <f>'Segment - Airline'!D154</f>
        <v>-0.009602194787380003</v>
      </c>
      <c r="E60" s="9">
        <f>'Segment - Airline'!E154</f>
        <v>0.1578947368421053</v>
      </c>
      <c r="F60" s="9">
        <f>'Segment - Airline'!F154</f>
        <v>0.05562200956937802</v>
      </c>
      <c r="G60" s="9" t="str">
        <f>'Segment - Airline'!G154</f>
        <v>n.a.</v>
      </c>
      <c r="H60" s="67">
        <f>'Segment - Airline'!H154</f>
        <v>-0.005721246458923579</v>
      </c>
      <c r="I60" s="3"/>
    </row>
    <row r="61">
      <c r="A61" s="3"/>
      <c r="B61" s="6" t="s">
        <v>83</v>
      </c>
      <c r="C61" s="12">
        <f>C58/C31</f>
        <v>0.08744677022731362</v>
      </c>
      <c r="D61" s="12">
        <f>D58/D31</f>
        <v>0.09023308129725677</v>
      </c>
      <c r="E61" s="12">
        <f>E58/E31</f>
        <v>0.1054623438879778</v>
      </c>
      <c r="F61" s="12">
        <f>F58/F31</f>
        <v>0.08933542541883889</v>
      </c>
      <c r="G61" s="12">
        <f>G58/G31</f>
        <v>0.08867811375544474</v>
      </c>
      <c r="H61" s="57">
        <f>H58/H31</f>
        <v>0.08778670700249473</v>
      </c>
      <c r="I61" s="3"/>
    </row>
    <row r="62">
      <c r="A62" s="3"/>
      <c r="B62" s="6" t="s">
        <v>84</v>
      </c>
      <c r="C62" s="12" t="s">
        <v>38</v>
      </c>
      <c r="D62" s="12" t="s">
        <v>38</v>
      </c>
      <c r="E62" s="12" t="s">
        <v>38</v>
      </c>
      <c r="F62" s="12" t="s">
        <v>38</v>
      </c>
      <c r="G62" s="12" t="s">
        <v>38</v>
      </c>
      <c r="H62" s="57" t="s">
        <v>38</v>
      </c>
      <c r="I62" s="11" t="s">
        <v>85</v>
      </c>
    </row>
    <row r="63">
      <c r="A63" s="3"/>
      <c r="B63" s="6" t="s">
        <v>86</v>
      </c>
      <c r="C63" s="12" t="s">
        <v>38</v>
      </c>
      <c r="D63" s="12" t="s">
        <v>38</v>
      </c>
      <c r="E63" s="12" t="s">
        <v>38</v>
      </c>
      <c r="F63" s="12" t="s">
        <v>38</v>
      </c>
      <c r="G63" s="12" t="s">
        <v>38</v>
      </c>
      <c r="H63" s="57" t="s">
        <v>38</v>
      </c>
      <c r="I63" s="11" t="s">
        <v>87</v>
      </c>
    </row>
    <row r="64" ht="14.624267578125">
      <c r="A64" s="3"/>
      <c r="B64" s="6" t="s">
        <v>88</v>
      </c>
      <c r="C64" s="12" t="str">
        <f>IF(AND(ISNUMBER(C59),ISNUMBER(C62),ISNUMBER(C63)),(1+C59)/((1+C62)*(1+C63))-1,"n.a.")</f>
        <v>n.a.</v>
      </c>
      <c r="D64" s="12" t="str">
        <f>IF(AND(ISNUMBER(D59),ISNUMBER(D62),ISNUMBER(D63)),(1+D59)/((1+D62)*(1+D63))-1,"n.a.")</f>
        <v>n.a.</v>
      </c>
      <c r="E64" s="12" t="str">
        <f>IF(AND(ISNUMBER(E59),ISNUMBER(E62),ISNUMBER(E63)),(1+E59)/((1+E62)*(1+E63))-1,"n.a.")</f>
        <v>n.a.</v>
      </c>
      <c r="F64" s="12" t="str">
        <f>IF(AND(ISNUMBER(F59),ISNUMBER(F62),ISNUMBER(F63)),(1+F59)/((1+F62)*(1+F63))-1,"n.a.")</f>
        <v>n.a.</v>
      </c>
      <c r="G64" s="12" t="str">
        <f>IF(AND(ISNUMBER(G59),ISNUMBER(G62),ISNUMBER(G63)),(1+G59)/((1+G62)*(1+G63))-1,"n.a.")</f>
        <v>n.a.</v>
      </c>
      <c r="H64" s="57" t="str">
        <f>IF(AND(ISNUMBER(H59),ISNUMBER(H62),ISNUMBER(H63)),(1+H59)/((1+H62)*(1+H63))-1,"n.a.")</f>
        <v>n.a.</v>
      </c>
      <c r="I64" s="11" t="s">
        <v>89</v>
      </c>
    </row>
    <row r="65">
      <c r="A65" s="3"/>
      <c r="B65" s="6" t="s">
        <v>90</v>
      </c>
      <c r="C65" s="12">
        <f>C59</f>
        <v>0.1293570875290473</v>
      </c>
      <c r="D65" s="12">
        <f>D59</f>
        <v>0.0509461426491995</v>
      </c>
      <c r="E65" s="12">
        <f>E59</f>
        <v>0.296124031007752</v>
      </c>
      <c r="F65" s="12">
        <f>F59</f>
        <v>0.2359943977591037</v>
      </c>
      <c r="G65" s="12">
        <f>G59</f>
        <v>0.06319772942289492</v>
      </c>
      <c r="H65" s="57">
        <f>H59</f>
        <v>0.203636488340192</v>
      </c>
      <c r="I65" s="3"/>
    </row>
    <row r="66">
      <c r="A66" s="3"/>
      <c r="B66" s="3" t="s">
        <v>100</v>
      </c>
      <c r="C66" s="23">
        <f>'Segment - Refinery'!C28</f>
        <v>1476</v>
      </c>
      <c r="D66" s="23">
        <f>'Segment - Refinery'!D28</f>
        <v>1397</v>
      </c>
      <c r="E66" s="23">
        <f>'Segment - Refinery'!E28</f>
        <v>1654</v>
      </c>
      <c r="F66" s="23">
        <f>'Segment - Refinery'!F28</f>
        <v>2091</v>
      </c>
      <c r="G66" s="23">
        <f>'Segment - Refinery'!G28</f>
        <v>5077</v>
      </c>
      <c r="H66" s="47">
        <f>'Segment - Refinery'!H28</f>
        <v>2230.980012748179</v>
      </c>
      <c r="I66" s="3"/>
    </row>
    <row r="67">
      <c r="A67" s="3"/>
      <c r="B67" s="6" t="s">
        <v>81</v>
      </c>
      <c r="C67" s="9">
        <f>'Segment - Refinery'!C30</f>
        <v>0.3628808864265929</v>
      </c>
      <c r="D67" s="9">
        <f>'Segment - Refinery'!D30</f>
        <v>0.2450980392156863</v>
      </c>
      <c r="E67" s="9">
        <f>'Segment - Refinery'!E30</f>
        <v>0.5574387947269304</v>
      </c>
      <c r="F67" s="9">
        <f>'Segment - Refinery'!F30</f>
        <v>0.8326029798422436</v>
      </c>
      <c r="G67" s="9">
        <f>'Segment - Refinery'!G30</f>
        <v>0.0937096079276174</v>
      </c>
      <c r="H67" s="67">
        <f>'Segment - Refinery'!H30</f>
        <v>0.511504073677628</v>
      </c>
      <c r="I67" s="3"/>
    </row>
    <row r="68">
      <c r="A68" s="3"/>
      <c r="B68" s="6" t="s">
        <v>82</v>
      </c>
      <c r="C68" s="9">
        <f>'Segment - Refinery'!C31</f>
        <v>0.29360210341805426</v>
      </c>
      <c r="D68" s="9">
        <f>'Segment - Refinery'!D31</f>
        <v>-0.05352303523035229</v>
      </c>
      <c r="E68" s="9">
        <f>'Segment - Refinery'!E31</f>
        <v>0.18396564065855414</v>
      </c>
      <c r="F68" s="9">
        <f>'Segment - Refinery'!F31</f>
        <v>0.26420798065296247</v>
      </c>
      <c r="G68" s="9" t="str">
        <f>'Segment - Refinery'!G31</f>
        <v>n.a.</v>
      </c>
      <c r="H68" s="67">
        <f>'Segment - Refinery'!H31</f>
        <v>0.06694405200773734</v>
      </c>
      <c r="I68" s="3"/>
    </row>
    <row r="69">
      <c r="A69" s="3"/>
      <c r="B69" s="6" t="s">
        <v>83</v>
      </c>
      <c r="C69" s="12">
        <f>C66/C31</f>
        <v>0.08852635998320638</v>
      </c>
      <c r="D69" s="12">
        <f>D66/D31</f>
        <v>0.08729613197525464</v>
      </c>
      <c r="E69" s="12">
        <f>E66/E31</f>
        <v>0.10432698372650435</v>
      </c>
      <c r="F69" s="12">
        <f>F66/F31</f>
        <v>0.10583590626107202</v>
      </c>
      <c r="G69" s="12">
        <f>G66/G31</f>
        <v>0.08012436083580582</v>
      </c>
      <c r="H69" s="57">
        <f>H66/H31</f>
        <v>0.11160189498191145</v>
      </c>
      <c r="I69" s="3"/>
    </row>
    <row r="70">
      <c r="A70" s="3"/>
      <c r="B70" s="6" t="s">
        <v>84</v>
      </c>
      <c r="C70" s="12" t="s">
        <v>38</v>
      </c>
      <c r="D70" s="12" t="s">
        <v>38</v>
      </c>
      <c r="E70" s="12" t="s">
        <v>38</v>
      </c>
      <c r="F70" s="12" t="s">
        <v>38</v>
      </c>
      <c r="G70" s="12" t="s">
        <v>38</v>
      </c>
      <c r="H70" s="57" t="s">
        <v>38</v>
      </c>
      <c r="I70" s="11" t="s">
        <v>85</v>
      </c>
    </row>
    <row r="71">
      <c r="A71" s="3"/>
      <c r="B71" s="6" t="s">
        <v>86</v>
      </c>
      <c r="C71" s="12" t="s">
        <v>38</v>
      </c>
      <c r="D71" s="12" t="s">
        <v>38</v>
      </c>
      <c r="E71" s="12" t="s">
        <v>38</v>
      </c>
      <c r="F71" s="12" t="s">
        <v>38</v>
      </c>
      <c r="G71" s="12" t="s">
        <v>38</v>
      </c>
      <c r="H71" s="57" t="s">
        <v>38</v>
      </c>
      <c r="I71" s="11" t="s">
        <v>87</v>
      </c>
    </row>
    <row r="72" ht="14.624267578125">
      <c r="A72" s="3"/>
      <c r="B72" s="6" t="s">
        <v>88</v>
      </c>
      <c r="C72" s="12" t="str">
        <f>IF(AND(ISNUMBER(C67),ISNUMBER(C70),ISNUMBER(C71)),(1+C67)/((1+C70)*(1+C71))-1,"n.a.")</f>
        <v>n.a.</v>
      </c>
      <c r="D72" s="12" t="str">
        <f>IF(AND(ISNUMBER(D67),ISNUMBER(D70),ISNUMBER(D71)),(1+D67)/((1+D70)*(1+D71))-1,"n.a.")</f>
        <v>n.a.</v>
      </c>
      <c r="E72" s="12" t="str">
        <f>IF(AND(ISNUMBER(E67),ISNUMBER(E70),ISNUMBER(E71)),(1+E67)/((1+E70)*(1+E71))-1,"n.a.")</f>
        <v>n.a.</v>
      </c>
      <c r="F72" s="12" t="str">
        <f>IF(AND(ISNUMBER(F67),ISNUMBER(F70),ISNUMBER(F71)),(1+F67)/((1+F70)*(1+F71))-1,"n.a.")</f>
        <v>n.a.</v>
      </c>
      <c r="G72" s="12" t="str">
        <f>IF(AND(ISNUMBER(G67),ISNUMBER(G70),ISNUMBER(G71)),(1+G67)/((1+G70)*(1+G71))-1,"n.a.")</f>
        <v>n.a.</v>
      </c>
      <c r="H72" s="57" t="str">
        <f>IF(AND(ISNUMBER(H67),ISNUMBER(H70),ISNUMBER(H71)),(1+H67)/((1+H70)*(1+H71))-1,"n.a.")</f>
        <v>n.a.</v>
      </c>
      <c r="I72" s="11" t="s">
        <v>89</v>
      </c>
    </row>
    <row r="73">
      <c r="A73" s="3"/>
      <c r="B73" s="6" t="s">
        <v>90</v>
      </c>
      <c r="C73" s="12">
        <f>C67</f>
        <v>0.3628808864265929</v>
      </c>
      <c r="D73" s="12">
        <f>D67</f>
        <v>0.2450980392156863</v>
      </c>
      <c r="E73" s="12">
        <f>E67</f>
        <v>0.5574387947269304</v>
      </c>
      <c r="F73" s="12">
        <f>F67</f>
        <v>0.8326029798422436</v>
      </c>
      <c r="G73" s="12">
        <f>G67</f>
        <v>0.0937096079276174</v>
      </c>
      <c r="H73" s="57">
        <f>H67</f>
        <v>0.511504073677628</v>
      </c>
      <c r="I73" s="3"/>
    </row>
    <row r="74">
      <c r="A74" s="3"/>
      <c r="B74" s="15" t="s">
        <v>101</v>
      </c>
      <c r="C74" s="26">
        <f>C58+C66</f>
        <v>2934</v>
      </c>
      <c r="D74" s="26">
        <f>D58+D66</f>
        <v>2841</v>
      </c>
      <c r="E74" s="26">
        <f>E58+E66</f>
        <v>3326</v>
      </c>
      <c r="F74" s="26">
        <f>F58+F66</f>
        <v>3856</v>
      </c>
      <c r="G74" s="26">
        <f>G58+G66</f>
        <v>10696</v>
      </c>
      <c r="H74" s="40">
        <f>H58+H66</f>
        <v>3985.8820127481786</v>
      </c>
      <c r="I74" s="3"/>
    </row>
    <row r="75">
      <c r="A75" s="3"/>
      <c r="B75" s="6" t="s">
        <v>80</v>
      </c>
      <c r="C75" s="33">
        <f>'Segment - Airline'!C152+'Segment - Refinery'!C29</f>
        <v>2374</v>
      </c>
      <c r="D75" s="33">
        <f>'Segment - Airline'!D152+'Segment - Refinery'!D29</f>
        <v>2496</v>
      </c>
      <c r="E75" s="33">
        <f>'Segment - Airline'!E152+'Segment - Refinery'!E29</f>
        <v>2352</v>
      </c>
      <c r="F75" s="33">
        <f>'Segment - Airline'!F152+'Segment - Refinery'!F29</f>
        <v>2569</v>
      </c>
      <c r="G75" s="33">
        <f>'Segment - Airline'!G152+'Segment - Refinery'!G29</f>
        <v>9927</v>
      </c>
      <c r="H75" s="43">
        <f>C74</f>
        <v>2934</v>
      </c>
      <c r="I75" s="3"/>
    </row>
    <row r="76">
      <c r="A76" s="3"/>
      <c r="B76" s="6" t="s">
        <v>81</v>
      </c>
      <c r="C76" s="12">
        <f>IFERROR(C74/C75-1,"n.a.")</f>
        <v>0.23588879528222417</v>
      </c>
      <c r="D76" s="12">
        <f>IFERROR(D74/D75-1,"n.a.")</f>
        <v>0.13822115384615374</v>
      </c>
      <c r="E76" s="12">
        <f>IFERROR(E74/E75-1,"n.a.")</f>
        <v>0.4141156462585034</v>
      </c>
      <c r="F76" s="12">
        <f>IFERROR(F74/F75-1,"n.a.")</f>
        <v>0.5009731413001168</v>
      </c>
      <c r="G76" s="12">
        <f>IFERROR(G74/G75-1,"n.a.")</f>
        <v>0.07746549813639558</v>
      </c>
      <c r="H76" s="57">
        <f>IFERROR(H74/C74-1,"n.a.")</f>
        <v>0.3585146601050371</v>
      </c>
      <c r="I76" s="3"/>
    </row>
    <row r="77">
      <c r="A77" s="3"/>
      <c r="B77" s="6" t="s">
        <v>82</v>
      </c>
      <c r="C77" s="12">
        <f>IFERROR(C74/F75-1,"n.a.")</f>
        <v>0.14207862981704933</v>
      </c>
      <c r="D77" s="12">
        <f>IFERROR(D74/C74-1,"n.a.")</f>
        <v>-0.0316973415132924</v>
      </c>
      <c r="E77" s="12">
        <f>IFERROR(E74/D74-1,"n.a.")</f>
        <v>0.17071453713481177</v>
      </c>
      <c r="F77" s="12">
        <f>IFERROR(F74/E74-1,"n.a.")</f>
        <v>0.15935057125676488</v>
      </c>
      <c r="G77" s="12" t="s">
        <v>38</v>
      </c>
      <c r="H77" s="57">
        <f>IFERROR(H74/F74-1,"n.a.")</f>
        <v>0.033683094592370066</v>
      </c>
      <c r="I77" s="3"/>
    </row>
    <row r="78" ht="14.624267578125">
      <c r="A78" s="3"/>
      <c r="B78" s="6" t="s">
        <v>83</v>
      </c>
      <c r="C78" s="12">
        <f>C74/C31</f>
        <v>0.17597313021052</v>
      </c>
      <c r="D78" s="12">
        <f>D74/D31</f>
        <v>0.1775292132725114</v>
      </c>
      <c r="E78" s="12">
        <f>E74/E31</f>
        <v>0.20978932761448216</v>
      </c>
      <c r="F78" s="12">
        <f>F74/F31</f>
        <v>0.1951713316799109</v>
      </c>
      <c r="G78" s="12">
        <f>G74/G31</f>
        <v>0.16880247459125056</v>
      </c>
      <c r="H78" s="57">
        <f>H74/H31</f>
        <v>0.19938860198440617</v>
      </c>
      <c r="I78" s="3"/>
    </row>
    <row r="79">
      <c r="A79" s="3"/>
      <c r="B79" s="6" t="s">
        <v>84</v>
      </c>
      <c r="C79" s="12" t="s">
        <v>38</v>
      </c>
      <c r="D79" s="12" t="s">
        <v>38</v>
      </c>
      <c r="E79" s="12" t="s">
        <v>38</v>
      </c>
      <c r="F79" s="12" t="s">
        <v>38</v>
      </c>
      <c r="G79" s="12" t="s">
        <v>38</v>
      </c>
      <c r="H79" s="57" t="s">
        <v>38</v>
      </c>
      <c r="I79" s="11" t="s">
        <v>85</v>
      </c>
    </row>
    <row r="80" ht="14.624267578125">
      <c r="A80" s="3"/>
      <c r="B80" s="6" t="s">
        <v>86</v>
      </c>
      <c r="C80" s="12" t="s">
        <v>38</v>
      </c>
      <c r="D80" s="12" t="s">
        <v>38</v>
      </c>
      <c r="E80" s="12" t="s">
        <v>38</v>
      </c>
      <c r="F80" s="12" t="s">
        <v>38</v>
      </c>
      <c r="G80" s="12" t="s">
        <v>38</v>
      </c>
      <c r="H80" s="57" t="s">
        <v>38</v>
      </c>
      <c r="I80" s="11" t="s">
        <v>87</v>
      </c>
    </row>
    <row r="81">
      <c r="A81" s="3"/>
      <c r="B81" s="6" t="s">
        <v>88</v>
      </c>
      <c r="C81" s="12" t="str">
        <f>IF(AND(ISNUMBER(C76),ISNUMBER(C79),ISNUMBER(C80)),(1+C76)/((1+C79)*(1+C80))-1,"n.a.")</f>
        <v>n.a.</v>
      </c>
      <c r="D81" s="12" t="str">
        <f>IF(AND(ISNUMBER(D76),ISNUMBER(D79),ISNUMBER(D80)),(1+D76)/((1+D79)*(1+D80))-1,"n.a.")</f>
        <v>n.a.</v>
      </c>
      <c r="E81" s="12" t="str">
        <f>IF(AND(ISNUMBER(E76),ISNUMBER(E79),ISNUMBER(E80)),(1+E76)/((1+E79)*(1+E80))-1,"n.a.")</f>
        <v>n.a.</v>
      </c>
      <c r="F81" s="12" t="str">
        <f>IF(AND(ISNUMBER(F76),ISNUMBER(F79),ISNUMBER(F80)),(1+F76)/((1+F79)*(1+F80))-1,"n.a.")</f>
        <v>n.a.</v>
      </c>
      <c r="G81" s="12" t="str">
        <f>IF(AND(ISNUMBER(G76),ISNUMBER(G79),ISNUMBER(G80)),(1+G76)/((1+G79)*(1+G80))-1,"n.a.")</f>
        <v>n.a.</v>
      </c>
      <c r="H81" s="57" t="str">
        <f>IF(AND(ISNUMBER(H76),ISNUMBER(H79),ISNUMBER(H80)),(1+H76)/((1+H79)*(1+H80))-1,"n.a.")</f>
        <v>n.a.</v>
      </c>
      <c r="I81" s="11" t="s">
        <v>89</v>
      </c>
    </row>
    <row r="82">
      <c r="A82" s="3"/>
      <c r="B82" s="6" t="s">
        <v>90</v>
      </c>
      <c r="C82" s="12">
        <f>C76</f>
        <v>0.23588879528222417</v>
      </c>
      <c r="D82" s="12">
        <f>D76</f>
        <v>0.13822115384615374</v>
      </c>
      <c r="E82" s="12">
        <f>E76</f>
        <v>0.4141156462585034</v>
      </c>
      <c r="F82" s="12">
        <f>F76</f>
        <v>0.5009731413001168</v>
      </c>
      <c r="G82" s="12">
        <f>G76</f>
        <v>0.07746549813639558</v>
      </c>
      <c r="H82" s="57">
        <f>H76</f>
        <v>0.3585146601050371</v>
      </c>
      <c r="I82" s="3"/>
    </row>
    <row r="83">
      <c r="A83" s="3"/>
      <c r="B83" s="6" t="s">
        <v>102</v>
      </c>
      <c r="C83" s="36">
        <v>2934</v>
      </c>
      <c r="D83" s="36">
        <v>2841</v>
      </c>
      <c r="E83" s="36">
        <v>3326</v>
      </c>
      <c r="F83" s="36">
        <v>3856</v>
      </c>
      <c r="G83" s="36">
        <v>10696</v>
      </c>
      <c r="H83" s="43" t="s">
        <v>38</v>
      </c>
      <c r="I83" s="11" t="s">
        <v>103</v>
      </c>
    </row>
    <row r="84" ht="14.624267578125">
      <c r="A84" s="3"/>
      <c r="B84" s="15" t="s">
        <v>104</v>
      </c>
      <c r="C84" s="26">
        <f>C42+C50+C74</f>
        <v>16673</v>
      </c>
      <c r="D84" s="26">
        <f>D42+D50+D74</f>
        <v>16003</v>
      </c>
      <c r="E84" s="26">
        <f>E42+E50+E74</f>
        <v>15854</v>
      </c>
      <c r="F84" s="26">
        <f>F42+F50+F74</f>
        <v>19757</v>
      </c>
      <c r="G84" s="26">
        <f>G42+G50+G74</f>
        <v>63364</v>
      </c>
      <c r="H84" s="40">
        <f>H42+H50+H74</f>
        <v>19990.520887748175</v>
      </c>
      <c r="I84" s="3"/>
    </row>
    <row r="85" ht="14.624267578125">
      <c r="A85" s="3"/>
      <c r="B85" s="6" t="s">
        <v>105</v>
      </c>
      <c r="C85" s="28" t="b">
        <f>ABS(C31-C84)&lt;0.5</f>
        <v>1</v>
      </c>
      <c r="D85" s="28" t="b">
        <f>ABS(D31-D84)&lt;0.5</f>
        <v>1</v>
      </c>
      <c r="E85" s="28" t="b">
        <f>ABS(E31-E84)&lt;0.5</f>
        <v>1</v>
      </c>
      <c r="F85" s="28" t="b">
        <f>ABS(F31-F84)&lt;0.5</f>
        <v>1</v>
      </c>
      <c r="G85" s="28" t="b">
        <f>ABS(G31-G84)&lt;0.5</f>
        <v>1</v>
      </c>
      <c r="H85" s="31" t="b">
        <f>ABS(H31-H84)&lt;0.5</f>
        <v>1</v>
      </c>
      <c r="I85" s="11" t="s">
        <v>106</v>
      </c>
    </row>
    <row r="86">
      <c r="A86" s="3"/>
      <c r="B86" s="6" t="s">
        <v>107</v>
      </c>
      <c r="C86" s="28" t="b">
        <f>ABS(C74-C83)&lt;0.5</f>
        <v>1</v>
      </c>
      <c r="D86" s="28" t="b">
        <f>ABS(D74-D83)&lt;0.5</f>
        <v>1</v>
      </c>
      <c r="E86" s="28" t="b">
        <f>ABS(E74-E83)&lt;0.5</f>
        <v>1</v>
      </c>
      <c r="F86" s="28" t="b">
        <f>ABS(F74-F83)&lt;0.5</f>
        <v>1</v>
      </c>
      <c r="G86" s="28" t="b">
        <f>ABS(G74-G83)&lt;0.5</f>
        <v>1</v>
      </c>
      <c r="H86" s="31" t="s">
        <v>38</v>
      </c>
      <c r="I86" s="3"/>
    </row>
    <row r="87">
      <c r="A87" s="3"/>
      <c r="B87" s="3"/>
      <c r="C87" s="22"/>
      <c r="D87" s="22"/>
      <c r="E87" s="22"/>
      <c r="F87" s="22"/>
      <c r="G87" s="22"/>
      <c r="H87" s="39"/>
      <c r="I87" s="3"/>
    </row>
    <row r="88">
      <c r="A88" s="3"/>
      <c r="B88" s="15" t="s">
        <v>108</v>
      </c>
      <c r="C88" s="22"/>
      <c r="D88" s="22"/>
      <c r="E88" s="22"/>
      <c r="F88" s="22"/>
      <c r="G88" s="22"/>
      <c r="H88" s="39"/>
      <c r="I88" s="3"/>
    </row>
    <row r="89">
      <c r="A89" s="3"/>
      <c r="B89" s="15" t="s">
        <v>109</v>
      </c>
      <c r="C89" s="26">
        <f>C31-C66</f>
        <v>15197</v>
      </c>
      <c r="D89" s="26">
        <f>D31-D66</f>
        <v>14606</v>
      </c>
      <c r="E89" s="26">
        <f>E31-E66</f>
        <v>14200</v>
      </c>
      <c r="F89" s="26">
        <f>F31-F66</f>
        <v>17666</v>
      </c>
      <c r="G89" s="26">
        <f>G31-G66</f>
        <v>58287</v>
      </c>
      <c r="H89" s="40">
        <f>H31-H66</f>
        <v>17759.540874999995</v>
      </c>
      <c r="I89" s="11" t="s">
        <v>110</v>
      </c>
    </row>
    <row r="90">
      <c r="A90" s="3"/>
      <c r="B90" s="6" t="s">
        <v>80</v>
      </c>
      <c r="C90" s="33">
        <f>'Segment - Airline'!C163</f>
        <v>14594</v>
      </c>
      <c r="D90" s="33">
        <f>'Segment - Airline'!D163</f>
        <v>14437</v>
      </c>
      <c r="E90" s="33">
        <f>'Segment - Airline'!E163</f>
        <v>12978</v>
      </c>
      <c r="F90" s="33">
        <f>'Segment - Airline'!F163</f>
        <v>15507</v>
      </c>
      <c r="G90" s="33">
        <f>'Segment - Airline'!G163</f>
        <v>57001</v>
      </c>
      <c r="H90" s="43">
        <f>C89</f>
        <v>15197</v>
      </c>
      <c r="I90" s="3"/>
    </row>
    <row r="91">
      <c r="A91" s="3"/>
      <c r="B91" s="6" t="s">
        <v>81</v>
      </c>
      <c r="C91" s="12">
        <f>IFERROR(C89/C90-1,"n.a.")</f>
        <v>0.041318350006852134</v>
      </c>
      <c r="D91" s="12">
        <f>IFERROR(D89/D90-1,"n.a.")</f>
        <v>0.011706033109371683</v>
      </c>
      <c r="E91" s="12">
        <f>IFERROR(E89/E90-1,"n.a.")</f>
        <v>0.09415934658653113</v>
      </c>
      <c r="F91" s="12">
        <f>IFERROR(F89/F90-1,"n.a.")</f>
        <v>0.13922744566969758</v>
      </c>
      <c r="G91" s="12">
        <f>IFERROR(G89/G90-1,"n.a.")</f>
        <v>0.022561007701619173</v>
      </c>
      <c r="H91" s="57">
        <f>IFERROR(H89/C89-1,"n.a.")</f>
        <v>0.1686214960189507</v>
      </c>
      <c r="I91" s="3"/>
    </row>
    <row r="92">
      <c r="A92" s="3"/>
      <c r="B92" s="6" t="s">
        <v>82</v>
      </c>
      <c r="C92" s="12">
        <f>IFERROR(C89/F90-1,"n.a.")</f>
        <v>-0.019990971819178416</v>
      </c>
      <c r="D92" s="12">
        <f>IFERROR(D89/C89-1,"n.a.")</f>
        <v>-0.03888925445811675</v>
      </c>
      <c r="E92" s="12">
        <f>IFERROR(E89/D89-1,"n.a.")</f>
        <v>-0.027796795837327082</v>
      </c>
      <c r="F92" s="12">
        <f>IFERROR(F89/E89-1,"n.a.")</f>
        <v>0.24408450704225348</v>
      </c>
      <c r="G92" s="12" t="s">
        <v>38</v>
      </c>
      <c r="H92" s="57">
        <f>IFERROR(H89/F89-1,"n.a.")</f>
        <v>0.005294966319483452</v>
      </c>
      <c r="I92" s="3"/>
    </row>
    <row r="93">
      <c r="A93" s="3"/>
      <c r="B93" s="6" t="s">
        <v>84</v>
      </c>
      <c r="C93" s="12" t="s">
        <v>38</v>
      </c>
      <c r="D93" s="12" t="s">
        <v>38</v>
      </c>
      <c r="E93" s="12" t="s">
        <v>38</v>
      </c>
      <c r="F93" s="12" t="s">
        <v>38</v>
      </c>
      <c r="G93" s="12" t="s">
        <v>38</v>
      </c>
      <c r="H93" s="57" t="s">
        <v>38</v>
      </c>
      <c r="I93" s="11" t="s">
        <v>85</v>
      </c>
    </row>
    <row r="94">
      <c r="A94" s="3"/>
      <c r="B94" s="6" t="s">
        <v>86</v>
      </c>
      <c r="C94" s="12" t="s">
        <v>38</v>
      </c>
      <c r="D94" s="12" t="s">
        <v>38</v>
      </c>
      <c r="E94" s="12" t="s">
        <v>38</v>
      </c>
      <c r="F94" s="12" t="s">
        <v>38</v>
      </c>
      <c r="G94" s="12" t="s">
        <v>38</v>
      </c>
      <c r="H94" s="57" t="s">
        <v>38</v>
      </c>
      <c r="I94" s="11" t="s">
        <v>87</v>
      </c>
    </row>
    <row r="95">
      <c r="A95" s="3"/>
      <c r="B95" s="6" t="s">
        <v>88</v>
      </c>
      <c r="C95" s="12" t="str">
        <f>IF(AND(ISNUMBER(C91),ISNUMBER(C93),ISNUMBER(C94)),(1+C91)/((1+C93)*(1+C94))-1,"n.a.")</f>
        <v>n.a.</v>
      </c>
      <c r="D95" s="12" t="str">
        <f>IF(AND(ISNUMBER(D91),ISNUMBER(D93),ISNUMBER(D94)),(1+D91)/((1+D93)*(1+D94))-1,"n.a.")</f>
        <v>n.a.</v>
      </c>
      <c r="E95" s="12" t="str">
        <f>IF(AND(ISNUMBER(E91),ISNUMBER(E93),ISNUMBER(E94)),(1+E91)/((1+E93)*(1+E94))-1,"n.a.")</f>
        <v>n.a.</v>
      </c>
      <c r="F95" s="12" t="str">
        <f>IF(AND(ISNUMBER(F91),ISNUMBER(F93),ISNUMBER(F94)),(1+F91)/((1+F93)*(1+F94))-1,"n.a.")</f>
        <v>n.a.</v>
      </c>
      <c r="G95" s="12" t="str">
        <f>IF(AND(ISNUMBER(G91),ISNUMBER(G93),ISNUMBER(G94)),(1+G91)/((1+G93)*(1+G94))-1,"n.a.")</f>
        <v>n.a.</v>
      </c>
      <c r="H95" s="57" t="str">
        <f>IF(AND(ISNUMBER(H91),ISNUMBER(H93),ISNUMBER(H94)),(1+H91)/((1+H93)*(1+H94))-1,"n.a.")</f>
        <v>n.a.</v>
      </c>
      <c r="I95" s="11" t="s">
        <v>89</v>
      </c>
    </row>
    <row r="96">
      <c r="A96" s="3"/>
      <c r="B96" s="6" t="s">
        <v>90</v>
      </c>
      <c r="C96" s="12">
        <f>C91</f>
        <v>0.041318350006852134</v>
      </c>
      <c r="D96" s="12">
        <f>D91</f>
        <v>0.011706033109371683</v>
      </c>
      <c r="E96" s="12">
        <f>E91</f>
        <v>0.09415934658653113</v>
      </c>
      <c r="F96" s="12">
        <f>F91</f>
        <v>0.13922744566969758</v>
      </c>
      <c r="G96" s="12">
        <f>G91</f>
        <v>0.022561007701619173</v>
      </c>
      <c r="H96" s="57">
        <f>H91</f>
        <v>0.1686214960189507</v>
      </c>
      <c r="I96" s="3"/>
    </row>
    <row r="97">
      <c r="A97" s="3"/>
      <c r="B97" s="6" t="s">
        <v>111</v>
      </c>
      <c r="C97" s="12"/>
      <c r="D97" s="12"/>
      <c r="E97" s="12"/>
      <c r="F97" s="12"/>
      <c r="G97" s="12"/>
      <c r="H97" s="67">
        <f>Guidance!E24</f>
        <v>0.14</v>
      </c>
      <c r="I97" s="11" t="s">
        <v>112</v>
      </c>
    </row>
    <row r="98">
      <c r="A98" s="3"/>
      <c r="B98" s="6" t="s">
        <v>113</v>
      </c>
      <c r="C98" s="12"/>
      <c r="D98" s="12"/>
      <c r="E98" s="12"/>
      <c r="F98" s="12"/>
      <c r="G98" s="12"/>
      <c r="H98" s="67">
        <f>Guidance!F24</f>
        <v>0.16</v>
      </c>
      <c r="I98" s="11" t="s">
        <v>112</v>
      </c>
    </row>
    <row r="99">
      <c r="A99" s="3"/>
      <c r="B99" s="3" t="s">
        <v>114</v>
      </c>
      <c r="C99" s="70"/>
      <c r="D99" s="70"/>
      <c r="E99" s="70"/>
      <c r="F99" s="70"/>
      <c r="G99" s="70"/>
      <c r="H99" s="76"/>
      <c r="I99" s="3"/>
    </row>
    <row r="100">
      <c r="A100" s="3"/>
      <c r="B100" s="3"/>
      <c r="C100" s="3"/>
      <c r="D100" s="3"/>
      <c r="E100" s="3"/>
      <c r="F100" s="3"/>
      <c r="G100" s="3"/>
      <c r="H100" s="3"/>
      <c r="I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I24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115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116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117</v>
      </c>
      <c r="C11" s="27">
        <v>79054</v>
      </c>
      <c r="D11" s="27">
        <v>72946</v>
      </c>
      <c r="E11" s="27">
        <v>69163</v>
      </c>
      <c r="F11" s="27">
        <v>78694</v>
      </c>
      <c r="G11" s="27">
        <v>298045</v>
      </c>
      <c r="H11" s="39">
        <f>H12*(1+H13)</f>
        <v>79844.54</v>
      </c>
      <c r="I11" s="11" t="s">
        <v>103</v>
      </c>
    </row>
    <row r="12">
      <c r="A12" s="3"/>
      <c r="B12" s="6" t="s">
        <v>80</v>
      </c>
      <c r="C12" s="36">
        <v>76162</v>
      </c>
      <c r="D12" s="36">
        <v>72035</v>
      </c>
      <c r="E12" s="36">
        <v>68401</v>
      </c>
      <c r="F12" s="36">
        <v>77645</v>
      </c>
      <c r="G12" s="36">
        <v>288394</v>
      </c>
      <c r="H12" s="43">
        <f>C11</f>
        <v>79054</v>
      </c>
      <c r="I12" s="11" t="s">
        <v>94</v>
      </c>
    </row>
    <row r="13">
      <c r="A13" s="3"/>
      <c r="B13" s="6" t="s">
        <v>81</v>
      </c>
      <c r="C13" s="12">
        <f>IFERROR(C11/C12-1,"n.a.")</f>
        <v>0.037971691919854944</v>
      </c>
      <c r="D13" s="12">
        <f>IFERROR(D11/D12-1,"n.a.")</f>
        <v>0.012646630110362933</v>
      </c>
      <c r="E13" s="12">
        <f>IFERROR(E11/E12-1,"n.a.")</f>
        <v>0.011140188008947227</v>
      </c>
      <c r="F13" s="12">
        <f>IFERROR(F11/F12-1,"n.a.")</f>
        <v>0.01351020671002634</v>
      </c>
      <c r="G13" s="12">
        <f>IFERROR(G11/G12-1,"n.a.")</f>
        <v>0.033464635186585046</v>
      </c>
      <c r="H13" s="63">
        <v>0.01</v>
      </c>
      <c r="I13" s="11" t="s">
        <v>118</v>
      </c>
    </row>
    <row r="14">
      <c r="A14" s="3"/>
      <c r="B14" s="3" t="s">
        <v>95</v>
      </c>
      <c r="C14" s="22">
        <f>IFERROR(C11-F12,"n.a.")</f>
        <v>1409</v>
      </c>
      <c r="D14" s="22">
        <f>IFERROR(D11-C11,"n.a.")</f>
        <v>-6108</v>
      </c>
      <c r="E14" s="22">
        <f>IFERROR(E11-D11,"n.a.")</f>
        <v>-3783</v>
      </c>
      <c r="F14" s="22">
        <f>IFERROR(F11-E11,"n.a.")</f>
        <v>9531</v>
      </c>
      <c r="G14" s="22" t="s">
        <v>38</v>
      </c>
      <c r="H14" s="39">
        <f>IFERROR(H11-F11,"n.a.")</f>
        <v>1150.5399999999936</v>
      </c>
      <c r="I14" s="3"/>
    </row>
    <row r="15">
      <c r="A15" s="3"/>
      <c r="B15" s="3" t="s">
        <v>119</v>
      </c>
      <c r="C15" s="27">
        <v>67621</v>
      </c>
      <c r="D15" s="27">
        <v>59861</v>
      </c>
      <c r="E15" s="27">
        <v>56470</v>
      </c>
      <c r="F15" s="27">
        <v>66767</v>
      </c>
      <c r="G15" s="27">
        <v>249578</v>
      </c>
      <c r="H15" s="39">
        <f>H11*H19</f>
        <v>67867.859</v>
      </c>
      <c r="I15" s="11" t="s">
        <v>120</v>
      </c>
    </row>
    <row r="16">
      <c r="A16" s="3"/>
      <c r="B16" s="6" t="s">
        <v>80</v>
      </c>
      <c r="C16" s="36">
        <v>66310</v>
      </c>
      <c r="D16" s="36">
        <v>60387</v>
      </c>
      <c r="E16" s="36">
        <v>55678</v>
      </c>
      <c r="F16" s="36">
        <v>66417</v>
      </c>
      <c r="G16" s="36">
        <v>246145</v>
      </c>
      <c r="H16" s="43">
        <f>C15</f>
        <v>67621</v>
      </c>
      <c r="I16" s="11" t="s">
        <v>94</v>
      </c>
    </row>
    <row r="17">
      <c r="A17" s="3"/>
      <c r="B17" s="6" t="s">
        <v>81</v>
      </c>
      <c r="C17" s="12">
        <f>IFERROR(C15/C16-1,"n.a.")</f>
        <v>0.01977077363896851</v>
      </c>
      <c r="D17" s="12">
        <f>IFERROR(D15/D16-1,"n.a.")</f>
        <v>-0.008710484044579081</v>
      </c>
      <c r="E17" s="12">
        <f>IFERROR(E15/E16-1,"n.a.")</f>
        <v>0.014224648873881973</v>
      </c>
      <c r="F17" s="12">
        <f>IFERROR(F15/F16-1,"n.a.")</f>
        <v>0.005269735158167421</v>
      </c>
      <c r="G17" s="12">
        <f>IFERROR(G15/G16-1,"n.a.")</f>
        <v>0.01394706372260246</v>
      </c>
      <c r="H17" s="57">
        <f>IFERROR(H15/C15-1,"n.a.")</f>
        <v>0.0036506262847340043</v>
      </c>
      <c r="I17" s="3"/>
    </row>
    <row r="18">
      <c r="A18" s="3"/>
      <c r="B18" s="3" t="s">
        <v>95</v>
      </c>
      <c r="C18" s="22">
        <f>IFERROR(C15-F16,"n.a.")</f>
        <v>1204</v>
      </c>
      <c r="D18" s="22">
        <f>IFERROR(D15-C15,"n.a.")</f>
        <v>-7760</v>
      </c>
      <c r="E18" s="22">
        <f>IFERROR(E15-D15,"n.a.")</f>
        <v>-3391</v>
      </c>
      <c r="F18" s="22">
        <f>IFERROR(F15-E15,"n.a.")</f>
        <v>10297</v>
      </c>
      <c r="G18" s="22" t="s">
        <v>38</v>
      </c>
      <c r="H18" s="39">
        <f>IFERROR(H15-F15,"n.a.")</f>
        <v>1100.8589999999967</v>
      </c>
      <c r="I18" s="3"/>
    </row>
    <row r="19">
      <c r="A19" s="3"/>
      <c r="B19" s="6" t="s">
        <v>121</v>
      </c>
      <c r="C19" s="12">
        <f>C15/C11</f>
        <v>0.855377337010145</v>
      </c>
      <c r="D19" s="12">
        <f>D15/D11</f>
        <v>0.8206207331450662</v>
      </c>
      <c r="E19" s="12">
        <f>E15/E11</f>
        <v>0.8164770180587887</v>
      </c>
      <c r="F19" s="12">
        <f>F15/F11</f>
        <v>0.8484382545047907</v>
      </c>
      <c r="G19" s="12">
        <f>G15/G11</f>
        <v>0.8373836165679679</v>
      </c>
      <c r="H19" s="63">
        <v>0.85</v>
      </c>
      <c r="I19" s="11" t="s">
        <v>122</v>
      </c>
    </row>
    <row r="20">
      <c r="A20" s="3"/>
      <c r="B20" s="6" t="s">
        <v>123</v>
      </c>
      <c r="C20" s="12">
        <f>C16/C12</f>
        <v>0.8706441532522781</v>
      </c>
      <c r="D20" s="12">
        <f>D16/D12</f>
        <v>0.8383008259873672</v>
      </c>
      <c r="E20" s="12">
        <f>E16/E12</f>
        <v>0.8139939474569086</v>
      </c>
      <c r="F20" s="12">
        <f>F16/F12</f>
        <v>0.8553931354240454</v>
      </c>
      <c r="G20" s="12">
        <f>G16/G12</f>
        <v>0.8535025000520122</v>
      </c>
      <c r="H20" s="57">
        <f>C19</f>
        <v>0.855377337010145</v>
      </c>
      <c r="I20" s="3"/>
    </row>
    <row r="21">
      <c r="A21" s="3"/>
      <c r="B21" s="6" t="s">
        <v>124</v>
      </c>
      <c r="C21" s="49">
        <f>IFERROR((C19-C20)*10000,"n.a.")</f>
        <v>-152.6681624213311</v>
      </c>
      <c r="D21" s="49">
        <f>IFERROR((D19-D20)*10000,"n.a.")</f>
        <v>-176.80092842300988</v>
      </c>
      <c r="E21" s="49">
        <f>IFERROR((E19-E20)*10000,"n.a.")</f>
        <v>24.83070601880133</v>
      </c>
      <c r="F21" s="49">
        <f>IFERROR((F19-F20)*10000,"n.a.")</f>
        <v>-69.54880919254668</v>
      </c>
      <c r="G21" s="49">
        <f>IFERROR((G19-G20)*10000,"n.a.")</f>
        <v>-161.18883484044332</v>
      </c>
      <c r="H21" s="69">
        <f>IFERROR((H19-C19)*10000,"n.a.")</f>
        <v>-53.77337010144978</v>
      </c>
      <c r="I21" s="3"/>
    </row>
    <row r="22">
      <c r="A22" s="3"/>
      <c r="B22" s="6" t="s">
        <v>125</v>
      </c>
      <c r="C22" s="49">
        <f>IFERROR((C19-F20)*10000,"n.a.")</f>
        <v>-0.15798413900425246</v>
      </c>
      <c r="D22" s="49">
        <f>IFERROR((D19-C19)*10000,"n.a.")</f>
        <v>-347.5660386507873</v>
      </c>
      <c r="E22" s="49">
        <f>IFERROR((E19-D19)*10000,"n.a.")</f>
        <v>-41.437150862775326</v>
      </c>
      <c r="F22" s="49">
        <f>IFERROR((F19-E19)*10000,"n.a.")</f>
        <v>319.61236446002016</v>
      </c>
      <c r="G22" s="49" t="s">
        <v>38</v>
      </c>
      <c r="H22" s="69">
        <f>IFERROR((H19-F19)*10000,"n.a.")</f>
        <v>15.617454952092658</v>
      </c>
      <c r="I22" s="3"/>
    </row>
    <row r="23">
      <c r="A23" s="3"/>
      <c r="B23" s="3" t="s">
        <v>126</v>
      </c>
      <c r="C23" s="5">
        <f>C81/C15*100</f>
        <v>19.97308528415729</v>
      </c>
      <c r="D23" s="5">
        <f>D81/D15*100</f>
        <v>21.576652578473464</v>
      </c>
      <c r="E23" s="5">
        <f>E81/E15*100</f>
        <v>21.785018593943686</v>
      </c>
      <c r="F23" s="5">
        <f>F81/F15*100</f>
        <v>23.37532014318451</v>
      </c>
      <c r="G23" s="5">
        <f>G81/G15*100</f>
        <v>20.742212855299748</v>
      </c>
      <c r="H23" s="68">
        <f>H81/H15*100</f>
        <v>23.135751011388173</v>
      </c>
      <c r="I23" s="3"/>
    </row>
    <row r="24">
      <c r="A24" s="3"/>
      <c r="B24" s="6" t="s">
        <v>127</v>
      </c>
      <c r="C24" s="87">
        <f>C82/C16*100</f>
        <v>19.76624943447444</v>
      </c>
      <c r="D24" s="87">
        <f>D82/D16*100</f>
        <v>21.221454948912847</v>
      </c>
      <c r="E24" s="87">
        <f>E82/E16*100</f>
        <v>20.618556701030926</v>
      </c>
      <c r="F24" s="87">
        <f>F82/F16*100</f>
        <v>20.87869069665899</v>
      </c>
      <c r="G24" s="87">
        <f>G82/G16*100</f>
        <v>20.67643055922322</v>
      </c>
      <c r="H24" s="90">
        <f>C23</f>
        <v>19.97308528415729</v>
      </c>
      <c r="I24" s="3"/>
    </row>
    <row r="25">
      <c r="A25" s="3"/>
      <c r="B25" s="6" t="s">
        <v>81</v>
      </c>
      <c r="C25" s="12">
        <f>IFERROR(C23/C24-1,"n.a.")</f>
        <v>0.01046409185356656</v>
      </c>
      <c r="D25" s="12">
        <f>IFERROR(D23/D24-1,"n.a.")</f>
        <v>0.016737666216369185</v>
      </c>
      <c r="E25" s="12">
        <f>IFERROR(E23/E24-1,"n.a.")</f>
        <v>0.05657340180626891</v>
      </c>
      <c r="F25" s="12">
        <f>IFERROR(F23/F24-1,"n.a.")</f>
        <v>0.11957787405342568</v>
      </c>
      <c r="G25" s="12">
        <f>IFERROR(G23/G24-1,"n.a.")</f>
        <v>0.0031815112327104877</v>
      </c>
      <c r="H25" s="57">
        <f>IFERROR(H23/C23-1,"n.a.")</f>
        <v>0.15834637875098445</v>
      </c>
      <c r="I25" s="3"/>
    </row>
    <row r="26">
      <c r="A26" s="3"/>
      <c r="B26" s="3" t="s">
        <v>95</v>
      </c>
      <c r="C26" s="5">
        <f>IFERROR(C23-F24,"n.a.")</f>
        <v>-0.9056054125016999</v>
      </c>
      <c r="D26" s="5">
        <f>IFERROR(D23-C23,"n.a.")</f>
        <v>1.603567294316175</v>
      </c>
      <c r="E26" s="5">
        <f>IFERROR(E23-D23,"n.a.")</f>
        <v>0.20836601547022227</v>
      </c>
      <c r="F26" s="5">
        <f>IFERROR(F23-E23,"n.a.")</f>
        <v>1.5903015492408237</v>
      </c>
      <c r="G26" s="5" t="s">
        <v>38</v>
      </c>
      <c r="H26" s="68">
        <f>IFERROR(H23-F23,"n.a.")</f>
        <v>-0.23956913179633688</v>
      </c>
      <c r="I26" s="3"/>
    </row>
    <row r="27">
      <c r="A27" s="3"/>
      <c r="B27" s="3" t="s">
        <v>128</v>
      </c>
      <c r="C27" s="5">
        <f>C81/C11*100</f>
        <v>17.084524502238978</v>
      </c>
      <c r="D27" s="5">
        <f>D81/D11*100</f>
        <v>17.706248457763277</v>
      </c>
      <c r="E27" s="5">
        <f>E81/E11*100</f>
        <v>17.78696701993841</v>
      </c>
      <c r="F27" s="5">
        <f>F81/F11*100</f>
        <v>19.832515820774137</v>
      </c>
      <c r="G27" s="5">
        <f>G81/G11*100</f>
        <v>17.369189216393497</v>
      </c>
      <c r="H27" s="68">
        <f>H81/H11*100</f>
        <v>19.665388359679948</v>
      </c>
      <c r="I27" s="11" t="s">
        <v>129</v>
      </c>
    </row>
    <row r="28" ht="14.624267578125">
      <c r="A28" s="3"/>
      <c r="B28" s="6" t="s">
        <v>130</v>
      </c>
      <c r="C28" s="87">
        <f>C82/C12*100</f>
        <v>17.209369501851317</v>
      </c>
      <c r="D28" s="87">
        <f>D82/D12*100</f>
        <v>17.789963212327343</v>
      </c>
      <c r="E28" s="87">
        <f>E82/E12*100</f>
        <v>16.78338035993626</v>
      </c>
      <c r="F28" s="87">
        <f>F82/F12*100</f>
        <v>17.85948869856398</v>
      </c>
      <c r="G28" s="87">
        <f>G82/G12*100</f>
        <v>17.647385174448843</v>
      </c>
      <c r="H28" s="90">
        <f>C27</f>
        <v>17.084524502238978</v>
      </c>
      <c r="I28" s="3"/>
    </row>
    <row r="29">
      <c r="A29" s="3"/>
      <c r="B29" s="6" t="s">
        <v>81</v>
      </c>
      <c r="C29" s="12">
        <f>IFERROR(C27/C28-1,"n.a.")</f>
        <v>-0.0072544784164758624</v>
      </c>
      <c r="D29" s="12">
        <f>IFERROR(D27/D28-1,"n.a.")</f>
        <v>-0.00470572949279946</v>
      </c>
      <c r="E29" s="12">
        <f>IFERROR(E27/E28-1,"n.a.")</f>
        <v>0.059796455688856165</v>
      </c>
      <c r="F29" s="12">
        <f>IFERROR(F27/F28-1,"n.a.")</f>
        <v>0.11047500606043692</v>
      </c>
      <c r="G29" s="12">
        <f>IFERROR(G27/G28-1,"n.a.")</f>
        <v>-0.015764146093333875</v>
      </c>
      <c r="H29" s="57">
        <f>IFERROR(H27/C27-1,"n.a.")</f>
        <v>0.15106442424562294</v>
      </c>
      <c r="I29" s="3"/>
    </row>
    <row r="30">
      <c r="A30" s="3"/>
      <c r="B30" s="3" t="s">
        <v>95</v>
      </c>
      <c r="C30" s="5">
        <f>IFERROR(C27-F28,"n.a.")</f>
        <v>-0.7749641963250014</v>
      </c>
      <c r="D30" s="5">
        <f>IFERROR(D27-C27,"n.a.")</f>
        <v>0.621723955524299</v>
      </c>
      <c r="E30" s="5">
        <f>IFERROR(E27-D27,"n.a.")</f>
        <v>0.08071856217513229</v>
      </c>
      <c r="F30" s="5">
        <f>IFERROR(F27-E27,"n.a.")</f>
        <v>2.0455488008357285</v>
      </c>
      <c r="G30" s="5" t="s">
        <v>38</v>
      </c>
      <c r="H30" s="68">
        <f>IFERROR(H27-F27,"n.a.")</f>
        <v>-0.1671274610941893</v>
      </c>
      <c r="I30" s="3"/>
    </row>
    <row r="31">
      <c r="A31" s="3"/>
      <c r="B31" s="3" t="s">
        <v>131</v>
      </c>
      <c r="C31" s="5">
        <f>C162/C11*100</f>
        <v>19.223568699876033</v>
      </c>
      <c r="D31" s="5">
        <f>D162/D11*100</f>
        <v>20.023030735064292</v>
      </c>
      <c r="E31" s="5">
        <f>E162/E11*100</f>
        <v>20.531208883362492</v>
      </c>
      <c r="F31" s="5">
        <f>F162/F11*100</f>
        <v>22.448979591836736</v>
      </c>
      <c r="G31" s="5">
        <f>G162/G11*100</f>
        <v>19.556442819037393</v>
      </c>
      <c r="H31" s="68">
        <f>H162/H11*100</f>
        <v>22.242649121655653</v>
      </c>
      <c r="I31" s="11" t="s">
        <v>132</v>
      </c>
    </row>
    <row r="32">
      <c r="A32" s="3"/>
      <c r="B32" s="6" t="s">
        <v>133</v>
      </c>
      <c r="C32" s="87">
        <f>C163/C12*100</f>
        <v>19.161786717785773</v>
      </c>
      <c r="D32" s="87">
        <f>D163/D12*100</f>
        <v>20.041646421878255</v>
      </c>
      <c r="E32" s="87">
        <f>E163/E12*100</f>
        <v>18.973406821537697</v>
      </c>
      <c r="F32" s="87">
        <f>F163/F12*100</f>
        <v>19.971665915384122</v>
      </c>
      <c r="G32" s="87">
        <f>G163/G12*100</f>
        <v>19.764974305984172</v>
      </c>
      <c r="H32" s="90">
        <f>C31</f>
        <v>19.223568699876033</v>
      </c>
      <c r="I32" s="3"/>
    </row>
    <row r="33">
      <c r="A33" s="3"/>
      <c r="B33" s="6" t="s">
        <v>81</v>
      </c>
      <c r="C33" s="12">
        <f>IFERROR(C31/C32-1,"n.a.")</f>
        <v>0.003224228669287621</v>
      </c>
      <c r="D33" s="12">
        <f>IFERROR(D31/D32-1,"n.a.")</f>
        <v>-0.0009288501763827783</v>
      </c>
      <c r="E33" s="12">
        <f>IFERROR(E31/E32-1,"n.a.")</f>
        <v>0.08210449902209715</v>
      </c>
      <c r="F33" s="12">
        <f>IFERROR(F31/F32-1,"n.a.")</f>
        <v>0.12404141381838074</v>
      </c>
      <c r="G33" s="12">
        <f>IFERROR(G31/G32-1,"n.a.")</f>
        <v>-0.010550556945760459</v>
      </c>
      <c r="H33" s="57">
        <f>IFERROR(H31/C31-1,"n.a.")</f>
        <v>0.15705098615737723</v>
      </c>
      <c r="I33" s="3"/>
    </row>
    <row r="34">
      <c r="A34" s="3"/>
      <c r="B34" s="3" t="s">
        <v>95</v>
      </c>
      <c r="C34" s="5">
        <f>IFERROR(C31-F32,"n.a.")</f>
        <v>-0.7480972155080892</v>
      </c>
      <c r="D34" s="5">
        <f>IFERROR(D31-C31,"n.a.")</f>
        <v>0.7994620351882595</v>
      </c>
      <c r="E34" s="5">
        <f>IFERROR(E31-D31,"n.a.")</f>
        <v>0.5081781482981995</v>
      </c>
      <c r="F34" s="5">
        <f>IFERROR(F31-E31,"n.a.")</f>
        <v>1.9177707084742437</v>
      </c>
      <c r="G34" s="5" t="s">
        <v>38</v>
      </c>
      <c r="H34" s="68">
        <f>IFERROR(H31-F31,"n.a.")</f>
        <v>-0.20633047018108286</v>
      </c>
      <c r="I34" s="3"/>
    </row>
    <row r="35">
      <c r="A35" s="3"/>
      <c r="B35" s="3" t="s">
        <v>134</v>
      </c>
      <c r="C35" s="89">
        <f>'Income Statement'!C14/C11*100</f>
        <v>21.09064689958762</v>
      </c>
      <c r="D35" s="89">
        <f>'Income Statement'!D14/D11*100</f>
        <v>21.938146025827322</v>
      </c>
      <c r="E35" s="89">
        <f>'Income Statement'!E14/E11*100</f>
        <v>22.922660960340068</v>
      </c>
      <c r="F35" s="89">
        <f>'Income Statement'!F14/F11*100</f>
        <v>25.10610720004066</v>
      </c>
      <c r="G35" s="89">
        <f>'Income Statement'!G14/G11*100</f>
        <v>21.25987686423191</v>
      </c>
      <c r="H35" s="88">
        <f>'Income Statement'!H14/H11*100</f>
        <v>25.036803878822745</v>
      </c>
      <c r="I35" s="11" t="s">
        <v>135</v>
      </c>
    </row>
    <row r="36">
      <c r="A36" s="3"/>
      <c r="B36" s="6" t="s">
        <v>136</v>
      </c>
      <c r="C36" s="93">
        <f>'Revenue summary'!C32/C12*100</f>
        <v>20.58375567868491</v>
      </c>
      <c r="D36" s="93">
        <f>'Revenue summary'!D32/D12*100</f>
        <v>21.59922260012494</v>
      </c>
      <c r="E36" s="93">
        <f>'Revenue summary'!E32/E12*100</f>
        <v>20.52601570152483</v>
      </c>
      <c r="F36" s="93">
        <f>'Revenue summary'!F32/F12*100</f>
        <v>21.44117457659862</v>
      </c>
      <c r="G36" s="93">
        <f>'Revenue summary'!G32/G12*100</f>
        <v>21.374577834490317</v>
      </c>
      <c r="H36" s="90">
        <f>C35</f>
        <v>21.09064689958762</v>
      </c>
      <c r="I36" s="3"/>
    </row>
    <row r="37">
      <c r="A37" s="3"/>
      <c r="B37" s="6" t="s">
        <v>81</v>
      </c>
      <c r="C37" s="12">
        <f>IFERROR(C35/C36-1,"n.a.")</f>
        <v>0.02462578884122757</v>
      </c>
      <c r="D37" s="12">
        <f>IFERROR(D35/D36-1,"n.a.")</f>
        <v>0.015691464085398232</v>
      </c>
      <c r="E37" s="12">
        <f>IFERROR(E35/E36-1,"n.a.")</f>
        <v>0.11676134782636827</v>
      </c>
      <c r="F37" s="12">
        <f>IFERROR(F35/F36-1,"n.a.")</f>
        <v>0.17092965734452026</v>
      </c>
      <c r="G37" s="12">
        <f>IFERROR(G35/G36-1,"n.a.")</f>
        <v>-0.005366233248982555</v>
      </c>
      <c r="H37" s="57">
        <f>IFERROR(H35/C35-1,"n.a.")</f>
        <v>0.1871045965551812</v>
      </c>
      <c r="I37" s="3"/>
    </row>
    <row r="38">
      <c r="A38" s="3"/>
      <c r="B38" s="3" t="s">
        <v>95</v>
      </c>
      <c r="C38" s="5">
        <f>IFERROR(C35-F36,"n.a.")</f>
        <v>-0.35052767701099796</v>
      </c>
      <c r="D38" s="5">
        <f>IFERROR(D35-C35,"n.a.")</f>
        <v>0.8474991262397005</v>
      </c>
      <c r="E38" s="5">
        <f>IFERROR(E35-D35,"n.a.")</f>
        <v>0.9845149345127453</v>
      </c>
      <c r="F38" s="5">
        <f>IFERROR(F35-E35,"n.a.")</f>
        <v>2.1834462397005936</v>
      </c>
      <c r="G38" s="5" t="s">
        <v>38</v>
      </c>
      <c r="H38" s="68">
        <f>IFERROR(H35-F35,"n.a.")</f>
        <v>-0.06930332121791594</v>
      </c>
      <c r="I38" s="3"/>
    </row>
    <row r="39">
      <c r="A39" s="3"/>
      <c r="B39" s="3"/>
      <c r="C39" s="22"/>
      <c r="D39" s="22"/>
      <c r="E39" s="22"/>
      <c r="F39" s="22"/>
      <c r="G39" s="22"/>
      <c r="H39" s="39"/>
      <c r="I39" s="3"/>
    </row>
    <row r="40">
      <c r="A40" s="3"/>
      <c r="B40" s="15" t="s">
        <v>137</v>
      </c>
      <c r="C40" s="22"/>
      <c r="D40" s="22"/>
      <c r="E40" s="22"/>
      <c r="F40" s="22"/>
      <c r="G40" s="22"/>
      <c r="H40" s="39"/>
      <c r="I40" s="3"/>
    </row>
    <row r="41">
      <c r="A41" s="3"/>
      <c r="B41" s="3" t="s">
        <v>138</v>
      </c>
      <c r="C41" s="27">
        <v>6063</v>
      </c>
      <c r="D41" s="27">
        <v>5620</v>
      </c>
      <c r="E41" s="27">
        <v>5404</v>
      </c>
      <c r="F41" s="27">
        <v>6851</v>
      </c>
      <c r="G41" s="27">
        <v>23391</v>
      </c>
      <c r="H41" s="47">
        <f>Geo!H67-H51-H61-H71</f>
        <v>6937.698874999997</v>
      </c>
      <c r="I41" s="11" t="s">
        <v>139</v>
      </c>
    </row>
    <row r="42" ht="14.624267578125">
      <c r="A42" s="3"/>
      <c r="B42" s="6" t="s">
        <v>80</v>
      </c>
      <c r="C42" s="36">
        <v>6309</v>
      </c>
      <c r="D42" s="36">
        <v>6047</v>
      </c>
      <c r="E42" s="36">
        <v>5361</v>
      </c>
      <c r="F42" s="36">
        <v>6347</v>
      </c>
      <c r="G42" s="36">
        <v>24497</v>
      </c>
      <c r="H42" s="43">
        <f>C41</f>
        <v>6063</v>
      </c>
      <c r="I42" s="11" t="s">
        <v>94</v>
      </c>
    </row>
    <row r="43">
      <c r="A43" s="3"/>
      <c r="B43" s="6" t="s">
        <v>81</v>
      </c>
      <c r="C43" s="12">
        <f>IFERROR(C41/C42-1,"n.a.")</f>
        <v>-0.03899191631003329</v>
      </c>
      <c r="D43" s="12">
        <f>IFERROR(D41/D42-1,"n.a.")</f>
        <v>-0.07061352736894333</v>
      </c>
      <c r="E43" s="12">
        <f>IFERROR(E41/E42-1,"n.a.")</f>
        <v>0.00802089162469688</v>
      </c>
      <c r="F43" s="12">
        <f>IFERROR(F41/F42-1,"n.a.")</f>
        <v>0.07940759413896337</v>
      </c>
      <c r="G43" s="12">
        <f>IFERROR(G41/G42-1,"n.a.")</f>
        <v>-0.045148385516593836</v>
      </c>
      <c r="H43" s="57">
        <f>IFERROR(H41/C41-1,"n.a.")</f>
        <v>0.14426832838528747</v>
      </c>
      <c r="I43" s="3"/>
    </row>
    <row r="44">
      <c r="A44" s="3"/>
      <c r="B44" s="6" t="s">
        <v>82</v>
      </c>
      <c r="C44" s="12">
        <f>IFERROR(C41/F42-1,"n.a.")</f>
        <v>-0.04474554907830475</v>
      </c>
      <c r="D44" s="12">
        <f>IFERROR(D41/C41-1,"n.a.")</f>
        <v>-0.07306613887514435</v>
      </c>
      <c r="E44" s="12">
        <f>IFERROR(E41/D41-1,"n.a.")</f>
        <v>-0.03843416370106767</v>
      </c>
      <c r="F44" s="12">
        <f>IFERROR(F41/E41-1,"n.a.")</f>
        <v>0.2677646188008882</v>
      </c>
      <c r="G44" s="12" t="s">
        <v>38</v>
      </c>
      <c r="H44" s="57">
        <f>IFERROR(H41/F41-1,"n.a.")</f>
        <v>0.012654922639030453</v>
      </c>
      <c r="I44" s="3"/>
    </row>
    <row r="45">
      <c r="A45" s="3"/>
      <c r="B45" s="3" t="s">
        <v>95</v>
      </c>
      <c r="C45" s="22">
        <f>IFERROR(C41-F42,"n.a.")</f>
        <v>-284</v>
      </c>
      <c r="D45" s="22">
        <f>IFERROR(D41-C41,"n.a.")</f>
        <v>-443</v>
      </c>
      <c r="E45" s="22">
        <f>IFERROR(E41-D41,"n.a.")</f>
        <v>-216</v>
      </c>
      <c r="F45" s="22">
        <f>IFERROR(F41-E41,"n.a.")</f>
        <v>1447</v>
      </c>
      <c r="G45" s="22" t="s">
        <v>38</v>
      </c>
      <c r="H45" s="39">
        <f>IFERROR(H41-F41,"n.a.")</f>
        <v>86.69887499999732</v>
      </c>
      <c r="I45" s="3"/>
    </row>
    <row r="46">
      <c r="A46" s="3"/>
      <c r="B46" s="6" t="s">
        <v>140</v>
      </c>
      <c r="C46" s="12">
        <f>C41/C81</f>
        <v>0.44891159484673476</v>
      </c>
      <c r="D46" s="12">
        <f>D41/D81</f>
        <v>0.43511923196035923</v>
      </c>
      <c r="E46" s="12">
        <f>E41/E81</f>
        <v>0.43927816615184523</v>
      </c>
      <c r="F46" s="12">
        <f>F41/F81</f>
        <v>0.4389696930864356</v>
      </c>
      <c r="G46" s="12">
        <f>G41/G81</f>
        <v>0.45184283727399166</v>
      </c>
      <c r="H46" s="57">
        <f>H41/H81</f>
        <v>0.4418427111946223</v>
      </c>
      <c r="I46" s="3"/>
    </row>
    <row r="47">
      <c r="A47" s="3"/>
      <c r="B47" s="6" t="s">
        <v>84</v>
      </c>
      <c r="C47" s="12" t="s">
        <v>38</v>
      </c>
      <c r="D47" s="12" t="s">
        <v>38</v>
      </c>
      <c r="E47" s="12" t="s">
        <v>38</v>
      </c>
      <c r="F47" s="12" t="s">
        <v>38</v>
      </c>
      <c r="G47" s="12" t="s">
        <v>38</v>
      </c>
      <c r="H47" s="57" t="s">
        <v>38</v>
      </c>
      <c r="I47" s="11" t="s">
        <v>85</v>
      </c>
    </row>
    <row r="48">
      <c r="A48" s="3"/>
      <c r="B48" s="6" t="s">
        <v>86</v>
      </c>
      <c r="C48" s="12" t="s">
        <v>38</v>
      </c>
      <c r="D48" s="12" t="s">
        <v>38</v>
      </c>
      <c r="E48" s="12" t="s">
        <v>38</v>
      </c>
      <c r="F48" s="12" t="s">
        <v>38</v>
      </c>
      <c r="G48" s="12" t="s">
        <v>38</v>
      </c>
      <c r="H48" s="57" t="s">
        <v>38</v>
      </c>
      <c r="I48" s="11" t="s">
        <v>87</v>
      </c>
    </row>
    <row r="49">
      <c r="A49" s="3"/>
      <c r="B49" s="6" t="s">
        <v>88</v>
      </c>
      <c r="C49" s="12" t="str">
        <f>IF(AND(ISNUMBER(C43),ISNUMBER(C47),ISNUMBER(C48)),(1+C43)/((1+C47)*(1+C48))-1,"n.a.")</f>
        <v>n.a.</v>
      </c>
      <c r="D49" s="12" t="str">
        <f>IF(AND(ISNUMBER(D43),ISNUMBER(D47),ISNUMBER(D48)),(1+D43)/((1+D47)*(1+D48))-1,"n.a.")</f>
        <v>n.a.</v>
      </c>
      <c r="E49" s="12" t="str">
        <f>IF(AND(ISNUMBER(E43),ISNUMBER(E47),ISNUMBER(E48)),(1+E43)/((1+E47)*(1+E48))-1,"n.a.")</f>
        <v>n.a.</v>
      </c>
      <c r="F49" s="12" t="str">
        <f>IF(AND(ISNUMBER(F43),ISNUMBER(F47),ISNUMBER(F48)),(1+F43)/((1+F47)*(1+F48))-1,"n.a.")</f>
        <v>n.a.</v>
      </c>
      <c r="G49" s="12" t="str">
        <f>IF(AND(ISNUMBER(G43),ISNUMBER(G47),ISNUMBER(G48)),(1+G43)/((1+G47)*(1+G48))-1,"n.a.")</f>
        <v>n.a.</v>
      </c>
      <c r="H49" s="57" t="str">
        <f>IF(AND(ISNUMBER(H43),ISNUMBER(H47),ISNUMBER(H48)),(1+H43)/((1+H47)*(1+H48))-1,"n.a.")</f>
        <v>n.a.</v>
      </c>
      <c r="I49" s="11" t="s">
        <v>89</v>
      </c>
    </row>
    <row r="50">
      <c r="A50" s="3"/>
      <c r="B50" s="6" t="s">
        <v>90</v>
      </c>
      <c r="C50" s="12">
        <f>C43</f>
        <v>-0.03899191631003329</v>
      </c>
      <c r="D50" s="12">
        <f>D43</f>
        <v>-0.07061352736894333</v>
      </c>
      <c r="E50" s="12">
        <f>E43</f>
        <v>0.00802089162469688</v>
      </c>
      <c r="F50" s="12">
        <f>F43</f>
        <v>0.07940759413896337</v>
      </c>
      <c r="G50" s="12">
        <f>G43</f>
        <v>-0.045148385516593836</v>
      </c>
      <c r="H50" s="57">
        <f>H43</f>
        <v>0.14426832838528747</v>
      </c>
      <c r="I50" s="3"/>
    </row>
    <row r="51">
      <c r="A51" s="3"/>
      <c r="B51" s="3" t="s">
        <v>141</v>
      </c>
      <c r="C51" s="27">
        <v>5796</v>
      </c>
      <c r="D51" s="27">
        <v>5695</v>
      </c>
      <c r="E51" s="27">
        <v>5363</v>
      </c>
      <c r="F51" s="27">
        <v>6920</v>
      </c>
      <c r="G51" s="27">
        <v>22097</v>
      </c>
      <c r="H51" s="39">
        <f>H52*(1+H53)</f>
        <v>6897.24</v>
      </c>
      <c r="I51" s="11" t="s">
        <v>142</v>
      </c>
    </row>
    <row r="52" ht="14.624267578125">
      <c r="A52" s="3"/>
      <c r="B52" s="6" t="s">
        <v>80</v>
      </c>
      <c r="C52" s="36">
        <v>5336</v>
      </c>
      <c r="D52" s="36">
        <v>5222</v>
      </c>
      <c r="E52" s="36">
        <v>4707</v>
      </c>
      <c r="F52" s="36">
        <v>5899</v>
      </c>
      <c r="G52" s="36">
        <v>20599</v>
      </c>
      <c r="H52" s="43">
        <f>C51</f>
        <v>5796</v>
      </c>
      <c r="I52" s="11" t="s">
        <v>94</v>
      </c>
    </row>
    <row r="53">
      <c r="A53" s="3"/>
      <c r="B53" s="6" t="s">
        <v>81</v>
      </c>
      <c r="C53" s="12">
        <f>IFERROR(C51/C52-1,"n.a.")</f>
        <v>0.0862068965517242</v>
      </c>
      <c r="D53" s="12">
        <f>IFERROR(D51/D52-1,"n.a.")</f>
        <v>0.09057832248180775</v>
      </c>
      <c r="E53" s="12">
        <f>IFERROR(E51/E52-1,"n.a.")</f>
        <v>0.13936690036116417</v>
      </c>
      <c r="F53" s="12">
        <f>IFERROR(F51/F52-1,"n.a.")</f>
        <v>0.17308018308187822</v>
      </c>
      <c r="G53" s="12">
        <f>IFERROR(G51/G52-1,"n.a.")</f>
        <v>0.07272197679499004</v>
      </c>
      <c r="H53" s="63">
        <v>0.19</v>
      </c>
      <c r="I53" s="3"/>
    </row>
    <row r="54">
      <c r="A54" s="3"/>
      <c r="B54" s="6" t="s">
        <v>82</v>
      </c>
      <c r="C54" s="12">
        <f>IFERROR(C51/F52-1,"n.a.")</f>
        <v>-0.017460586540091527</v>
      </c>
      <c r="D54" s="12">
        <f>IFERROR(D51/C51-1,"n.a.")</f>
        <v>-0.017425810904071803</v>
      </c>
      <c r="E54" s="12">
        <f>IFERROR(E51/D51-1,"n.a.")</f>
        <v>-0.05829675153643543</v>
      </c>
      <c r="F54" s="12">
        <f>IFERROR(F51/E51-1,"n.a.")</f>
        <v>0.29032258064516125</v>
      </c>
      <c r="G54" s="12" t="s">
        <v>38</v>
      </c>
      <c r="H54" s="57">
        <f>IFERROR(H51/F51-1,"n.a.")</f>
        <v>-0.003289017341040479</v>
      </c>
      <c r="I54" s="3"/>
    </row>
    <row r="55">
      <c r="A55" s="3"/>
      <c r="B55" s="3" t="s">
        <v>95</v>
      </c>
      <c r="C55" s="22">
        <f>IFERROR(C51-F52,"n.a.")</f>
        <v>-103</v>
      </c>
      <c r="D55" s="22">
        <f>IFERROR(D51-C51,"n.a.")</f>
        <v>-101</v>
      </c>
      <c r="E55" s="22">
        <f>IFERROR(E51-D51,"n.a.")</f>
        <v>-332</v>
      </c>
      <c r="F55" s="22">
        <f>IFERROR(F51-E51,"n.a.")</f>
        <v>1557</v>
      </c>
      <c r="G55" s="22" t="s">
        <v>38</v>
      </c>
      <c r="H55" s="39">
        <f>IFERROR(H51-F51,"n.a.")</f>
        <v>-22.76000000000022</v>
      </c>
      <c r="I55" s="3"/>
    </row>
    <row r="56">
      <c r="A56" s="3"/>
      <c r="B56" s="6" t="s">
        <v>140</v>
      </c>
      <c r="C56" s="12">
        <f>C51/C81</f>
        <v>0.4291426032874278</v>
      </c>
      <c r="D56" s="12">
        <f>D51/D81</f>
        <v>0.4409259832765562</v>
      </c>
      <c r="E56" s="12">
        <f>E51/E81</f>
        <v>0.4359453747358153</v>
      </c>
      <c r="F56" s="12">
        <f>F51/F81</f>
        <v>0.4433907861856859</v>
      </c>
      <c r="G56" s="12">
        <f>G51/G81</f>
        <v>0.42684670066450314</v>
      </c>
      <c r="H56" s="57">
        <f>H51/H81</f>
        <v>0.4392659981743583</v>
      </c>
      <c r="I56" s="3"/>
    </row>
    <row r="57">
      <c r="A57" s="3"/>
      <c r="B57" s="6" t="s">
        <v>84</v>
      </c>
      <c r="C57" s="12" t="s">
        <v>38</v>
      </c>
      <c r="D57" s="12" t="s">
        <v>38</v>
      </c>
      <c r="E57" s="12" t="s">
        <v>38</v>
      </c>
      <c r="F57" s="12" t="s">
        <v>38</v>
      </c>
      <c r="G57" s="12" t="s">
        <v>38</v>
      </c>
      <c r="H57" s="57" t="s">
        <v>38</v>
      </c>
      <c r="I57" s="11" t="s">
        <v>85</v>
      </c>
    </row>
    <row r="58">
      <c r="A58" s="3"/>
      <c r="B58" s="6" t="s">
        <v>86</v>
      </c>
      <c r="C58" s="12" t="s">
        <v>38</v>
      </c>
      <c r="D58" s="12" t="s">
        <v>38</v>
      </c>
      <c r="E58" s="12" t="s">
        <v>38</v>
      </c>
      <c r="F58" s="12" t="s">
        <v>38</v>
      </c>
      <c r="G58" s="12" t="s">
        <v>38</v>
      </c>
      <c r="H58" s="57" t="s">
        <v>38</v>
      </c>
      <c r="I58" s="11" t="s">
        <v>87</v>
      </c>
    </row>
    <row r="59">
      <c r="A59" s="3"/>
      <c r="B59" s="6" t="s">
        <v>88</v>
      </c>
      <c r="C59" s="12" t="str">
        <f>IF(AND(ISNUMBER(C53),ISNUMBER(C57),ISNUMBER(C58)),(1+C53)/((1+C57)*(1+C58))-1,"n.a.")</f>
        <v>n.a.</v>
      </c>
      <c r="D59" s="12" t="str">
        <f>IF(AND(ISNUMBER(D53),ISNUMBER(D57),ISNUMBER(D58)),(1+D53)/((1+D57)*(1+D58))-1,"n.a.")</f>
        <v>n.a.</v>
      </c>
      <c r="E59" s="12" t="str">
        <f>IF(AND(ISNUMBER(E53),ISNUMBER(E57),ISNUMBER(E58)),(1+E53)/((1+E57)*(1+E58))-1,"n.a.")</f>
        <v>n.a.</v>
      </c>
      <c r="F59" s="12" t="str">
        <f>IF(AND(ISNUMBER(F53),ISNUMBER(F57),ISNUMBER(F58)),(1+F53)/((1+F57)*(1+F58))-1,"n.a.")</f>
        <v>n.a.</v>
      </c>
      <c r="G59" s="12" t="str">
        <f>IF(AND(ISNUMBER(G53),ISNUMBER(G57),ISNUMBER(G58)),(1+G53)/((1+G57)*(1+G58))-1,"n.a.")</f>
        <v>n.a.</v>
      </c>
      <c r="H59" s="57" t="str">
        <f>IF(AND(ISNUMBER(H53),ISNUMBER(H57),ISNUMBER(H58)),(1+H53)/((1+H57)*(1+H58))-1,"n.a.")</f>
        <v>n.a.</v>
      </c>
      <c r="I59" s="11" t="s">
        <v>89</v>
      </c>
    </row>
    <row r="60">
      <c r="A60" s="3"/>
      <c r="B60" s="6" t="s">
        <v>90</v>
      </c>
      <c r="C60" s="12">
        <f>C53</f>
        <v>0.0862068965517242</v>
      </c>
      <c r="D60" s="12">
        <f>D53</f>
        <v>0.09057832248180775</v>
      </c>
      <c r="E60" s="12">
        <f>E53</f>
        <v>0.13936690036116417</v>
      </c>
      <c r="F60" s="12">
        <f>F53</f>
        <v>0.17308018308187822</v>
      </c>
      <c r="G60" s="12">
        <f>G53</f>
        <v>0.07272197679499004</v>
      </c>
      <c r="H60" s="57">
        <f>H53</f>
        <v>0.19</v>
      </c>
      <c r="I60" s="3"/>
    </row>
    <row r="61">
      <c r="A61" s="3"/>
      <c r="B61" s="3" t="s">
        <v>143</v>
      </c>
      <c r="C61" s="27">
        <v>1108</v>
      </c>
      <c r="D61" s="27">
        <v>1096</v>
      </c>
      <c r="E61" s="27">
        <v>1029</v>
      </c>
      <c r="F61" s="27">
        <v>1247</v>
      </c>
      <c r="G61" s="27">
        <v>4237</v>
      </c>
      <c r="H61" s="39">
        <f>H62*(1+H63)</f>
        <v>1263.1200000000001</v>
      </c>
      <c r="I61" s="11" t="s">
        <v>142</v>
      </c>
    </row>
    <row r="62" ht="14.624267578125">
      <c r="A62" s="3"/>
      <c r="B62" s="6" t="s">
        <v>80</v>
      </c>
      <c r="C62" s="36">
        <v>978</v>
      </c>
      <c r="D62" s="36">
        <v>1043</v>
      </c>
      <c r="E62" s="36">
        <v>940</v>
      </c>
      <c r="F62" s="36">
        <v>1092</v>
      </c>
      <c r="G62" s="36">
        <v>3841</v>
      </c>
      <c r="H62" s="43">
        <f>C61</f>
        <v>1108</v>
      </c>
      <c r="I62" s="11" t="s">
        <v>94</v>
      </c>
    </row>
    <row r="63">
      <c r="A63" s="3"/>
      <c r="B63" s="6" t="s">
        <v>81</v>
      </c>
      <c r="C63" s="12">
        <f>IFERROR(C61/C62-1,"n.a.")</f>
        <v>0.13292433537832316</v>
      </c>
      <c r="D63" s="12">
        <f>IFERROR(D61/D62-1,"n.a.")</f>
        <v>0.05081495685522541</v>
      </c>
      <c r="E63" s="12">
        <f>IFERROR(E61/E62-1,"n.a.")</f>
        <v>0.09468085106382973</v>
      </c>
      <c r="F63" s="12">
        <f>IFERROR(F61/F62-1,"n.a.")</f>
        <v>0.14194139194139188</v>
      </c>
      <c r="G63" s="12">
        <f>IFERROR(G61/G62-1,"n.a.")</f>
        <v>0.10309815152304092</v>
      </c>
      <c r="H63" s="63">
        <v>0.14</v>
      </c>
      <c r="I63" s="3"/>
    </row>
    <row r="64">
      <c r="A64" s="3"/>
      <c r="B64" s="6" t="s">
        <v>82</v>
      </c>
      <c r="C64" s="12">
        <f>IFERROR(C61/F62-1,"n.a.")</f>
        <v>0.0146520146520146</v>
      </c>
      <c r="D64" s="12">
        <f>IFERROR(D61/C61-1,"n.a.")</f>
        <v>-0.010830324909747335</v>
      </c>
      <c r="E64" s="12">
        <f>IFERROR(E61/D61-1,"n.a.")</f>
        <v>-0.06113138686131392</v>
      </c>
      <c r="F64" s="12">
        <f>IFERROR(F61/E61-1,"n.a.")</f>
        <v>0.21185617103984455</v>
      </c>
      <c r="G64" s="12" t="s">
        <v>38</v>
      </c>
      <c r="H64" s="57">
        <f>IFERROR(H61/F61-1,"n.a.")</f>
        <v>0.01292702485966335</v>
      </c>
      <c r="I64" s="3"/>
    </row>
    <row r="65">
      <c r="A65" s="3"/>
      <c r="B65" s="3" t="s">
        <v>95</v>
      </c>
      <c r="C65" s="22">
        <f>IFERROR(C61-F62,"n.a.")</f>
        <v>16</v>
      </c>
      <c r="D65" s="22">
        <f>IFERROR(D61-C61,"n.a.")</f>
        <v>-12</v>
      </c>
      <c r="E65" s="22">
        <f>IFERROR(E61-D61,"n.a.")</f>
        <v>-67</v>
      </c>
      <c r="F65" s="22">
        <f>IFERROR(F61-E61,"n.a.")</f>
        <v>218</v>
      </c>
      <c r="G65" s="22" t="s">
        <v>38</v>
      </c>
      <c r="H65" s="39">
        <f>IFERROR(H61-F61,"n.a.")</f>
        <v>16.12000000000012</v>
      </c>
      <c r="I65" s="3"/>
    </row>
    <row r="66">
      <c r="A66" s="3"/>
      <c r="B66" s="6" t="s">
        <v>140</v>
      </c>
      <c r="C66" s="12">
        <f>C61/C81</f>
        <v>0.0820376129127795</v>
      </c>
      <c r="D66" s="12">
        <f>D61/D81</f>
        <v>0.08485599256735832</v>
      </c>
      <c r="E66" s="12">
        <f>E61/E81</f>
        <v>0.08364493578279955</v>
      </c>
      <c r="F66" s="12">
        <f>F61/F81</f>
        <v>0.07990004485166913</v>
      </c>
      <c r="G66" s="12">
        <f>G61/G81</f>
        <v>0.08184592798640086</v>
      </c>
      <c r="H66" s="57">
        <f>H61/H81</f>
        <v>0.08044459343360467</v>
      </c>
      <c r="I66" s="3"/>
    </row>
    <row r="67">
      <c r="A67" s="3"/>
      <c r="B67" s="6" t="s">
        <v>84</v>
      </c>
      <c r="C67" s="12" t="s">
        <v>38</v>
      </c>
      <c r="D67" s="12" t="s">
        <v>38</v>
      </c>
      <c r="E67" s="12" t="s">
        <v>38</v>
      </c>
      <c r="F67" s="12" t="s">
        <v>38</v>
      </c>
      <c r="G67" s="12" t="s">
        <v>38</v>
      </c>
      <c r="H67" s="57" t="s">
        <v>38</v>
      </c>
      <c r="I67" s="11" t="s">
        <v>85</v>
      </c>
    </row>
    <row r="68">
      <c r="A68" s="3"/>
      <c r="B68" s="6" t="s">
        <v>86</v>
      </c>
      <c r="C68" s="12" t="s">
        <v>38</v>
      </c>
      <c r="D68" s="12" t="s">
        <v>38</v>
      </c>
      <c r="E68" s="12" t="s">
        <v>38</v>
      </c>
      <c r="F68" s="12" t="s">
        <v>38</v>
      </c>
      <c r="G68" s="12" t="s">
        <v>38</v>
      </c>
      <c r="H68" s="57" t="s">
        <v>38</v>
      </c>
      <c r="I68" s="11" t="s">
        <v>87</v>
      </c>
    </row>
    <row r="69">
      <c r="A69" s="3"/>
      <c r="B69" s="6" t="s">
        <v>88</v>
      </c>
      <c r="C69" s="12" t="str">
        <f>IF(AND(ISNUMBER(C63),ISNUMBER(C67),ISNUMBER(C68)),(1+C63)/((1+C67)*(1+C68))-1,"n.a.")</f>
        <v>n.a.</v>
      </c>
      <c r="D69" s="12" t="str">
        <f>IF(AND(ISNUMBER(D63),ISNUMBER(D67),ISNUMBER(D68)),(1+D63)/((1+D67)*(1+D68))-1,"n.a.")</f>
        <v>n.a.</v>
      </c>
      <c r="E69" s="12" t="str">
        <f>IF(AND(ISNUMBER(E63),ISNUMBER(E67),ISNUMBER(E68)),(1+E63)/((1+E67)*(1+E68))-1,"n.a.")</f>
        <v>n.a.</v>
      </c>
      <c r="F69" s="12" t="str">
        <f>IF(AND(ISNUMBER(F63),ISNUMBER(F67),ISNUMBER(F68)),(1+F63)/((1+F67)*(1+F68))-1,"n.a.")</f>
        <v>n.a.</v>
      </c>
      <c r="G69" s="12" t="str">
        <f>IF(AND(ISNUMBER(G63),ISNUMBER(G67),ISNUMBER(G68)),(1+G63)/((1+G67)*(1+G68))-1,"n.a.")</f>
        <v>n.a.</v>
      </c>
      <c r="H69" s="57" t="str">
        <f>IF(AND(ISNUMBER(H63),ISNUMBER(H67),ISNUMBER(H68)),(1+H63)/((1+H67)*(1+H68))-1,"n.a.")</f>
        <v>n.a.</v>
      </c>
      <c r="I69" s="11" t="s">
        <v>89</v>
      </c>
    </row>
    <row r="70">
      <c r="A70" s="3"/>
      <c r="B70" s="6" t="s">
        <v>90</v>
      </c>
      <c r="C70" s="12">
        <f>C63</f>
        <v>0.13292433537832316</v>
      </c>
      <c r="D70" s="12">
        <f>D63</f>
        <v>0.05081495685522541</v>
      </c>
      <c r="E70" s="12">
        <f>E63</f>
        <v>0.09468085106382973</v>
      </c>
      <c r="F70" s="12">
        <f>F63</f>
        <v>0.14194139194139188</v>
      </c>
      <c r="G70" s="12">
        <f>G63</f>
        <v>0.10309815152304092</v>
      </c>
      <c r="H70" s="57">
        <f>H63</f>
        <v>0.14</v>
      </c>
      <c r="I70" s="3"/>
    </row>
    <row r="71">
      <c r="A71" s="3"/>
      <c r="B71" s="3" t="s">
        <v>144</v>
      </c>
      <c r="C71" s="27">
        <v>539</v>
      </c>
      <c r="D71" s="27">
        <v>505</v>
      </c>
      <c r="E71" s="27">
        <v>506</v>
      </c>
      <c r="F71" s="27">
        <v>589</v>
      </c>
      <c r="G71" s="27">
        <v>2043</v>
      </c>
      <c r="H71" s="39">
        <f>H72*(1+H73)</f>
        <v>603.6800000000001</v>
      </c>
      <c r="I71" s="11" t="s">
        <v>142</v>
      </c>
    </row>
    <row r="72" ht="14.624267578125">
      <c r="A72" s="3"/>
      <c r="B72" s="6" t="s">
        <v>80</v>
      </c>
      <c r="C72" s="36">
        <v>484</v>
      </c>
      <c r="D72" s="36">
        <v>503</v>
      </c>
      <c r="E72" s="36">
        <v>472</v>
      </c>
      <c r="F72" s="36">
        <v>529</v>
      </c>
      <c r="G72" s="36">
        <v>1957</v>
      </c>
      <c r="H72" s="43">
        <f>C71</f>
        <v>539</v>
      </c>
      <c r="I72" s="11" t="s">
        <v>94</v>
      </c>
    </row>
    <row r="73">
      <c r="A73" s="3"/>
      <c r="B73" s="6" t="s">
        <v>81</v>
      </c>
      <c r="C73" s="12">
        <f>IFERROR(C71/C72-1,"n.a.")</f>
        <v>0.11363636363636354</v>
      </c>
      <c r="D73" s="12">
        <f>IFERROR(D71/D72-1,"n.a.")</f>
        <v>0.003976143141153132</v>
      </c>
      <c r="E73" s="12">
        <f>IFERROR(E71/E72-1,"n.a.")</f>
        <v>0.07203389830508478</v>
      </c>
      <c r="F73" s="12">
        <f>IFERROR(F71/F72-1,"n.a.")</f>
        <v>0.11342155009451793</v>
      </c>
      <c r="G73" s="12">
        <f>IFERROR(G71/G72-1,"n.a.")</f>
        <v>0.04394481349003576</v>
      </c>
      <c r="H73" s="63">
        <v>0.12</v>
      </c>
      <c r="I73" s="3"/>
    </row>
    <row r="74">
      <c r="A74" s="3"/>
      <c r="B74" s="6" t="s">
        <v>82</v>
      </c>
      <c r="C74" s="12">
        <f>IFERROR(C71/F72-1,"n.a.")</f>
        <v>0.018903591682419618</v>
      </c>
      <c r="D74" s="12">
        <f>IFERROR(D71/C71-1,"n.a.")</f>
        <v>-0.06307977736549164</v>
      </c>
      <c r="E74" s="12">
        <f>IFERROR(E71/D71-1,"n.a.")</f>
        <v>0.001980198019801982</v>
      </c>
      <c r="F74" s="12">
        <f>IFERROR(F71/E71-1,"n.a.")</f>
        <v>0.16403162055335962</v>
      </c>
      <c r="G74" s="12" t="s">
        <v>38</v>
      </c>
      <c r="H74" s="57">
        <f>IFERROR(H71/F71-1,"n.a.")</f>
        <v>0.02492359932088295</v>
      </c>
      <c r="I74" s="3"/>
    </row>
    <row r="75">
      <c r="A75" s="3"/>
      <c r="B75" s="3" t="s">
        <v>95</v>
      </c>
      <c r="C75" s="22">
        <f>IFERROR(C71-F72,"n.a.")</f>
        <v>10</v>
      </c>
      <c r="D75" s="22">
        <f>IFERROR(D71-C71,"n.a.")</f>
        <v>-34</v>
      </c>
      <c r="E75" s="22">
        <f>IFERROR(E71-D71,"n.a.")</f>
        <v>1</v>
      </c>
      <c r="F75" s="22">
        <f>IFERROR(F71-E71,"n.a.")</f>
        <v>83</v>
      </c>
      <c r="G75" s="22" t="s">
        <v>38</v>
      </c>
      <c r="H75" s="39">
        <f>IFERROR(H71-F71,"n.a.")</f>
        <v>14.680000000000064</v>
      </c>
      <c r="I75" s="3"/>
    </row>
    <row r="76">
      <c r="A76" s="3"/>
      <c r="B76" s="6" t="s">
        <v>140</v>
      </c>
      <c r="C76" s="12">
        <f>C71/C81</f>
        <v>0.0399081889530579</v>
      </c>
      <c r="D76" s="12">
        <f>D71/D81</f>
        <v>0.039098792195726234</v>
      </c>
      <c r="E76" s="12">
        <f>E71/E81</f>
        <v>0.04113152332953991</v>
      </c>
      <c r="F76" s="12">
        <f>F71/F81</f>
        <v>0.03773947587620939</v>
      </c>
      <c r="G76" s="12">
        <f>G71/G81</f>
        <v>0.039464534075104314</v>
      </c>
      <c r="H76" s="57">
        <f>H71/H81</f>
        <v>0.03844669719741471</v>
      </c>
      <c r="I76" s="3"/>
    </row>
    <row r="77">
      <c r="A77" s="3"/>
      <c r="B77" s="6" t="s">
        <v>84</v>
      </c>
      <c r="C77" s="12" t="s">
        <v>38</v>
      </c>
      <c r="D77" s="12" t="s">
        <v>38</v>
      </c>
      <c r="E77" s="12" t="s">
        <v>38</v>
      </c>
      <c r="F77" s="12" t="s">
        <v>38</v>
      </c>
      <c r="G77" s="12" t="s">
        <v>38</v>
      </c>
      <c r="H77" s="57" t="s">
        <v>38</v>
      </c>
      <c r="I77" s="11" t="s">
        <v>85</v>
      </c>
    </row>
    <row r="78">
      <c r="A78" s="3"/>
      <c r="B78" s="6" t="s">
        <v>86</v>
      </c>
      <c r="C78" s="12" t="s">
        <v>38</v>
      </c>
      <c r="D78" s="12" t="s">
        <v>38</v>
      </c>
      <c r="E78" s="12" t="s">
        <v>38</v>
      </c>
      <c r="F78" s="12" t="s">
        <v>38</v>
      </c>
      <c r="G78" s="12" t="s">
        <v>38</v>
      </c>
      <c r="H78" s="57" t="s">
        <v>38</v>
      </c>
      <c r="I78" s="11" t="s">
        <v>87</v>
      </c>
    </row>
    <row r="79">
      <c r="A79" s="3"/>
      <c r="B79" s="6" t="s">
        <v>88</v>
      </c>
      <c r="C79" s="12" t="str">
        <f>IF(AND(ISNUMBER(C73),ISNUMBER(C77),ISNUMBER(C78)),(1+C73)/((1+C77)*(1+C78))-1,"n.a.")</f>
        <v>n.a.</v>
      </c>
      <c r="D79" s="12" t="str">
        <f>IF(AND(ISNUMBER(D73),ISNUMBER(D77),ISNUMBER(D78)),(1+D73)/((1+D77)*(1+D78))-1,"n.a.")</f>
        <v>n.a.</v>
      </c>
      <c r="E79" s="12" t="str">
        <f>IF(AND(ISNUMBER(E73),ISNUMBER(E77),ISNUMBER(E78)),(1+E73)/((1+E77)*(1+E78))-1,"n.a.")</f>
        <v>n.a.</v>
      </c>
      <c r="F79" s="12" t="str">
        <f>IF(AND(ISNUMBER(F73),ISNUMBER(F77),ISNUMBER(F78)),(1+F73)/((1+F77)*(1+F78))-1,"n.a.")</f>
        <v>n.a.</v>
      </c>
      <c r="G79" s="12" t="str">
        <f>IF(AND(ISNUMBER(G73),ISNUMBER(G77),ISNUMBER(G78)),(1+G73)/((1+G77)*(1+G78))-1,"n.a.")</f>
        <v>n.a.</v>
      </c>
      <c r="H79" s="57" t="str">
        <f>IF(AND(ISNUMBER(H73),ISNUMBER(H77),ISNUMBER(H78)),(1+H73)/((1+H77)*(1+H78))-1,"n.a.")</f>
        <v>n.a.</v>
      </c>
      <c r="I79" s="11" t="s">
        <v>89</v>
      </c>
    </row>
    <row r="80">
      <c r="A80" s="3"/>
      <c r="B80" s="6" t="s">
        <v>90</v>
      </c>
      <c r="C80" s="12">
        <f>C73</f>
        <v>0.11363636363636354</v>
      </c>
      <c r="D80" s="12">
        <f>D73</f>
        <v>0.003976143141153132</v>
      </c>
      <c r="E80" s="12">
        <f>E73</f>
        <v>0.07203389830508478</v>
      </c>
      <c r="F80" s="12">
        <f>F73</f>
        <v>0.11342155009451793</v>
      </c>
      <c r="G80" s="12">
        <f>G73</f>
        <v>0.04394481349003576</v>
      </c>
      <c r="H80" s="57">
        <f>H73</f>
        <v>0.12</v>
      </c>
      <c r="I80" s="3"/>
    </row>
    <row r="81" ht="14.624267578125">
      <c r="A81" s="3"/>
      <c r="B81" s="15" t="s">
        <v>145</v>
      </c>
      <c r="C81" s="26">
        <f>SUM(C41,C51,C61,C71)</f>
        <v>13506</v>
      </c>
      <c r="D81" s="26">
        <f>SUM(D41,D51,D61,D71)</f>
        <v>12916</v>
      </c>
      <c r="E81" s="26">
        <f>SUM(E41,E51,E61,E71)</f>
        <v>12302</v>
      </c>
      <c r="F81" s="26">
        <f>SUM(F41,F51,F61,F71)</f>
        <v>15607</v>
      </c>
      <c r="G81" s="26">
        <f>SUM(G41,G51,G61,G71)</f>
        <v>51768</v>
      </c>
      <c r="H81" s="40">
        <f>SUM(H41,H51,H61,H71)</f>
        <v>15701.738874999997</v>
      </c>
      <c r="I81" s="3"/>
    </row>
    <row r="82">
      <c r="A82" s="3"/>
      <c r="B82" s="6" t="s">
        <v>80</v>
      </c>
      <c r="C82" s="25">
        <f>SUM(C42,C52,C62,C72)</f>
        <v>13107</v>
      </c>
      <c r="D82" s="25">
        <f>SUM(D42,D52,D62,D72)</f>
        <v>12815</v>
      </c>
      <c r="E82" s="25">
        <f>SUM(E42,E52,E62,E72)</f>
        <v>11480</v>
      </c>
      <c r="F82" s="25">
        <f>SUM(F42,F52,F62,F72)</f>
        <v>13867</v>
      </c>
      <c r="G82" s="25">
        <f>SUM(G42,G52,G62,G72)</f>
        <v>50894</v>
      </c>
      <c r="H82" s="43">
        <f>C81</f>
        <v>13506</v>
      </c>
      <c r="I82" s="11" t="s">
        <v>146</v>
      </c>
    </row>
    <row r="83" ht="14.624267578125">
      <c r="A83" s="3"/>
      <c r="B83" s="6" t="s">
        <v>81</v>
      </c>
      <c r="C83" s="12">
        <f>IFERROR(C81/C82-1,"n.a.")</f>
        <v>0.030441748683909253</v>
      </c>
      <c r="D83" s="12">
        <f>IFERROR(D81/D82-1,"n.a.")</f>
        <v>0.007881388997268868</v>
      </c>
      <c r="E83" s="12">
        <f>IFERROR(E81/E82-1,"n.a.")</f>
        <v>0.071602787456446</v>
      </c>
      <c r="F83" s="12">
        <f>IFERROR(F81/F82-1,"n.a.")</f>
        <v>0.12547775293863128</v>
      </c>
      <c r="G83" s="12">
        <f>IFERROR(G81/G82-1,"n.a.")</f>
        <v>0.017172947695209606</v>
      </c>
      <c r="H83" s="57">
        <f>IFERROR(H81/C81-1,"n.a.")</f>
        <v>0.16257506848807912</v>
      </c>
      <c r="I83" s="3"/>
    </row>
    <row r="84" ht="14.624267578125">
      <c r="A84" s="3"/>
      <c r="B84" s="6" t="s">
        <v>82</v>
      </c>
      <c r="C84" s="12">
        <f>IFERROR(C81/F82-1,"n.a.")</f>
        <v>-0.026033028052210305</v>
      </c>
      <c r="D84" s="12">
        <f>IFERROR(D81/C81-1,"n.a.")</f>
        <v>-0.04368428846438621</v>
      </c>
      <c r="E84" s="12">
        <f>IFERROR(E81/D81-1,"n.a.")</f>
        <v>-0.047537937441932465</v>
      </c>
      <c r="F84" s="12">
        <f>IFERROR(F81/E81-1,"n.a.")</f>
        <v>0.26865550317021625</v>
      </c>
      <c r="G84" s="12" t="s">
        <v>38</v>
      </c>
      <c r="H84" s="57">
        <f>IFERROR(H81/F81-1,"n.a.")</f>
        <v>0.006070280963669905</v>
      </c>
      <c r="I84" s="3"/>
    </row>
    <row r="85">
      <c r="A85" s="3"/>
      <c r="B85" s="3" t="s">
        <v>95</v>
      </c>
      <c r="C85" s="22">
        <f>IFERROR(C81-F82,"n.a.")</f>
        <v>-361</v>
      </c>
      <c r="D85" s="22">
        <f>IFERROR(D81-C81,"n.a.")</f>
        <v>-590</v>
      </c>
      <c r="E85" s="22">
        <f>IFERROR(E81-D81,"n.a.")</f>
        <v>-614</v>
      </c>
      <c r="F85" s="22">
        <f>IFERROR(F81-E81,"n.a.")</f>
        <v>3305</v>
      </c>
      <c r="G85" s="22" t="s">
        <v>38</v>
      </c>
      <c r="H85" s="39">
        <f>IFERROR(H81-F81,"n.a.")</f>
        <v>94.73887499999728</v>
      </c>
      <c r="I85" s="3"/>
    </row>
    <row r="86" ht="14.624267578125">
      <c r="A86" s="3"/>
      <c r="B86" s="6" t="s">
        <v>84</v>
      </c>
      <c r="C86" s="12" t="s">
        <v>38</v>
      </c>
      <c r="D86" s="12" t="s">
        <v>38</v>
      </c>
      <c r="E86" s="12" t="s">
        <v>38</v>
      </c>
      <c r="F86" s="12" t="s">
        <v>38</v>
      </c>
      <c r="G86" s="12" t="s">
        <v>38</v>
      </c>
      <c r="H86" s="57" t="s">
        <v>38</v>
      </c>
      <c r="I86" s="11" t="s">
        <v>85</v>
      </c>
    </row>
    <row r="87">
      <c r="A87" s="3"/>
      <c r="B87" s="6" t="s">
        <v>86</v>
      </c>
      <c r="C87" s="12" t="s">
        <v>38</v>
      </c>
      <c r="D87" s="12" t="s">
        <v>38</v>
      </c>
      <c r="E87" s="12" t="s">
        <v>38</v>
      </c>
      <c r="F87" s="12" t="s">
        <v>38</v>
      </c>
      <c r="G87" s="12" t="s">
        <v>38</v>
      </c>
      <c r="H87" s="57" t="s">
        <v>38</v>
      </c>
      <c r="I87" s="11" t="s">
        <v>87</v>
      </c>
    </row>
    <row r="88">
      <c r="A88" s="3"/>
      <c r="B88" s="6" t="s">
        <v>88</v>
      </c>
      <c r="C88" s="12" t="str">
        <f>IF(AND(ISNUMBER(C83),ISNUMBER(C86),ISNUMBER(C87)),(1+C83)/((1+C86)*(1+C87))-1,"n.a.")</f>
        <v>n.a.</v>
      </c>
      <c r="D88" s="12" t="str">
        <f>IF(AND(ISNUMBER(D83),ISNUMBER(D86),ISNUMBER(D87)),(1+D83)/((1+D86)*(1+D87))-1,"n.a.")</f>
        <v>n.a.</v>
      </c>
      <c r="E88" s="12" t="str">
        <f>IF(AND(ISNUMBER(E83),ISNUMBER(E86),ISNUMBER(E87)),(1+E83)/((1+E86)*(1+E87))-1,"n.a.")</f>
        <v>n.a.</v>
      </c>
      <c r="F88" s="12" t="str">
        <f>IF(AND(ISNUMBER(F83),ISNUMBER(F86),ISNUMBER(F87)),(1+F83)/((1+F86)*(1+F87))-1,"n.a.")</f>
        <v>n.a.</v>
      </c>
      <c r="G88" s="12" t="str">
        <f>IF(AND(ISNUMBER(G83),ISNUMBER(G86),ISNUMBER(G87)),(1+G83)/((1+G86)*(1+G87))-1,"n.a.")</f>
        <v>n.a.</v>
      </c>
      <c r="H88" s="57" t="str">
        <f>IF(AND(ISNUMBER(H83),ISNUMBER(H86),ISNUMBER(H87)),(1+H83)/((1+H86)*(1+H87))-1,"n.a.")</f>
        <v>n.a.</v>
      </c>
      <c r="I88" s="11" t="s">
        <v>89</v>
      </c>
    </row>
    <row r="89">
      <c r="A89" s="3"/>
      <c r="B89" s="6" t="s">
        <v>90</v>
      </c>
      <c r="C89" s="12">
        <f>C83</f>
        <v>0.030441748683909253</v>
      </c>
      <c r="D89" s="12">
        <f>D83</f>
        <v>0.007881388997268868</v>
      </c>
      <c r="E89" s="12">
        <f>E83</f>
        <v>0.071602787456446</v>
      </c>
      <c r="F89" s="12">
        <f>F83</f>
        <v>0.12547775293863128</v>
      </c>
      <c r="G89" s="12">
        <f>G83</f>
        <v>0.017172947695209606</v>
      </c>
      <c r="H89" s="57">
        <f>H83</f>
        <v>0.16257506848807912</v>
      </c>
      <c r="I89" s="3"/>
    </row>
    <row r="90">
      <c r="A90" s="3"/>
      <c r="B90" s="6" t="s">
        <v>147</v>
      </c>
      <c r="C90" s="36">
        <v>13506</v>
      </c>
      <c r="D90" s="36">
        <v>12916</v>
      </c>
      <c r="E90" s="36">
        <v>12302</v>
      </c>
      <c r="F90" s="36">
        <v>15607</v>
      </c>
      <c r="G90" s="36">
        <v>51768</v>
      </c>
      <c r="H90" s="43" t="s">
        <v>38</v>
      </c>
      <c r="I90" s="11" t="s">
        <v>148</v>
      </c>
    </row>
    <row r="91">
      <c r="A91" s="3"/>
      <c r="B91" s="6" t="s">
        <v>149</v>
      </c>
      <c r="C91" s="28" t="b">
        <f>ABS(C81-C90)&lt;0.5</f>
        <v>1</v>
      </c>
      <c r="D91" s="28" t="b">
        <f>ABS(D81-D90)&lt;0.5</f>
        <v>1</v>
      </c>
      <c r="E91" s="28" t="b">
        <f>ABS(E81-E90)&lt;0.5</f>
        <v>1</v>
      </c>
      <c r="F91" s="28" t="b">
        <f>ABS(F81-F90)&lt;0.5</f>
        <v>1</v>
      </c>
      <c r="G91" s="28" t="b">
        <f>ABS(G81-G90)&lt;0.5</f>
        <v>1</v>
      </c>
      <c r="H91" s="31" t="s">
        <v>38</v>
      </c>
      <c r="I91" s="3"/>
    </row>
    <row r="92">
      <c r="A92" s="3"/>
      <c r="B92" s="3"/>
      <c r="C92" s="22"/>
      <c r="D92" s="22"/>
      <c r="E92" s="22"/>
      <c r="F92" s="22"/>
      <c r="G92" s="22"/>
      <c r="H92" s="39"/>
      <c r="I92" s="3"/>
    </row>
    <row r="93">
      <c r="A93" s="3"/>
      <c r="B93" s="15" t="s">
        <v>150</v>
      </c>
      <c r="C93" s="22"/>
      <c r="D93" s="22"/>
      <c r="E93" s="22"/>
      <c r="F93" s="22"/>
      <c r="G93" s="22"/>
      <c r="H93" s="39"/>
      <c r="I93" s="3"/>
    </row>
    <row r="94" ht="14.624267578125">
      <c r="A94" s="3"/>
      <c r="B94" s="3" t="s">
        <v>151</v>
      </c>
      <c r="C94" s="27">
        <v>233</v>
      </c>
      <c r="D94" s="27">
        <v>246</v>
      </c>
      <c r="E94" s="27">
        <v>226</v>
      </c>
      <c r="F94" s="27">
        <v>294</v>
      </c>
      <c r="G94" s="27">
        <v>900</v>
      </c>
      <c r="H94" s="39">
        <f>H95*(1+H96)</f>
        <v>302.90000000000003</v>
      </c>
      <c r="I94" s="11" t="s">
        <v>152</v>
      </c>
    </row>
    <row r="95">
      <c r="A95" s="3"/>
      <c r="B95" s="6" t="s">
        <v>80</v>
      </c>
      <c r="C95" s="36">
        <v>196</v>
      </c>
      <c r="D95" s="36">
        <v>249</v>
      </c>
      <c r="E95" s="36">
        <v>208</v>
      </c>
      <c r="F95" s="36">
        <v>212</v>
      </c>
      <c r="G95" s="36">
        <v>822</v>
      </c>
      <c r="H95" s="43">
        <f>C94</f>
        <v>233</v>
      </c>
      <c r="I95" s="11" t="s">
        <v>94</v>
      </c>
    </row>
    <row r="96">
      <c r="A96" s="3"/>
      <c r="B96" s="6" t="s">
        <v>81</v>
      </c>
      <c r="C96" s="12">
        <f>IFERROR(C94/C95-1,"n.a.")</f>
        <v>0.18877551020408156</v>
      </c>
      <c r="D96" s="12">
        <f>IFERROR(D94/D95-1,"n.a.")</f>
        <v>-0.012048192771084376</v>
      </c>
      <c r="E96" s="12">
        <f>IFERROR(E94/E95-1,"n.a.")</f>
        <v>0.08653846153846145</v>
      </c>
      <c r="F96" s="12">
        <f>IFERROR(F94/F95-1,"n.a.")</f>
        <v>0.3867924528301887</v>
      </c>
      <c r="G96" s="12">
        <f>IFERROR(G94/G95-1,"n.a.")</f>
        <v>0.0948905109489051</v>
      </c>
      <c r="H96" s="63">
        <v>0.3</v>
      </c>
      <c r="I96" s="3"/>
    </row>
    <row r="97" ht="14.624267578125">
      <c r="A97" s="3"/>
      <c r="B97" s="6" t="s">
        <v>82</v>
      </c>
      <c r="C97" s="12">
        <f>IFERROR(C94/F95-1,"n.a.")</f>
        <v>0.09905660377358494</v>
      </c>
      <c r="D97" s="12">
        <f>IFERROR(D94/C94-1,"n.a.")</f>
        <v>0.05579399141630903</v>
      </c>
      <c r="E97" s="12">
        <f>IFERROR(E94/D94-1,"n.a.")</f>
        <v>-0.08130081300813008</v>
      </c>
      <c r="F97" s="12">
        <f>IFERROR(F94/E94-1,"n.a.")</f>
        <v>0.3008849557522124</v>
      </c>
      <c r="G97" s="12" t="s">
        <v>38</v>
      </c>
      <c r="H97" s="57">
        <f>IFERROR(H94/F94-1,"n.a.")</f>
        <v>0.030272108843537593</v>
      </c>
      <c r="I97" s="3"/>
    </row>
    <row r="98">
      <c r="A98" s="3"/>
      <c r="B98" s="3" t="s">
        <v>95</v>
      </c>
      <c r="C98" s="22">
        <f>IFERROR(C94-F95,"n.a.")</f>
        <v>21</v>
      </c>
      <c r="D98" s="22">
        <f>IFERROR(D94-C94,"n.a.")</f>
        <v>13</v>
      </c>
      <c r="E98" s="22">
        <f>IFERROR(E94-D94,"n.a.")</f>
        <v>-20</v>
      </c>
      <c r="F98" s="22">
        <f>IFERROR(F94-E94,"n.a.")</f>
        <v>68</v>
      </c>
      <c r="G98" s="22" t="s">
        <v>38</v>
      </c>
      <c r="H98" s="39">
        <f>IFERROR(H94-F94,"n.a.")</f>
        <v>8.900000000000034</v>
      </c>
      <c r="I98" s="3"/>
    </row>
    <row r="99">
      <c r="A99" s="3"/>
      <c r="B99" s="6" t="s">
        <v>84</v>
      </c>
      <c r="C99" s="12" t="s">
        <v>38</v>
      </c>
      <c r="D99" s="12" t="s">
        <v>38</v>
      </c>
      <c r="E99" s="12" t="s">
        <v>38</v>
      </c>
      <c r="F99" s="12" t="s">
        <v>38</v>
      </c>
      <c r="G99" s="12" t="s">
        <v>38</v>
      </c>
      <c r="H99" s="57" t="s">
        <v>38</v>
      </c>
      <c r="I99" s="11" t="s">
        <v>85</v>
      </c>
    </row>
    <row r="100">
      <c r="A100" s="3"/>
      <c r="B100" s="6" t="s">
        <v>86</v>
      </c>
      <c r="C100" s="12" t="s">
        <v>38</v>
      </c>
      <c r="D100" s="12" t="s">
        <v>38</v>
      </c>
      <c r="E100" s="12" t="s">
        <v>38</v>
      </c>
      <c r="F100" s="12" t="s">
        <v>38</v>
      </c>
      <c r="G100" s="12" t="s">
        <v>38</v>
      </c>
      <c r="H100" s="57" t="s">
        <v>38</v>
      </c>
      <c r="I100" s="11" t="s">
        <v>87</v>
      </c>
    </row>
    <row r="101">
      <c r="A101" s="3"/>
      <c r="B101" s="6" t="s">
        <v>88</v>
      </c>
      <c r="C101" s="12" t="str">
        <f>IF(AND(ISNUMBER(C96),ISNUMBER(C99),ISNUMBER(C100)),(1+C96)/((1+C99)*(1+C100))-1,"n.a.")</f>
        <v>n.a.</v>
      </c>
      <c r="D101" s="12" t="str">
        <f>IF(AND(ISNUMBER(D96),ISNUMBER(D99),ISNUMBER(D100)),(1+D96)/((1+D99)*(1+D100))-1,"n.a.")</f>
        <v>n.a.</v>
      </c>
      <c r="E101" s="12" t="str">
        <f>IF(AND(ISNUMBER(E96),ISNUMBER(E99),ISNUMBER(E100)),(1+E96)/((1+E99)*(1+E100))-1,"n.a.")</f>
        <v>n.a.</v>
      </c>
      <c r="F101" s="12" t="str">
        <f>IF(AND(ISNUMBER(F96),ISNUMBER(F99),ISNUMBER(F100)),(1+F96)/((1+F99)*(1+F100))-1,"n.a.")</f>
        <v>n.a.</v>
      </c>
      <c r="G101" s="12" t="str">
        <f>IF(AND(ISNUMBER(G96),ISNUMBER(G99),ISNUMBER(G100)),(1+G96)/((1+G99)*(1+G100))-1,"n.a.")</f>
        <v>n.a.</v>
      </c>
      <c r="H101" s="57" t="str">
        <f>IF(AND(ISNUMBER(H96),ISNUMBER(H99),ISNUMBER(H100)),(1+H96)/((1+H99)*(1+H100))-1,"n.a.")</f>
        <v>n.a.</v>
      </c>
      <c r="I101" s="11" t="s">
        <v>89</v>
      </c>
    </row>
    <row r="102">
      <c r="A102" s="3"/>
      <c r="B102" s="6" t="s">
        <v>90</v>
      </c>
      <c r="C102" s="12">
        <f>C96</f>
        <v>0.18877551020408156</v>
      </c>
      <c r="D102" s="12">
        <f>D96</f>
        <v>-0.012048192771084376</v>
      </c>
      <c r="E102" s="12">
        <f>E96</f>
        <v>0.08653846153846145</v>
      </c>
      <c r="F102" s="12">
        <f>F96</f>
        <v>0.3867924528301887</v>
      </c>
      <c r="G102" s="12">
        <f>G96</f>
        <v>0.0948905109489051</v>
      </c>
      <c r="H102" s="57">
        <f>H96</f>
        <v>0.3</v>
      </c>
      <c r="I102" s="3"/>
    </row>
    <row r="103" ht="14.624267578125">
      <c r="A103" s="3"/>
      <c r="B103" s="3" t="s">
        <v>153</v>
      </c>
      <c r="C103" s="22" t="s">
        <v>38</v>
      </c>
      <c r="D103" s="22" t="s">
        <v>38</v>
      </c>
      <c r="E103" s="27">
        <v>1221</v>
      </c>
      <c r="F103" s="27">
        <v>1344</v>
      </c>
      <c r="G103" s="22" t="s">
        <v>38</v>
      </c>
      <c r="H103" s="39">
        <f>F103*(1+H106)</f>
        <v>1374.9119999999998</v>
      </c>
      <c r="I103" s="11" t="s">
        <v>154</v>
      </c>
    </row>
    <row r="104">
      <c r="A104" s="3"/>
      <c r="B104" s="6" t="s">
        <v>155</v>
      </c>
      <c r="C104" s="25" t="s">
        <v>38</v>
      </c>
      <c r="D104" s="25" t="s">
        <v>38</v>
      </c>
      <c r="E104" s="36">
        <v>1082</v>
      </c>
      <c r="F104" s="36">
        <v>1127</v>
      </c>
      <c r="G104" s="25" t="s">
        <v>38</v>
      </c>
      <c r="H104" s="43" t="str">
        <f>C103</f>
        <v>n.a.</v>
      </c>
      <c r="I104" s="11" t="s">
        <v>156</v>
      </c>
    </row>
    <row r="105" ht="14.624267578125">
      <c r="A105" s="3"/>
      <c r="B105" s="6" t="s">
        <v>81</v>
      </c>
      <c r="C105" s="12" t="str">
        <f>IFERROR(C103/C104-1,"n.a.")</f>
        <v>n.a.</v>
      </c>
      <c r="D105" s="12" t="str">
        <f>IFERROR(D103/D104-1,"n.a.")</f>
        <v>n.a.</v>
      </c>
      <c r="E105" s="12">
        <f>IFERROR(E103/E104-1,"n.a.")</f>
        <v>0.1284658040665434</v>
      </c>
      <c r="F105" s="12">
        <f>IFERROR(F103/F104-1,"n.a.")</f>
        <v>0.1925465838509317</v>
      </c>
      <c r="G105" s="12" t="str">
        <f>IFERROR(G103/G104-1,"n.a.")</f>
        <v>n.a.</v>
      </c>
      <c r="H105" s="57" t="str">
        <f>IFERROR(H103/C103-1,"n.a.")</f>
        <v>n.a.</v>
      </c>
      <c r="I105" s="3"/>
    </row>
    <row r="106" ht="14.624267578125">
      <c r="A106" s="3"/>
      <c r="B106" s="6" t="s">
        <v>82</v>
      </c>
      <c r="C106" s="12" t="str">
        <f>IFERROR(C103/F104-1,"n.a.")</f>
        <v>n.a.</v>
      </c>
      <c r="D106" s="12" t="str">
        <f>IFERROR(D103/C103-1,"n.a.")</f>
        <v>n.a.</v>
      </c>
      <c r="E106" s="12" t="str">
        <f>IFERROR(E103/D103-1,"n.a.")</f>
        <v>n.a.</v>
      </c>
      <c r="F106" s="12">
        <f>IFERROR(F103/E103-1,"n.a.")</f>
        <v>0.10073710073710074</v>
      </c>
      <c r="G106" s="12" t="s">
        <v>38</v>
      </c>
      <c r="H106" s="63">
        <v>0.023</v>
      </c>
      <c r="I106" s="3"/>
    </row>
    <row r="107">
      <c r="A107" s="3"/>
      <c r="B107" s="3" t="s">
        <v>95</v>
      </c>
      <c r="C107" s="22" t="str">
        <f>IFERROR(C103-F104,"n.a.")</f>
        <v>n.a.</v>
      </c>
      <c r="D107" s="22" t="str">
        <f>IFERROR(D103-C103,"n.a.")</f>
        <v>n.a.</v>
      </c>
      <c r="E107" s="22" t="str">
        <f>IFERROR(E103-D103,"n.a.")</f>
        <v>n.a.</v>
      </c>
      <c r="F107" s="22">
        <f>IFERROR(F103-E103,"n.a.")</f>
        <v>123</v>
      </c>
      <c r="G107" s="22" t="s">
        <v>38</v>
      </c>
      <c r="H107" s="39">
        <f>IFERROR(H103-F103,"n.a.")</f>
        <v>30.911999999999807</v>
      </c>
      <c r="I107" s="3"/>
    </row>
    <row r="108">
      <c r="A108" s="3"/>
      <c r="B108" s="6" t="s">
        <v>84</v>
      </c>
      <c r="C108" s="12" t="s">
        <v>38</v>
      </c>
      <c r="D108" s="12" t="s">
        <v>38</v>
      </c>
      <c r="E108" s="12" t="s">
        <v>38</v>
      </c>
      <c r="F108" s="12" t="s">
        <v>38</v>
      </c>
      <c r="G108" s="12" t="s">
        <v>38</v>
      </c>
      <c r="H108" s="57" t="s">
        <v>38</v>
      </c>
      <c r="I108" s="11" t="s">
        <v>85</v>
      </c>
    </row>
    <row r="109">
      <c r="A109" s="3"/>
      <c r="B109" s="6" t="s">
        <v>86</v>
      </c>
      <c r="C109" s="12" t="s">
        <v>38</v>
      </c>
      <c r="D109" s="12" t="s">
        <v>38</v>
      </c>
      <c r="E109" s="12" t="s">
        <v>38</v>
      </c>
      <c r="F109" s="12" t="s">
        <v>38</v>
      </c>
      <c r="G109" s="12" t="s">
        <v>38</v>
      </c>
      <c r="H109" s="57" t="s">
        <v>38</v>
      </c>
      <c r="I109" s="11" t="s">
        <v>87</v>
      </c>
    </row>
    <row r="110">
      <c r="A110" s="3"/>
      <c r="B110" s="6" t="s">
        <v>88</v>
      </c>
      <c r="C110" s="12" t="str">
        <f>IF(AND(ISNUMBER(C105),ISNUMBER(C108),ISNUMBER(C109)),(1+C105)/((1+C108)*(1+C109))-1,"n.a.")</f>
        <v>n.a.</v>
      </c>
      <c r="D110" s="12" t="str">
        <f>IF(AND(ISNUMBER(D105),ISNUMBER(D108),ISNUMBER(D109)),(1+D105)/((1+D108)*(1+D109))-1,"n.a.")</f>
        <v>n.a.</v>
      </c>
      <c r="E110" s="12" t="str">
        <f>IF(AND(ISNUMBER(E105),ISNUMBER(E108),ISNUMBER(E109)),(1+E105)/((1+E108)*(1+E109))-1,"n.a.")</f>
        <v>n.a.</v>
      </c>
      <c r="F110" s="12" t="str">
        <f>IF(AND(ISNUMBER(F105),ISNUMBER(F108),ISNUMBER(F109)),(1+F105)/((1+F108)*(1+F109))-1,"n.a.")</f>
        <v>n.a.</v>
      </c>
      <c r="G110" s="12" t="str">
        <f>IF(AND(ISNUMBER(G105),ISNUMBER(G108),ISNUMBER(G109)),(1+G105)/((1+G108)*(1+G109))-1,"n.a.")</f>
        <v>n.a.</v>
      </c>
      <c r="H110" s="57" t="str">
        <f>IF(AND(ISNUMBER(H105),ISNUMBER(H108),ISNUMBER(H109)),(1+H105)/((1+H108)*(1+H109))-1,"n.a.")</f>
        <v>n.a.</v>
      </c>
      <c r="I110" s="11" t="s">
        <v>89</v>
      </c>
    </row>
    <row r="111">
      <c r="A111" s="3"/>
      <c r="B111" s="6" t="s">
        <v>90</v>
      </c>
      <c r="C111" s="12" t="str">
        <f>C105</f>
        <v>n.a.</v>
      </c>
      <c r="D111" s="12" t="str">
        <f>D105</f>
        <v>n.a.</v>
      </c>
      <c r="E111" s="12">
        <f>E105</f>
        <v>0.1284658040665434</v>
      </c>
      <c r="F111" s="12">
        <f>F105</f>
        <v>0.1925465838509317</v>
      </c>
      <c r="G111" s="12" t="str">
        <f>G105</f>
        <v>n.a.</v>
      </c>
      <c r="H111" s="57" t="str">
        <f>H105</f>
        <v>n.a.</v>
      </c>
      <c r="I111" s="3"/>
    </row>
    <row r="112" ht="14.624267578125">
      <c r="A112" s="3"/>
      <c r="B112" s="3" t="s">
        <v>157</v>
      </c>
      <c r="C112" s="22" t="s">
        <v>38</v>
      </c>
      <c r="D112" s="22" t="s">
        <v>38</v>
      </c>
      <c r="E112" s="27">
        <v>380</v>
      </c>
      <c r="F112" s="27">
        <v>315</v>
      </c>
      <c r="G112" s="22" t="s">
        <v>38</v>
      </c>
      <c r="H112" s="39">
        <f>F112*(1+H115)</f>
        <v>280.35</v>
      </c>
      <c r="I112" s="11" t="s">
        <v>158</v>
      </c>
    </row>
    <row r="113">
      <c r="A113" s="3"/>
      <c r="B113" s="6" t="s">
        <v>155</v>
      </c>
      <c r="C113" s="25" t="s">
        <v>38</v>
      </c>
      <c r="D113" s="25" t="s">
        <v>38</v>
      </c>
      <c r="E113" s="36">
        <v>151</v>
      </c>
      <c r="F113" s="36">
        <v>239</v>
      </c>
      <c r="G113" s="25" t="s">
        <v>38</v>
      </c>
      <c r="H113" s="43" t="str">
        <f>C112</f>
        <v>n.a.</v>
      </c>
      <c r="I113" s="11" t="s">
        <v>156</v>
      </c>
    </row>
    <row r="114">
      <c r="A114" s="3"/>
      <c r="B114" s="6" t="s">
        <v>81</v>
      </c>
      <c r="C114" s="12" t="str">
        <f>IFERROR(C112/C113-1,"n.a.")</f>
        <v>n.a.</v>
      </c>
      <c r="D114" s="12" t="str">
        <f>IFERROR(D112/D113-1,"n.a.")</f>
        <v>n.a.</v>
      </c>
      <c r="E114" s="12">
        <f>IFERROR(E112/E113-1,"n.a.")</f>
        <v>1.5165562913907285</v>
      </c>
      <c r="F114" s="12">
        <f>IFERROR(F112/F113-1,"n.a.")</f>
        <v>0.3179916317991631</v>
      </c>
      <c r="G114" s="12" t="str">
        <f>IFERROR(G112/G113-1,"n.a.")</f>
        <v>n.a.</v>
      </c>
      <c r="H114" s="57" t="str">
        <f>IFERROR(H112/C112-1,"n.a.")</f>
        <v>n.a.</v>
      </c>
      <c r="I114" s="3"/>
    </row>
    <row r="115" ht="14.624267578125">
      <c r="A115" s="3"/>
      <c r="B115" s="6" t="s">
        <v>82</v>
      </c>
      <c r="C115" s="12" t="str">
        <f>IFERROR(C112/F113-1,"n.a.")</f>
        <v>n.a.</v>
      </c>
      <c r="D115" s="12" t="str">
        <f>IFERROR(D112/C112-1,"n.a.")</f>
        <v>n.a.</v>
      </c>
      <c r="E115" s="12" t="str">
        <f>IFERROR(E112/D112-1,"n.a.")</f>
        <v>n.a.</v>
      </c>
      <c r="F115" s="12">
        <f>IFERROR(F112/E112-1,"n.a.")</f>
        <v>-0.17105263157894735</v>
      </c>
      <c r="G115" s="12" t="s">
        <v>38</v>
      </c>
      <c r="H115" s="63">
        <v>-0.11</v>
      </c>
      <c r="I115" s="3"/>
    </row>
    <row r="116">
      <c r="A116" s="3"/>
      <c r="B116" s="3" t="s">
        <v>95</v>
      </c>
      <c r="C116" s="22" t="str">
        <f>IFERROR(C112-F113,"n.a.")</f>
        <v>n.a.</v>
      </c>
      <c r="D116" s="22" t="str">
        <f>IFERROR(D112-C112,"n.a.")</f>
        <v>n.a.</v>
      </c>
      <c r="E116" s="22" t="str">
        <f>IFERROR(E112-D112,"n.a.")</f>
        <v>n.a.</v>
      </c>
      <c r="F116" s="22">
        <f>IFERROR(F112-E112,"n.a.")</f>
        <v>-65</v>
      </c>
      <c r="G116" s="22" t="s">
        <v>38</v>
      </c>
      <c r="H116" s="39">
        <f>IFERROR(H112-F112,"n.a.")</f>
        <v>-34.64999999999998</v>
      </c>
      <c r="I116" s="3"/>
    </row>
    <row r="117">
      <c r="A117" s="3"/>
      <c r="B117" s="6" t="s">
        <v>84</v>
      </c>
      <c r="C117" s="12" t="s">
        <v>38</v>
      </c>
      <c r="D117" s="12" t="s">
        <v>38</v>
      </c>
      <c r="E117" s="12" t="s">
        <v>38</v>
      </c>
      <c r="F117" s="12" t="s">
        <v>38</v>
      </c>
      <c r="G117" s="12" t="s">
        <v>38</v>
      </c>
      <c r="H117" s="57" t="s">
        <v>38</v>
      </c>
      <c r="I117" s="11" t="s">
        <v>85</v>
      </c>
    </row>
    <row r="118">
      <c r="A118" s="3"/>
      <c r="B118" s="6" t="s">
        <v>86</v>
      </c>
      <c r="C118" s="12" t="s">
        <v>38</v>
      </c>
      <c r="D118" s="12" t="s">
        <v>38</v>
      </c>
      <c r="E118" s="12" t="s">
        <v>38</v>
      </c>
      <c r="F118" s="12" t="s">
        <v>38</v>
      </c>
      <c r="G118" s="12" t="s">
        <v>38</v>
      </c>
      <c r="H118" s="57" t="s">
        <v>38</v>
      </c>
      <c r="I118" s="11" t="s">
        <v>87</v>
      </c>
    </row>
    <row r="119">
      <c r="A119" s="3"/>
      <c r="B119" s="6" t="s">
        <v>88</v>
      </c>
      <c r="C119" s="12" t="str">
        <f>IF(AND(ISNUMBER(C114),ISNUMBER(C117),ISNUMBER(C118)),(1+C114)/((1+C117)*(1+C118))-1,"n.a.")</f>
        <v>n.a.</v>
      </c>
      <c r="D119" s="12" t="str">
        <f>IF(AND(ISNUMBER(D114),ISNUMBER(D117),ISNUMBER(D118)),(1+D114)/((1+D117)*(1+D118))-1,"n.a.")</f>
        <v>n.a.</v>
      </c>
      <c r="E119" s="12" t="str">
        <f>IF(AND(ISNUMBER(E114),ISNUMBER(E117),ISNUMBER(E118)),(1+E114)/((1+E117)*(1+E118))-1,"n.a.")</f>
        <v>n.a.</v>
      </c>
      <c r="F119" s="12" t="str">
        <f>IF(AND(ISNUMBER(F114),ISNUMBER(F117),ISNUMBER(F118)),(1+F114)/((1+F117)*(1+F118))-1,"n.a.")</f>
        <v>n.a.</v>
      </c>
      <c r="G119" s="12" t="str">
        <f>IF(AND(ISNUMBER(G114),ISNUMBER(G117),ISNUMBER(G118)),(1+G114)/((1+G117)*(1+G118))-1,"n.a.")</f>
        <v>n.a.</v>
      </c>
      <c r="H119" s="57" t="str">
        <f>IF(AND(ISNUMBER(H114),ISNUMBER(H117),ISNUMBER(H118)),(1+H114)/((1+H117)*(1+H118))-1,"n.a.")</f>
        <v>n.a.</v>
      </c>
      <c r="I119" s="11" t="s">
        <v>89</v>
      </c>
    </row>
    <row r="120">
      <c r="A120" s="3"/>
      <c r="B120" s="6" t="s">
        <v>90</v>
      </c>
      <c r="C120" s="12" t="str">
        <f>C114</f>
        <v>n.a.</v>
      </c>
      <c r="D120" s="12" t="str">
        <f>D114</f>
        <v>n.a.</v>
      </c>
      <c r="E120" s="12">
        <f>E114</f>
        <v>1.5165562913907285</v>
      </c>
      <c r="F120" s="12">
        <f>F114</f>
        <v>0.3179916317991631</v>
      </c>
      <c r="G120" s="12" t="str">
        <f>G114</f>
        <v>n.a.</v>
      </c>
      <c r="H120" s="57" t="str">
        <f>H114</f>
        <v>n.a.</v>
      </c>
      <c r="I120" s="3"/>
    </row>
    <row r="121" ht="14.624267578125">
      <c r="A121" s="3"/>
      <c r="B121" s="3" t="s">
        <v>159</v>
      </c>
      <c r="C121" s="22" t="s">
        <v>38</v>
      </c>
      <c r="D121" s="22" t="s">
        <v>38</v>
      </c>
      <c r="E121" s="27">
        <v>71</v>
      </c>
      <c r="F121" s="27">
        <v>106</v>
      </c>
      <c r="G121" s="22" t="s">
        <v>38</v>
      </c>
      <c r="H121" s="39">
        <f>F121*(1+H124)</f>
        <v>99.64</v>
      </c>
      <c r="I121" s="11" t="s">
        <v>160</v>
      </c>
    </row>
    <row r="122">
      <c r="A122" s="3"/>
      <c r="B122" s="6" t="s">
        <v>155</v>
      </c>
      <c r="C122" s="25" t="s">
        <v>38</v>
      </c>
      <c r="D122" s="25" t="s">
        <v>38</v>
      </c>
      <c r="E122" s="36">
        <v>57</v>
      </c>
      <c r="F122" s="36">
        <v>62</v>
      </c>
      <c r="G122" s="25" t="s">
        <v>38</v>
      </c>
      <c r="H122" s="43" t="str">
        <f>C121</f>
        <v>n.a.</v>
      </c>
      <c r="I122" s="11" t="s">
        <v>156</v>
      </c>
    </row>
    <row r="123">
      <c r="A123" s="3"/>
      <c r="B123" s="6" t="s">
        <v>81</v>
      </c>
      <c r="C123" s="12" t="str">
        <f>IFERROR(C121/C122-1,"n.a.")</f>
        <v>n.a.</v>
      </c>
      <c r="D123" s="12" t="str">
        <f>IFERROR(D121/D122-1,"n.a.")</f>
        <v>n.a.</v>
      </c>
      <c r="E123" s="12">
        <f>IFERROR(E121/E122-1,"n.a.")</f>
        <v>0.2456140350877194</v>
      </c>
      <c r="F123" s="12">
        <f>IFERROR(F121/F122-1,"n.a.")</f>
        <v>0.7096774193548387</v>
      </c>
      <c r="G123" s="12" t="str">
        <f>IFERROR(G121/G122-1,"n.a.")</f>
        <v>n.a.</v>
      </c>
      <c r="H123" s="57" t="str">
        <f>IFERROR(H121/C121-1,"n.a.")</f>
        <v>n.a.</v>
      </c>
      <c r="I123" s="3"/>
    </row>
    <row r="124">
      <c r="A124" s="3"/>
      <c r="B124" s="6" t="s">
        <v>82</v>
      </c>
      <c r="C124" s="12" t="str">
        <f>IFERROR(C121/F122-1,"n.a.")</f>
        <v>n.a.</v>
      </c>
      <c r="D124" s="12" t="str">
        <f>IFERROR(D121/C121-1,"n.a.")</f>
        <v>n.a.</v>
      </c>
      <c r="E124" s="12" t="str">
        <f>IFERROR(E121/D121-1,"n.a.")</f>
        <v>n.a.</v>
      </c>
      <c r="F124" s="12">
        <f>IFERROR(F121/E121-1,"n.a.")</f>
        <v>0.49295774647887325</v>
      </c>
      <c r="G124" s="12" t="s">
        <v>38</v>
      </c>
      <c r="H124" s="63">
        <v>-0.06</v>
      </c>
      <c r="I124" s="3"/>
    </row>
    <row r="125">
      <c r="A125" s="3"/>
      <c r="B125" s="3" t="s">
        <v>95</v>
      </c>
      <c r="C125" s="22" t="str">
        <f>IFERROR(C121-F122,"n.a.")</f>
        <v>n.a.</v>
      </c>
      <c r="D125" s="22" t="str">
        <f>IFERROR(D121-C121,"n.a.")</f>
        <v>n.a.</v>
      </c>
      <c r="E125" s="22" t="str">
        <f>IFERROR(E121-D121,"n.a.")</f>
        <v>n.a.</v>
      </c>
      <c r="F125" s="22">
        <f>IFERROR(F121-E121,"n.a.")</f>
        <v>35</v>
      </c>
      <c r="G125" s="22" t="s">
        <v>38</v>
      </c>
      <c r="H125" s="39">
        <f>IFERROR(H121-F121,"n.a.")</f>
        <v>-6.359999999999999</v>
      </c>
      <c r="I125" s="3"/>
    </row>
    <row r="126">
      <c r="A126" s="3"/>
      <c r="B126" s="6" t="s">
        <v>84</v>
      </c>
      <c r="C126" s="12" t="s">
        <v>38</v>
      </c>
      <c r="D126" s="12" t="s">
        <v>38</v>
      </c>
      <c r="E126" s="12" t="s">
        <v>38</v>
      </c>
      <c r="F126" s="12" t="s">
        <v>38</v>
      </c>
      <c r="G126" s="12" t="s">
        <v>38</v>
      </c>
      <c r="H126" s="57" t="s">
        <v>38</v>
      </c>
      <c r="I126" s="11" t="s">
        <v>85</v>
      </c>
    </row>
    <row r="127">
      <c r="A127" s="3"/>
      <c r="B127" s="6" t="s">
        <v>86</v>
      </c>
      <c r="C127" s="12" t="s">
        <v>38</v>
      </c>
      <c r="D127" s="12" t="s">
        <v>38</v>
      </c>
      <c r="E127" s="12" t="s">
        <v>38</v>
      </c>
      <c r="F127" s="12" t="s">
        <v>38</v>
      </c>
      <c r="G127" s="12" t="s">
        <v>38</v>
      </c>
      <c r="H127" s="57" t="s">
        <v>38</v>
      </c>
      <c r="I127" s="11" t="s">
        <v>87</v>
      </c>
    </row>
    <row r="128" ht="14.624267578125">
      <c r="A128" s="3"/>
      <c r="B128" s="6" t="s">
        <v>88</v>
      </c>
      <c r="C128" s="12" t="str">
        <f>IF(AND(ISNUMBER(C123),ISNUMBER(C126),ISNUMBER(C127)),(1+C123)/((1+C126)*(1+C127))-1,"n.a.")</f>
        <v>n.a.</v>
      </c>
      <c r="D128" s="12" t="str">
        <f>IF(AND(ISNUMBER(D123),ISNUMBER(D126),ISNUMBER(D127)),(1+D123)/((1+D126)*(1+D127))-1,"n.a.")</f>
        <v>n.a.</v>
      </c>
      <c r="E128" s="12" t="str">
        <f>IF(AND(ISNUMBER(E123),ISNUMBER(E126),ISNUMBER(E127)),(1+E123)/((1+E126)*(1+E127))-1,"n.a.")</f>
        <v>n.a.</v>
      </c>
      <c r="F128" s="12" t="str">
        <f>IF(AND(ISNUMBER(F123),ISNUMBER(F126),ISNUMBER(F127)),(1+F123)/((1+F126)*(1+F127))-1,"n.a.")</f>
        <v>n.a.</v>
      </c>
      <c r="G128" s="12" t="str">
        <f>IF(AND(ISNUMBER(G123),ISNUMBER(G126),ISNUMBER(G127)),(1+G123)/((1+G126)*(1+G127))-1,"n.a.")</f>
        <v>n.a.</v>
      </c>
      <c r="H128" s="57" t="str">
        <f>IF(AND(ISNUMBER(H123),ISNUMBER(H126),ISNUMBER(H127)),(1+H123)/((1+H126)*(1+H127))-1,"n.a.")</f>
        <v>n.a.</v>
      </c>
      <c r="I128" s="11" t="s">
        <v>89</v>
      </c>
    </row>
    <row r="129">
      <c r="A129" s="3"/>
      <c r="B129" s="6" t="s">
        <v>90</v>
      </c>
      <c r="C129" s="12" t="str">
        <f>C123</f>
        <v>n.a.</v>
      </c>
      <c r="D129" s="12" t="str">
        <f>D123</f>
        <v>n.a.</v>
      </c>
      <c r="E129" s="12">
        <f>E123</f>
        <v>0.2456140350877194</v>
      </c>
      <c r="F129" s="12">
        <f>F123</f>
        <v>0.7096774193548387</v>
      </c>
      <c r="G129" s="12" t="str">
        <f>G123</f>
        <v>n.a.</v>
      </c>
      <c r="H129" s="57" t="str">
        <f>H123</f>
        <v>n.a.</v>
      </c>
      <c r="I129" s="3"/>
    </row>
    <row r="130">
      <c r="A130" s="3"/>
      <c r="B130" s="3" t="s">
        <v>161</v>
      </c>
      <c r="C130" s="27">
        <v>847</v>
      </c>
      <c r="D130" s="27">
        <v>854</v>
      </c>
      <c r="E130" s="22" t="s">
        <v>38</v>
      </c>
      <c r="F130" s="22" t="s">
        <v>38</v>
      </c>
      <c r="G130" s="27">
        <v>3362</v>
      </c>
      <c r="H130" s="39" t="s">
        <v>38</v>
      </c>
      <c r="I130" s="11" t="s">
        <v>162</v>
      </c>
    </row>
    <row r="131">
      <c r="A131" s="3"/>
      <c r="B131" s="6" t="s">
        <v>80</v>
      </c>
      <c r="C131" s="36">
        <v>820</v>
      </c>
      <c r="D131" s="36">
        <v>846</v>
      </c>
      <c r="E131" s="25" t="s">
        <v>38</v>
      </c>
      <c r="F131" s="25" t="s">
        <v>38</v>
      </c>
      <c r="G131" s="36">
        <v>3297</v>
      </c>
      <c r="H131" s="43">
        <f>C130</f>
        <v>847</v>
      </c>
      <c r="I131" s="11" t="s">
        <v>163</v>
      </c>
    </row>
    <row r="132">
      <c r="A132" s="3"/>
      <c r="B132" s="6" t="s">
        <v>81</v>
      </c>
      <c r="C132" s="12">
        <f>IFERROR(C130/C131-1,"n.a.")</f>
        <v>0.03292682926829271</v>
      </c>
      <c r="D132" s="12">
        <f>IFERROR(D130/D131-1,"n.a.")</f>
        <v>0.009456264775413725</v>
      </c>
      <c r="E132" s="12" t="str">
        <f>IFERROR(E130/E131-1,"n.a.")</f>
        <v>n.a.</v>
      </c>
      <c r="F132" s="12" t="str">
        <f>IFERROR(F130/F131-1,"n.a.")</f>
        <v>n.a.</v>
      </c>
      <c r="G132" s="12">
        <f>IFERROR(G130/G131-1,"n.a.")</f>
        <v>0.01971489232635726</v>
      </c>
      <c r="H132" s="57" t="str">
        <f>IFERROR(H130/C130-1,"n.a.")</f>
        <v>n.a.</v>
      </c>
      <c r="I132" s="3"/>
    </row>
    <row r="133">
      <c r="A133" s="3"/>
      <c r="B133" s="6" t="s">
        <v>84</v>
      </c>
      <c r="C133" s="12" t="s">
        <v>38</v>
      </c>
      <c r="D133" s="12" t="s">
        <v>38</v>
      </c>
      <c r="E133" s="12" t="s">
        <v>38</v>
      </c>
      <c r="F133" s="12" t="s">
        <v>38</v>
      </c>
      <c r="G133" s="12" t="s">
        <v>38</v>
      </c>
      <c r="H133" s="57" t="s">
        <v>38</v>
      </c>
      <c r="I133" s="11" t="s">
        <v>85</v>
      </c>
    </row>
    <row r="134">
      <c r="A134" s="3"/>
      <c r="B134" s="6" t="s">
        <v>86</v>
      </c>
      <c r="C134" s="12" t="s">
        <v>38</v>
      </c>
      <c r="D134" s="12" t="s">
        <v>38</v>
      </c>
      <c r="E134" s="12" t="s">
        <v>38</v>
      </c>
      <c r="F134" s="12" t="s">
        <v>38</v>
      </c>
      <c r="G134" s="12" t="s">
        <v>38</v>
      </c>
      <c r="H134" s="57" t="s">
        <v>38</v>
      </c>
      <c r="I134" s="11" t="s">
        <v>87</v>
      </c>
    </row>
    <row r="135" ht="14.624267578125">
      <c r="A135" s="3"/>
      <c r="B135" s="6" t="s">
        <v>88</v>
      </c>
      <c r="C135" s="12" t="str">
        <f>IF(AND(ISNUMBER(C132),ISNUMBER(C133),ISNUMBER(C134)),(1+C132)/((1+C133)*(1+C134))-1,"n.a.")</f>
        <v>n.a.</v>
      </c>
      <c r="D135" s="12" t="str">
        <f>IF(AND(ISNUMBER(D132),ISNUMBER(D133),ISNUMBER(D134)),(1+D132)/((1+D133)*(1+D134))-1,"n.a.")</f>
        <v>n.a.</v>
      </c>
      <c r="E135" s="12" t="str">
        <f>IF(AND(ISNUMBER(E132),ISNUMBER(E133),ISNUMBER(E134)),(1+E132)/((1+E133)*(1+E134))-1,"n.a.")</f>
        <v>n.a.</v>
      </c>
      <c r="F135" s="12" t="str">
        <f>IF(AND(ISNUMBER(F132),ISNUMBER(F133),ISNUMBER(F134)),(1+F132)/((1+F133)*(1+F134))-1,"n.a.")</f>
        <v>n.a.</v>
      </c>
      <c r="G135" s="12" t="str">
        <f>IF(AND(ISNUMBER(G132),ISNUMBER(G133),ISNUMBER(G134)),(1+G132)/((1+G133)*(1+G134))-1,"n.a.")</f>
        <v>n.a.</v>
      </c>
      <c r="H135" s="57" t="str">
        <f>IF(AND(ISNUMBER(H132),ISNUMBER(H133),ISNUMBER(H134)),(1+H132)/((1+H133)*(1+H134))-1,"n.a.")</f>
        <v>n.a.</v>
      </c>
      <c r="I135" s="11" t="s">
        <v>89</v>
      </c>
    </row>
    <row r="136">
      <c r="A136" s="3"/>
      <c r="B136" s="6" t="s">
        <v>90</v>
      </c>
      <c r="C136" s="12">
        <f>C132</f>
        <v>0.03292682926829271</v>
      </c>
      <c r="D136" s="12">
        <f>D132</f>
        <v>0.009456264775413725</v>
      </c>
      <c r="E136" s="12" t="str">
        <f>E132</f>
        <v>n.a.</v>
      </c>
      <c r="F136" s="12" t="str">
        <f>F132</f>
        <v>n.a.</v>
      </c>
      <c r="G136" s="12">
        <f>G132</f>
        <v>0.01971489232635726</v>
      </c>
      <c r="H136" s="57" t="str">
        <f>H132</f>
        <v>n.a.</v>
      </c>
      <c r="I136" s="3"/>
    </row>
    <row r="137">
      <c r="A137" s="3"/>
      <c r="B137" s="3" t="s">
        <v>164</v>
      </c>
      <c r="C137" s="27">
        <v>256</v>
      </c>
      <c r="D137" s="27">
        <v>227</v>
      </c>
      <c r="E137" s="22" t="s">
        <v>38</v>
      </c>
      <c r="F137" s="22" t="s">
        <v>38</v>
      </c>
      <c r="G137" s="27">
        <v>937</v>
      </c>
      <c r="H137" s="39" t="s">
        <v>38</v>
      </c>
      <c r="I137" s="11" t="s">
        <v>162</v>
      </c>
    </row>
    <row r="138">
      <c r="A138" s="3"/>
      <c r="B138" s="6" t="s">
        <v>80</v>
      </c>
      <c r="C138" s="36">
        <v>161</v>
      </c>
      <c r="D138" s="36">
        <v>218</v>
      </c>
      <c r="E138" s="25" t="s">
        <v>38</v>
      </c>
      <c r="F138" s="25" t="s">
        <v>38</v>
      </c>
      <c r="G138" s="36">
        <v>772</v>
      </c>
      <c r="H138" s="43">
        <f>C137</f>
        <v>256</v>
      </c>
      <c r="I138" s="11" t="s">
        <v>163</v>
      </c>
    </row>
    <row r="139">
      <c r="A139" s="3"/>
      <c r="B139" s="6" t="s">
        <v>81</v>
      </c>
      <c r="C139" s="12">
        <f>IFERROR(C137/C138-1,"n.a.")</f>
        <v>0.5900621118012421</v>
      </c>
      <c r="D139" s="12">
        <f>IFERROR(D137/D138-1,"n.a.")</f>
        <v>0.041284403669724856</v>
      </c>
      <c r="E139" s="12" t="str">
        <f>IFERROR(E137/E138-1,"n.a.")</f>
        <v>n.a.</v>
      </c>
      <c r="F139" s="12" t="str">
        <f>IFERROR(F137/F138-1,"n.a.")</f>
        <v>n.a.</v>
      </c>
      <c r="G139" s="12">
        <f>IFERROR(G137/G138-1,"n.a.")</f>
        <v>0.21373056994818662</v>
      </c>
      <c r="H139" s="57" t="str">
        <f>IFERROR(H137/C137-1,"n.a.")</f>
        <v>n.a.</v>
      </c>
      <c r="I139" s="3"/>
    </row>
    <row r="140">
      <c r="A140" s="3"/>
      <c r="B140" s="6" t="s">
        <v>84</v>
      </c>
      <c r="C140" s="12" t="s">
        <v>38</v>
      </c>
      <c r="D140" s="12" t="s">
        <v>38</v>
      </c>
      <c r="E140" s="12" t="s">
        <v>38</v>
      </c>
      <c r="F140" s="12" t="s">
        <v>38</v>
      </c>
      <c r="G140" s="12" t="s">
        <v>38</v>
      </c>
      <c r="H140" s="57" t="s">
        <v>38</v>
      </c>
      <c r="I140" s="11" t="s">
        <v>85</v>
      </c>
    </row>
    <row r="141">
      <c r="A141" s="3"/>
      <c r="B141" s="6" t="s">
        <v>86</v>
      </c>
      <c r="C141" s="12" t="s">
        <v>38</v>
      </c>
      <c r="D141" s="12" t="s">
        <v>38</v>
      </c>
      <c r="E141" s="12" t="s">
        <v>38</v>
      </c>
      <c r="F141" s="12" t="s">
        <v>38</v>
      </c>
      <c r="G141" s="12" t="s">
        <v>38</v>
      </c>
      <c r="H141" s="57" t="s">
        <v>38</v>
      </c>
      <c r="I141" s="11" t="s">
        <v>87</v>
      </c>
    </row>
    <row r="142" ht="14.624267578125">
      <c r="A142" s="3"/>
      <c r="B142" s="6" t="s">
        <v>88</v>
      </c>
      <c r="C142" s="12" t="str">
        <f>IF(AND(ISNUMBER(C139),ISNUMBER(C140),ISNUMBER(C141)),(1+C139)/((1+C140)*(1+C141))-1,"n.a.")</f>
        <v>n.a.</v>
      </c>
      <c r="D142" s="12" t="str">
        <f>IF(AND(ISNUMBER(D139),ISNUMBER(D140),ISNUMBER(D141)),(1+D139)/((1+D140)*(1+D141))-1,"n.a.")</f>
        <v>n.a.</v>
      </c>
      <c r="E142" s="12" t="str">
        <f>IF(AND(ISNUMBER(E139),ISNUMBER(E140),ISNUMBER(E141)),(1+E139)/((1+E140)*(1+E141))-1,"n.a.")</f>
        <v>n.a.</v>
      </c>
      <c r="F142" s="12" t="str">
        <f>IF(AND(ISNUMBER(F139),ISNUMBER(F140),ISNUMBER(F141)),(1+F139)/((1+F140)*(1+F141))-1,"n.a.")</f>
        <v>n.a.</v>
      </c>
      <c r="G142" s="12" t="str">
        <f>IF(AND(ISNUMBER(G139),ISNUMBER(G140),ISNUMBER(G141)),(1+G139)/((1+G140)*(1+G141))-1,"n.a.")</f>
        <v>n.a.</v>
      </c>
      <c r="H142" s="57" t="str">
        <f>IF(AND(ISNUMBER(H139),ISNUMBER(H140),ISNUMBER(H141)),(1+H139)/((1+H140)*(1+H141))-1,"n.a.")</f>
        <v>n.a.</v>
      </c>
      <c r="I142" s="11" t="s">
        <v>89</v>
      </c>
    </row>
    <row r="143">
      <c r="A143" s="3"/>
      <c r="B143" s="6" t="s">
        <v>90</v>
      </c>
      <c r="C143" s="12">
        <f>C139</f>
        <v>0.5900621118012421</v>
      </c>
      <c r="D143" s="12">
        <f>D139</f>
        <v>0.041284403669724856</v>
      </c>
      <c r="E143" s="12" t="str">
        <f>E139</f>
        <v>n.a.</v>
      </c>
      <c r="F143" s="12" t="str">
        <f>F139</f>
        <v>n.a.</v>
      </c>
      <c r="G143" s="12">
        <f>G139</f>
        <v>0.21373056994818662</v>
      </c>
      <c r="H143" s="57" t="str">
        <f>H139</f>
        <v>n.a.</v>
      </c>
      <c r="I143" s="3"/>
    </row>
    <row r="144" ht="14.624267578125">
      <c r="A144" s="3"/>
      <c r="B144" s="3" t="s">
        <v>165</v>
      </c>
      <c r="C144" s="27">
        <v>355</v>
      </c>
      <c r="D144" s="27">
        <v>363</v>
      </c>
      <c r="E144" s="22" t="s">
        <v>38</v>
      </c>
      <c r="F144" s="22" t="s">
        <v>38</v>
      </c>
      <c r="G144" s="27">
        <v>1320</v>
      </c>
      <c r="H144" s="39" t="s">
        <v>38</v>
      </c>
      <c r="I144" s="11" t="s">
        <v>162</v>
      </c>
    </row>
    <row r="145">
      <c r="A145" s="3"/>
      <c r="B145" s="6" t="s">
        <v>80</v>
      </c>
      <c r="C145" s="36">
        <v>310</v>
      </c>
      <c r="D145" s="36">
        <v>310</v>
      </c>
      <c r="E145" s="25" t="s">
        <v>38</v>
      </c>
      <c r="F145" s="25" t="s">
        <v>38</v>
      </c>
      <c r="G145" s="36">
        <v>1216</v>
      </c>
      <c r="H145" s="43">
        <f>C144</f>
        <v>355</v>
      </c>
      <c r="I145" s="11" t="s">
        <v>163</v>
      </c>
    </row>
    <row r="146">
      <c r="A146" s="3"/>
      <c r="B146" s="6" t="s">
        <v>81</v>
      </c>
      <c r="C146" s="12">
        <f>IFERROR(C144/C145-1,"n.a.")</f>
        <v>0.14516129032258074</v>
      </c>
      <c r="D146" s="12">
        <f>IFERROR(D144/D145-1,"n.a.")</f>
        <v>0.1709677419354838</v>
      </c>
      <c r="E146" s="12" t="str">
        <f>IFERROR(E144/E145-1,"n.a.")</f>
        <v>n.a.</v>
      </c>
      <c r="F146" s="12" t="str">
        <f>IFERROR(F144/F145-1,"n.a.")</f>
        <v>n.a.</v>
      </c>
      <c r="G146" s="12">
        <f>IFERROR(G144/G145-1,"n.a.")</f>
        <v>0.08552631578947367</v>
      </c>
      <c r="H146" s="57" t="str">
        <f>IFERROR(H144/C144-1,"n.a.")</f>
        <v>n.a.</v>
      </c>
      <c r="I146" s="3"/>
    </row>
    <row r="147">
      <c r="A147" s="3"/>
      <c r="B147" s="6" t="s">
        <v>84</v>
      </c>
      <c r="C147" s="12" t="s">
        <v>38</v>
      </c>
      <c r="D147" s="12" t="s">
        <v>38</v>
      </c>
      <c r="E147" s="12" t="s">
        <v>38</v>
      </c>
      <c r="F147" s="12" t="s">
        <v>38</v>
      </c>
      <c r="G147" s="12" t="s">
        <v>38</v>
      </c>
      <c r="H147" s="57" t="s">
        <v>38</v>
      </c>
      <c r="I147" s="11" t="s">
        <v>85</v>
      </c>
    </row>
    <row r="148">
      <c r="A148" s="3"/>
      <c r="B148" s="6" t="s">
        <v>86</v>
      </c>
      <c r="C148" s="12" t="s">
        <v>38</v>
      </c>
      <c r="D148" s="12" t="s">
        <v>38</v>
      </c>
      <c r="E148" s="12" t="s">
        <v>38</v>
      </c>
      <c r="F148" s="12" t="s">
        <v>38</v>
      </c>
      <c r="G148" s="12" t="s">
        <v>38</v>
      </c>
      <c r="H148" s="57" t="s">
        <v>38</v>
      </c>
      <c r="I148" s="11" t="s">
        <v>87</v>
      </c>
    </row>
    <row r="149">
      <c r="A149" s="3"/>
      <c r="B149" s="6" t="s">
        <v>88</v>
      </c>
      <c r="C149" s="12" t="str">
        <f>IF(AND(ISNUMBER(C146),ISNUMBER(C147),ISNUMBER(C148)),(1+C146)/((1+C147)*(1+C148))-1,"n.a.")</f>
        <v>n.a.</v>
      </c>
      <c r="D149" s="12" t="str">
        <f>IF(AND(ISNUMBER(D146),ISNUMBER(D147),ISNUMBER(D148)),(1+D146)/((1+D147)*(1+D148))-1,"n.a.")</f>
        <v>n.a.</v>
      </c>
      <c r="E149" s="12" t="str">
        <f>IF(AND(ISNUMBER(E146),ISNUMBER(E147),ISNUMBER(E148)),(1+E146)/((1+E147)*(1+E148))-1,"n.a.")</f>
        <v>n.a.</v>
      </c>
      <c r="F149" s="12" t="str">
        <f>IF(AND(ISNUMBER(F146),ISNUMBER(F147),ISNUMBER(F148)),(1+F146)/((1+F147)*(1+F148))-1,"n.a.")</f>
        <v>n.a.</v>
      </c>
      <c r="G149" s="12" t="str">
        <f>IF(AND(ISNUMBER(G146),ISNUMBER(G147),ISNUMBER(G148)),(1+G146)/((1+G147)*(1+G148))-1,"n.a.")</f>
        <v>n.a.</v>
      </c>
      <c r="H149" s="57" t="str">
        <f>IF(AND(ISNUMBER(H146),ISNUMBER(H147),ISNUMBER(H148)),(1+H146)/((1+H147)*(1+H148))-1,"n.a.")</f>
        <v>n.a.</v>
      </c>
      <c r="I149" s="11" t="s">
        <v>89</v>
      </c>
    </row>
    <row r="150">
      <c r="A150" s="3"/>
      <c r="B150" s="6" t="s">
        <v>90</v>
      </c>
      <c r="C150" s="12">
        <f>C146</f>
        <v>0.14516129032258074</v>
      </c>
      <c r="D150" s="12">
        <f>D146</f>
        <v>0.1709677419354838</v>
      </c>
      <c r="E150" s="12" t="str">
        <f>E146</f>
        <v>n.a.</v>
      </c>
      <c r="F150" s="12" t="str">
        <f>F146</f>
        <v>n.a.</v>
      </c>
      <c r="G150" s="12">
        <f>G146</f>
        <v>0.08552631578947367</v>
      </c>
      <c r="H150" s="57" t="str">
        <f>H146</f>
        <v>n.a.</v>
      </c>
      <c r="I150" s="3"/>
    </row>
    <row r="151" ht="14.624267578125">
      <c r="A151" s="3"/>
      <c r="B151" s="15" t="s">
        <v>166</v>
      </c>
      <c r="C151" s="26">
        <f>SUM(C103,C112,C121,C130,C137,C144)</f>
        <v>1458</v>
      </c>
      <c r="D151" s="26">
        <f>SUM(D103,D112,D121,D130,D137,D144)</f>
        <v>1444</v>
      </c>
      <c r="E151" s="26">
        <f>SUM(E103,E112,E121,E130,E137,E144)</f>
        <v>1672</v>
      </c>
      <c r="F151" s="26">
        <f>SUM(F103,F112,F121,F130,F137,F144)</f>
        <v>1765</v>
      </c>
      <c r="G151" s="26">
        <f>SUM(G103,G112,G121,G130,G137,G144)</f>
        <v>5619</v>
      </c>
      <c r="H151" s="40">
        <f>SUM(H103,H112,H121,H130,H137,H144)</f>
        <v>1754.9019999999998</v>
      </c>
      <c r="I151" s="3"/>
    </row>
    <row r="152">
      <c r="A152" s="3"/>
      <c r="B152" s="6" t="s">
        <v>80</v>
      </c>
      <c r="C152" s="25">
        <f>SUM(C104,C113,C122,C131,C138,C145)</f>
        <v>1291</v>
      </c>
      <c r="D152" s="25">
        <f>SUM(D104,D113,D122,D131,D138,D145)</f>
        <v>1374</v>
      </c>
      <c r="E152" s="25">
        <f>SUM(E104,E113,E122,E131,E138,E145)</f>
        <v>1290</v>
      </c>
      <c r="F152" s="25">
        <f>SUM(F104,F113,F122,F131,F138,F145)</f>
        <v>1428</v>
      </c>
      <c r="G152" s="25">
        <f>SUM(G104,G113,G122,G131,G138,G145)</f>
        <v>5285</v>
      </c>
      <c r="H152" s="43">
        <f>C151</f>
        <v>1458</v>
      </c>
      <c r="I152" s="11" t="s">
        <v>167</v>
      </c>
    </row>
    <row r="153">
      <c r="A153" s="3"/>
      <c r="B153" s="6" t="s">
        <v>81</v>
      </c>
      <c r="C153" s="12">
        <f>IFERROR(C151/C152-1,"n.a.")</f>
        <v>0.1293570875290473</v>
      </c>
      <c r="D153" s="12">
        <f>IFERROR(D151/D152-1,"n.a.")</f>
        <v>0.0509461426491995</v>
      </c>
      <c r="E153" s="12">
        <f>IFERROR(E151/E152-1,"n.a.")</f>
        <v>0.296124031007752</v>
      </c>
      <c r="F153" s="12">
        <f>IFERROR(F151/F152-1,"n.a.")</f>
        <v>0.2359943977591037</v>
      </c>
      <c r="G153" s="12">
        <f>IFERROR(G151/G152-1,"n.a.")</f>
        <v>0.06319772942289492</v>
      </c>
      <c r="H153" s="57">
        <f>IFERROR(H151/C151-1,"n.a.")</f>
        <v>0.203636488340192</v>
      </c>
      <c r="I153" s="3"/>
    </row>
    <row r="154">
      <c r="A154" s="3"/>
      <c r="B154" s="6" t="s">
        <v>82</v>
      </c>
      <c r="C154" s="12">
        <f>IFERROR(C151/F152-1,"n.a.")</f>
        <v>0.021008403361344463</v>
      </c>
      <c r="D154" s="12">
        <f>IFERROR(D151/C151-1,"n.a.")</f>
        <v>-0.009602194787380003</v>
      </c>
      <c r="E154" s="12">
        <f>IFERROR(E151/D151-1,"n.a.")</f>
        <v>0.1578947368421053</v>
      </c>
      <c r="F154" s="12">
        <f>IFERROR(F151/E151-1,"n.a.")</f>
        <v>0.05562200956937802</v>
      </c>
      <c r="G154" s="12" t="s">
        <v>38</v>
      </c>
      <c r="H154" s="57">
        <f>IFERROR(H151/F151-1,"n.a.")</f>
        <v>-0.005721246458923579</v>
      </c>
      <c r="I154" s="3"/>
    </row>
    <row r="155">
      <c r="A155" s="3"/>
      <c r="B155" s="3" t="s">
        <v>95</v>
      </c>
      <c r="C155" s="22">
        <f>IFERROR(C151-F152,"n.a.")</f>
        <v>30</v>
      </c>
      <c r="D155" s="22">
        <f>IFERROR(D151-C151,"n.a.")</f>
        <v>-14</v>
      </c>
      <c r="E155" s="22">
        <f>IFERROR(E151-D151,"n.a.")</f>
        <v>228</v>
      </c>
      <c r="F155" s="22">
        <f>IFERROR(F151-E151,"n.a.")</f>
        <v>93</v>
      </c>
      <c r="G155" s="22" t="s">
        <v>38</v>
      </c>
      <c r="H155" s="39">
        <f>IFERROR(H151-F151,"n.a.")</f>
        <v>-10.098000000000184</v>
      </c>
      <c r="I155" s="3"/>
    </row>
    <row r="156">
      <c r="A156" s="3"/>
      <c r="B156" s="6" t="s">
        <v>84</v>
      </c>
      <c r="C156" s="12" t="s">
        <v>38</v>
      </c>
      <c r="D156" s="12" t="s">
        <v>38</v>
      </c>
      <c r="E156" s="12" t="s">
        <v>38</v>
      </c>
      <c r="F156" s="12" t="s">
        <v>38</v>
      </c>
      <c r="G156" s="12" t="s">
        <v>38</v>
      </c>
      <c r="H156" s="57" t="s">
        <v>38</v>
      </c>
      <c r="I156" s="11" t="s">
        <v>85</v>
      </c>
    </row>
    <row r="157">
      <c r="A157" s="3"/>
      <c r="B157" s="6" t="s">
        <v>86</v>
      </c>
      <c r="C157" s="12" t="s">
        <v>38</v>
      </c>
      <c r="D157" s="12" t="s">
        <v>38</v>
      </c>
      <c r="E157" s="12" t="s">
        <v>38</v>
      </c>
      <c r="F157" s="12" t="s">
        <v>38</v>
      </c>
      <c r="G157" s="12" t="s">
        <v>38</v>
      </c>
      <c r="H157" s="57" t="s">
        <v>38</v>
      </c>
      <c r="I157" s="11" t="s">
        <v>87</v>
      </c>
    </row>
    <row r="158">
      <c r="A158" s="3"/>
      <c r="B158" s="6" t="s">
        <v>88</v>
      </c>
      <c r="C158" s="12" t="str">
        <f>IF(AND(ISNUMBER(C153),ISNUMBER(C156),ISNUMBER(C157)),(1+C153)/((1+C156)*(1+C157))-1,"n.a.")</f>
        <v>n.a.</v>
      </c>
      <c r="D158" s="12" t="str">
        <f>IF(AND(ISNUMBER(D153),ISNUMBER(D156),ISNUMBER(D157)),(1+D153)/((1+D156)*(1+D157))-1,"n.a.")</f>
        <v>n.a.</v>
      </c>
      <c r="E158" s="12" t="str">
        <f>IF(AND(ISNUMBER(E153),ISNUMBER(E156),ISNUMBER(E157)),(1+E153)/((1+E156)*(1+E157))-1,"n.a.")</f>
        <v>n.a.</v>
      </c>
      <c r="F158" s="12" t="str">
        <f>IF(AND(ISNUMBER(F153),ISNUMBER(F156),ISNUMBER(F157)),(1+F153)/((1+F156)*(1+F157))-1,"n.a.")</f>
        <v>n.a.</v>
      </c>
      <c r="G158" s="12" t="str">
        <f>IF(AND(ISNUMBER(G153),ISNUMBER(G156),ISNUMBER(G157)),(1+G153)/((1+G156)*(1+G157))-1,"n.a.")</f>
        <v>n.a.</v>
      </c>
      <c r="H158" s="57" t="str">
        <f>IF(AND(ISNUMBER(H153),ISNUMBER(H156),ISNUMBER(H157)),(1+H153)/((1+H156)*(1+H157))-1,"n.a.")</f>
        <v>n.a.</v>
      </c>
      <c r="I158" s="11" t="s">
        <v>89</v>
      </c>
    </row>
    <row r="159">
      <c r="A159" s="3"/>
      <c r="B159" s="6" t="s">
        <v>90</v>
      </c>
      <c r="C159" s="12">
        <f>C153</f>
        <v>0.1293570875290473</v>
      </c>
      <c r="D159" s="12">
        <f>D153</f>
        <v>0.0509461426491995</v>
      </c>
      <c r="E159" s="12">
        <f>E153</f>
        <v>0.296124031007752</v>
      </c>
      <c r="F159" s="12">
        <f>F153</f>
        <v>0.2359943977591037</v>
      </c>
      <c r="G159" s="12">
        <f>G153</f>
        <v>0.06319772942289492</v>
      </c>
      <c r="H159" s="57">
        <f>H153</f>
        <v>0.203636488340192</v>
      </c>
      <c r="I159" s="3"/>
    </row>
    <row r="160">
      <c r="A160" s="3"/>
      <c r="B160" s="3"/>
      <c r="C160" s="22"/>
      <c r="D160" s="22"/>
      <c r="E160" s="22"/>
      <c r="F160" s="22"/>
      <c r="G160" s="22"/>
      <c r="H160" s="39"/>
      <c r="I160" s="3"/>
    </row>
    <row r="161">
      <c r="A161" s="3"/>
      <c r="B161" s="15" t="s">
        <v>168</v>
      </c>
      <c r="C161" s="22"/>
      <c r="D161" s="22"/>
      <c r="E161" s="22"/>
      <c r="F161" s="22"/>
      <c r="G161" s="22"/>
      <c r="H161" s="39"/>
      <c r="I161" s="3"/>
    </row>
    <row r="162" ht="14.624267578125">
      <c r="A162" s="3"/>
      <c r="B162" s="15" t="s">
        <v>169</v>
      </c>
      <c r="C162" s="26">
        <f>C81+C94+C151</f>
        <v>15197</v>
      </c>
      <c r="D162" s="26">
        <f>D81+D94+D151</f>
        <v>14606</v>
      </c>
      <c r="E162" s="26">
        <f>E81+E94+E151</f>
        <v>14200</v>
      </c>
      <c r="F162" s="26">
        <f>F81+F94+F151</f>
        <v>17666</v>
      </c>
      <c r="G162" s="26">
        <f>G81+G94+G151</f>
        <v>58287</v>
      </c>
      <c r="H162" s="40">
        <f>H81+H94+H151</f>
        <v>17759.540874999995</v>
      </c>
      <c r="I162" s="3"/>
    </row>
    <row r="163">
      <c r="A163" s="3"/>
      <c r="B163" s="6" t="s">
        <v>80</v>
      </c>
      <c r="C163" s="36">
        <v>14594</v>
      </c>
      <c r="D163" s="36">
        <v>14437</v>
      </c>
      <c r="E163" s="36">
        <v>12978</v>
      </c>
      <c r="F163" s="36">
        <v>15507</v>
      </c>
      <c r="G163" s="36">
        <v>57001</v>
      </c>
      <c r="H163" s="43">
        <f>C162</f>
        <v>15197</v>
      </c>
      <c r="I163" s="11" t="s">
        <v>94</v>
      </c>
    </row>
    <row r="164">
      <c r="A164" s="3"/>
      <c r="B164" s="6" t="s">
        <v>81</v>
      </c>
      <c r="C164" s="12">
        <f>IFERROR(C162/C163-1,"n.a.")</f>
        <v>0.041318350006852134</v>
      </c>
      <c r="D164" s="12">
        <f>IFERROR(D162/D163-1,"n.a.")</f>
        <v>0.011706033109371683</v>
      </c>
      <c r="E164" s="12">
        <f>IFERROR(E162/E163-1,"n.a.")</f>
        <v>0.09415934658653113</v>
      </c>
      <c r="F164" s="12">
        <f>IFERROR(F162/F163-1,"n.a.")</f>
        <v>0.13922744566969758</v>
      </c>
      <c r="G164" s="12">
        <f>IFERROR(G162/G163-1,"n.a.")</f>
        <v>0.022561007701619173</v>
      </c>
      <c r="H164" s="57">
        <f>IFERROR(H162/C162-1,"n.a.")</f>
        <v>0.1686214960189507</v>
      </c>
      <c r="I164" s="3"/>
    </row>
    <row r="165">
      <c r="A165" s="3"/>
      <c r="B165" s="6" t="s">
        <v>82</v>
      </c>
      <c r="C165" s="12">
        <f>IFERROR(C162/F163-1,"n.a.")</f>
        <v>-0.019990971819178416</v>
      </c>
      <c r="D165" s="12">
        <f>IFERROR(D162/C162-1,"n.a.")</f>
        <v>-0.03888925445811675</v>
      </c>
      <c r="E165" s="12">
        <f>IFERROR(E162/D162-1,"n.a.")</f>
        <v>-0.027796795837327082</v>
      </c>
      <c r="F165" s="12">
        <f>IFERROR(F162/E162-1,"n.a.")</f>
        <v>0.24408450704225348</v>
      </c>
      <c r="G165" s="12" t="s">
        <v>38</v>
      </c>
      <c r="H165" s="57">
        <f>IFERROR(H162/F162-1,"n.a.")</f>
        <v>0.005294966319483452</v>
      </c>
      <c r="I165" s="3"/>
    </row>
    <row r="166">
      <c r="A166" s="3"/>
      <c r="B166" s="3" t="s">
        <v>95</v>
      </c>
      <c r="C166" s="22">
        <f>IFERROR(C162-F163,"n.a.")</f>
        <v>-310</v>
      </c>
      <c r="D166" s="22">
        <f>IFERROR(D162-C162,"n.a.")</f>
        <v>-591</v>
      </c>
      <c r="E166" s="22">
        <f>IFERROR(E162-D162,"n.a.")</f>
        <v>-406</v>
      </c>
      <c r="F166" s="22">
        <f>IFERROR(F162-E162,"n.a.")</f>
        <v>3466</v>
      </c>
      <c r="G166" s="22" t="s">
        <v>38</v>
      </c>
      <c r="H166" s="39">
        <f>IFERROR(H162-F162,"n.a.")</f>
        <v>93.54087499999514</v>
      </c>
      <c r="I166" s="3"/>
    </row>
    <row r="167">
      <c r="A167" s="3"/>
      <c r="B167" s="6" t="s">
        <v>84</v>
      </c>
      <c r="C167" s="12" t="s">
        <v>38</v>
      </c>
      <c r="D167" s="12" t="s">
        <v>38</v>
      </c>
      <c r="E167" s="12" t="s">
        <v>38</v>
      </c>
      <c r="F167" s="12" t="s">
        <v>38</v>
      </c>
      <c r="G167" s="12" t="s">
        <v>38</v>
      </c>
      <c r="H167" s="57" t="s">
        <v>38</v>
      </c>
      <c r="I167" s="11" t="s">
        <v>85</v>
      </c>
    </row>
    <row r="168">
      <c r="A168" s="3"/>
      <c r="B168" s="6" t="s">
        <v>86</v>
      </c>
      <c r="C168" s="12" t="s">
        <v>38</v>
      </c>
      <c r="D168" s="12" t="s">
        <v>38</v>
      </c>
      <c r="E168" s="12" t="s">
        <v>38</v>
      </c>
      <c r="F168" s="12" t="s">
        <v>38</v>
      </c>
      <c r="G168" s="12" t="s">
        <v>38</v>
      </c>
      <c r="H168" s="57" t="s">
        <v>38</v>
      </c>
      <c r="I168" s="11" t="s">
        <v>87</v>
      </c>
    </row>
    <row r="169">
      <c r="A169" s="3"/>
      <c r="B169" s="6" t="s">
        <v>88</v>
      </c>
      <c r="C169" s="12" t="str">
        <f>IF(AND(ISNUMBER(C164),ISNUMBER(C167),ISNUMBER(C168)),(1+C164)/((1+C167)*(1+C168))-1,"n.a.")</f>
        <v>n.a.</v>
      </c>
      <c r="D169" s="12" t="str">
        <f>IF(AND(ISNUMBER(D164),ISNUMBER(D167),ISNUMBER(D168)),(1+D164)/((1+D167)*(1+D168))-1,"n.a.")</f>
        <v>n.a.</v>
      </c>
      <c r="E169" s="12" t="str">
        <f>IF(AND(ISNUMBER(E164),ISNUMBER(E167),ISNUMBER(E168)),(1+E164)/((1+E167)*(1+E168))-1,"n.a.")</f>
        <v>n.a.</v>
      </c>
      <c r="F169" s="12" t="str">
        <f>IF(AND(ISNUMBER(F164),ISNUMBER(F167),ISNUMBER(F168)),(1+F164)/((1+F167)*(1+F168))-1,"n.a.")</f>
        <v>n.a.</v>
      </c>
      <c r="G169" s="12" t="str">
        <f>IF(AND(ISNUMBER(G164),ISNUMBER(G167),ISNUMBER(G168)),(1+G164)/((1+G167)*(1+G168))-1,"n.a.")</f>
        <v>n.a.</v>
      </c>
      <c r="H169" s="57" t="str">
        <f>IF(AND(ISNUMBER(H164),ISNUMBER(H167),ISNUMBER(H168)),(1+H164)/((1+H167)*(1+H168))-1,"n.a.")</f>
        <v>n.a.</v>
      </c>
      <c r="I169" s="11" t="s">
        <v>89</v>
      </c>
    </row>
    <row r="170">
      <c r="A170" s="3"/>
      <c r="B170" s="6" t="s">
        <v>90</v>
      </c>
      <c r="C170" s="12">
        <f>C164</f>
        <v>0.041318350006852134</v>
      </c>
      <c r="D170" s="12">
        <f>D164</f>
        <v>0.011706033109371683</v>
      </c>
      <c r="E170" s="12">
        <f>E164</f>
        <v>0.09415934658653113</v>
      </c>
      <c r="F170" s="12">
        <f>F164</f>
        <v>0.13922744566969758</v>
      </c>
      <c r="G170" s="12">
        <f>G164</f>
        <v>0.022561007701619173</v>
      </c>
      <c r="H170" s="57">
        <f>H164</f>
        <v>0.1686214960189507</v>
      </c>
      <c r="I170" s="3"/>
    </row>
    <row r="171">
      <c r="A171" s="3"/>
      <c r="B171" s="6" t="s">
        <v>170</v>
      </c>
      <c r="C171" s="36">
        <v>15197</v>
      </c>
      <c r="D171" s="25">
        <f>G171-D172</f>
        <v>14606</v>
      </c>
      <c r="E171" s="36">
        <v>14200</v>
      </c>
      <c r="F171" s="36">
        <v>17666</v>
      </c>
      <c r="G171" s="36">
        <v>58287</v>
      </c>
      <c r="H171" s="43" t="s">
        <v>38</v>
      </c>
      <c r="I171" s="11" t="s">
        <v>171</v>
      </c>
    </row>
    <row r="172">
      <c r="A172" s="3"/>
      <c r="B172" s="6" t="s">
        <v>172</v>
      </c>
      <c r="C172" s="25"/>
      <c r="D172" s="36">
        <v>43681</v>
      </c>
      <c r="E172" s="25"/>
      <c r="F172" s="25"/>
      <c r="G172" s="25"/>
      <c r="H172" s="43"/>
      <c r="I172" s="11" t="s">
        <v>173</v>
      </c>
    </row>
    <row r="173">
      <c r="A173" s="3"/>
      <c r="B173" s="6" t="s">
        <v>174</v>
      </c>
      <c r="C173" s="28" t="b">
        <f>ABS(C162-C171)&lt;=2</f>
        <v>1</v>
      </c>
      <c r="D173" s="28" t="b">
        <f>ABS(D162-D171)&lt;=2</f>
        <v>1</v>
      </c>
      <c r="E173" s="28" t="b">
        <f>ABS(E162-E171)&lt;=2</f>
        <v>1</v>
      </c>
      <c r="F173" s="28" t="b">
        <f>ABS(F162-F171)&lt;=2</f>
        <v>1</v>
      </c>
      <c r="G173" s="28" t="b">
        <f>ABS(G162-G171)&lt;=2</f>
        <v>1</v>
      </c>
      <c r="H173" s="31" t="s">
        <v>38</v>
      </c>
      <c r="I173" s="11" t="s">
        <v>175</v>
      </c>
    </row>
    <row r="174">
      <c r="A174" s="3"/>
      <c r="B174" s="3"/>
      <c r="C174" s="22"/>
      <c r="D174" s="22"/>
      <c r="E174" s="22"/>
      <c r="F174" s="22"/>
      <c r="G174" s="22"/>
      <c r="H174" s="39"/>
      <c r="I174" s="3"/>
    </row>
    <row r="175">
      <c r="A175" s="3"/>
      <c r="B175" s="15" t="s">
        <v>176</v>
      </c>
      <c r="C175" s="22"/>
      <c r="D175" s="22"/>
      <c r="E175" s="22"/>
      <c r="F175" s="22"/>
      <c r="G175" s="22"/>
      <c r="H175" s="39"/>
      <c r="I175" s="3"/>
    </row>
    <row r="176" ht="14.624267578125">
      <c r="A176" s="3"/>
      <c r="B176" s="3" t="s">
        <v>177</v>
      </c>
      <c r="C176" s="27">
        <v>1138</v>
      </c>
      <c r="D176" s="27">
        <v>1043</v>
      </c>
      <c r="E176" s="27">
        <v>988</v>
      </c>
      <c r="F176" s="27">
        <v>1122</v>
      </c>
      <c r="G176" s="27">
        <v>4269</v>
      </c>
      <c r="H176" s="39">
        <f>H11*H180/1000</f>
        <v>1141.776922</v>
      </c>
      <c r="I176" s="11" t="s">
        <v>103</v>
      </c>
    </row>
    <row r="177" ht="14.624267578125">
      <c r="A177" s="3"/>
      <c r="B177" s="6" t="s">
        <v>80</v>
      </c>
      <c r="C177" s="36">
        <v>1096</v>
      </c>
      <c r="D177" s="36">
        <v>1021</v>
      </c>
      <c r="E177" s="36">
        <v>976</v>
      </c>
      <c r="F177" s="36">
        <v>1112</v>
      </c>
      <c r="G177" s="36">
        <v>4114</v>
      </c>
      <c r="H177" s="43">
        <f>C176</f>
        <v>1138</v>
      </c>
      <c r="I177" s="11" t="s">
        <v>94</v>
      </c>
    </row>
    <row r="178">
      <c r="A178" s="3"/>
      <c r="B178" s="6" t="s">
        <v>81</v>
      </c>
      <c r="C178" s="12">
        <f>IFERROR(C176/C177-1,"n.a.")</f>
        <v>0.038321167883211604</v>
      </c>
      <c r="D178" s="12">
        <f>IFERROR(D176/D177-1,"n.a.")</f>
        <v>0.021547502448579836</v>
      </c>
      <c r="E178" s="12">
        <f>IFERROR(E176/E177-1,"n.a.")</f>
        <v>0.012295081967213184</v>
      </c>
      <c r="F178" s="12">
        <f>IFERROR(F176/F177-1,"n.a.")</f>
        <v>0.008992805755395628</v>
      </c>
      <c r="G178" s="12">
        <f>IFERROR(G176/G177-1,"n.a.")</f>
        <v>0.0376762275157998</v>
      </c>
      <c r="H178" s="57">
        <f>IFERROR(H176/C176-1,"n.a.")</f>
        <v>0.0033189121265377874</v>
      </c>
      <c r="I178" s="3"/>
    </row>
    <row r="179">
      <c r="A179" s="3"/>
      <c r="B179" s="3" t="s">
        <v>95</v>
      </c>
      <c r="C179" s="22">
        <f>IFERROR(C176-F177,"n.a.")</f>
        <v>26</v>
      </c>
      <c r="D179" s="22">
        <f>IFERROR(D176-C176,"n.a.")</f>
        <v>-95</v>
      </c>
      <c r="E179" s="22">
        <f>IFERROR(E176-D176,"n.a.")</f>
        <v>-55</v>
      </c>
      <c r="F179" s="22">
        <f>IFERROR(F176-E176,"n.a.")</f>
        <v>134</v>
      </c>
      <c r="G179" s="22" t="s">
        <v>38</v>
      </c>
      <c r="H179" s="39">
        <f>IFERROR(H176-F176,"n.a.")</f>
        <v>19.776922000000013</v>
      </c>
      <c r="I179" s="3"/>
    </row>
    <row r="180">
      <c r="A180" s="3"/>
      <c r="B180" s="3" t="s">
        <v>178</v>
      </c>
      <c r="C180" s="5">
        <f>C176/C11*1000</f>
        <v>14.395223518101552</v>
      </c>
      <c r="D180" s="5">
        <f>D176/D11*1000</f>
        <v>14.298248019082608</v>
      </c>
      <c r="E180" s="5">
        <f>E176/E11*1000</f>
        <v>14.285094631522634</v>
      </c>
      <c r="F180" s="5">
        <f>F176/F11*1000</f>
        <v>14.25775789767962</v>
      </c>
      <c r="G180" s="5">
        <f>G176/G11*1000</f>
        <v>14.323340435169186</v>
      </c>
      <c r="H180" s="91">
        <v>14.3</v>
      </c>
      <c r="I180" s="11" t="s">
        <v>179</v>
      </c>
    </row>
    <row r="181" ht="14.624267578125">
      <c r="A181" s="3"/>
      <c r="B181" s="6" t="s">
        <v>180</v>
      </c>
      <c r="C181" s="87">
        <f>C177/C12*1000</f>
        <v>14.390378403928468</v>
      </c>
      <c r="D181" s="87">
        <f>D177/D12*1000</f>
        <v>14.173665579232317</v>
      </c>
      <c r="E181" s="87">
        <f>E177/E12*1000</f>
        <v>14.268797239806435</v>
      </c>
      <c r="F181" s="87">
        <f>F177/F12*1000</f>
        <v>14.321591860390239</v>
      </c>
      <c r="G181" s="87">
        <f>G177/G12*1000</f>
        <v>14.265206627044947</v>
      </c>
      <c r="H181" s="90">
        <f>C180</f>
        <v>14.395223518101552</v>
      </c>
      <c r="I181" s="3"/>
    </row>
    <row r="182">
      <c r="A182" s="3"/>
      <c r="B182" s="6" t="s">
        <v>81</v>
      </c>
      <c r="C182" s="12">
        <f>IFERROR(C180/C181-1,"n.a.")</f>
        <v>0.0003366912277833478</v>
      </c>
      <c r="D182" s="12">
        <f>IFERROR(D180/D181-1,"n.a.")</f>
        <v>0.008789712100505165</v>
      </c>
      <c r="E182" s="12">
        <f>IFERROR(E180/E181-1,"n.a.")</f>
        <v>0.0011421699700611132</v>
      </c>
      <c r="F182" s="12">
        <f>IFERROR(F180/F181-1,"n.a.")</f>
        <v>-0.004457183484411931</v>
      </c>
      <c r="G182" s="12">
        <f>IFERROR(G180/G181-1,"n.a.")</f>
        <v>0.004075216689397587</v>
      </c>
      <c r="H182" s="57">
        <f>IFERROR(H180/C180-1,"n.a.")</f>
        <v>-0.006614938488576527</v>
      </c>
      <c r="I182" s="3"/>
    </row>
    <row r="183">
      <c r="A183" s="3"/>
      <c r="B183" s="3" t="s">
        <v>95</v>
      </c>
      <c r="C183" s="5">
        <f>IFERROR(C180-F181,"n.a.")</f>
        <v>0.07363165771131364</v>
      </c>
      <c r="D183" s="5">
        <f>IFERROR(D180-C180,"n.a.")</f>
        <v>-0.09697549901894398</v>
      </c>
      <c r="E183" s="5">
        <f>IFERROR(E180-D180,"n.a.")</f>
        <v>-0.013153387559974306</v>
      </c>
      <c r="F183" s="5">
        <f>IFERROR(F180-E180,"n.a.")</f>
        <v>-0.027336733843014827</v>
      </c>
      <c r="G183" s="5" t="s">
        <v>38</v>
      </c>
      <c r="H183" s="68">
        <f>IFERROR(H180-F180,"n.a.")</f>
        <v>0.04224210232038139</v>
      </c>
      <c r="I183" s="3"/>
    </row>
    <row r="184">
      <c r="A184" s="3"/>
      <c r="B184" s="3" t="s">
        <v>181</v>
      </c>
      <c r="C184" s="23">
        <f>'Income Statement'!C23</f>
        <v>2570</v>
      </c>
      <c r="D184" s="23">
        <f>'Income Statement'!D23</f>
        <v>2380</v>
      </c>
      <c r="E184" s="23">
        <f>'Income Statement'!E23</f>
        <v>2742</v>
      </c>
      <c r="F184" s="23">
        <f>'Income Statement'!F23</f>
        <v>4109</v>
      </c>
      <c r="G184" s="23">
        <f>'Income Statement'!G23</f>
        <v>9819</v>
      </c>
      <c r="H184" s="47">
        <f>'Income Statement'!H23</f>
        <v>4389.371080475333</v>
      </c>
      <c r="I184" s="3"/>
    </row>
    <row r="185">
      <c r="A185" s="3"/>
      <c r="B185" s="3" t="s">
        <v>182</v>
      </c>
      <c r="C185" s="23">
        <f>'Income Statement'!C121</f>
        <v>5</v>
      </c>
      <c r="D185" s="23">
        <f>'Income Statement'!D121</f>
        <v>3</v>
      </c>
      <c r="E185" s="23">
        <f>'Income Statement'!E121</f>
        <v>151</v>
      </c>
      <c r="F185" s="23">
        <f>'Income Statement'!F121</f>
        <v>-301</v>
      </c>
      <c r="G185" s="23">
        <f>'Income Statement'!G121</f>
        <v>-21</v>
      </c>
      <c r="H185" s="47">
        <f>'Income Statement'!H121</f>
        <v>0</v>
      </c>
      <c r="I185" s="11" t="s">
        <v>183</v>
      </c>
    </row>
    <row r="186" ht="14.624267578125">
      <c r="A186" s="3"/>
      <c r="B186" s="15" t="s">
        <v>184</v>
      </c>
      <c r="C186" s="26">
        <f>C184-C185</f>
        <v>2565</v>
      </c>
      <c r="D186" s="26">
        <f>D184-D185</f>
        <v>2377</v>
      </c>
      <c r="E186" s="26">
        <f>E184-E185</f>
        <v>2591</v>
      </c>
      <c r="F186" s="26">
        <f>F184-F185</f>
        <v>4410</v>
      </c>
      <c r="G186" s="26">
        <f>G184-G185</f>
        <v>9840</v>
      </c>
      <c r="H186" s="40">
        <f>H176*H190</f>
        <v>4389.371080475333</v>
      </c>
      <c r="I186" s="11" t="s">
        <v>185</v>
      </c>
    </row>
    <row r="187" ht="14.624267578125">
      <c r="A187" s="3"/>
      <c r="B187" s="6" t="s">
        <v>186</v>
      </c>
      <c r="C187" s="36">
        <v>2771</v>
      </c>
      <c r="D187" s="36">
        <v>2391</v>
      </c>
      <c r="E187" s="36">
        <v>2395</v>
      </c>
      <c r="F187" s="36">
        <v>2497</v>
      </c>
      <c r="G187" s="36">
        <v>10544</v>
      </c>
      <c r="H187" s="43">
        <f>C186</f>
        <v>2565</v>
      </c>
      <c r="I187" s="11" t="s">
        <v>103</v>
      </c>
    </row>
    <row r="188" ht="14.624267578125">
      <c r="A188" s="3"/>
      <c r="B188" s="6" t="s">
        <v>81</v>
      </c>
      <c r="C188" s="12">
        <f>IFERROR(C186/C187-1,"n.a.")</f>
        <v>-0.0743413929989174</v>
      </c>
      <c r="D188" s="12">
        <f>IFERROR(D186/D187-1,"n.a.")</f>
        <v>-0.0058552906733584376</v>
      </c>
      <c r="E188" s="12">
        <f>IFERROR(E186/E187-1,"n.a.")</f>
        <v>0.08183716075156577</v>
      </c>
      <c r="F188" s="12">
        <f>IFERROR(F186/F187-1,"n.a.")</f>
        <v>0.7661193432118543</v>
      </c>
      <c r="G188" s="12">
        <f>IFERROR(G186/G187-1,"n.a.")</f>
        <v>-0.06676783004552356</v>
      </c>
      <c r="H188" s="57">
        <f>IFERROR(H186/C186-1,"n.a.")</f>
        <v>0.7112557818617282</v>
      </c>
      <c r="I188" s="3"/>
    </row>
    <row r="189" ht="14.624267578125">
      <c r="A189" s="3"/>
      <c r="B189" s="3" t="s">
        <v>95</v>
      </c>
      <c r="C189" s="22">
        <f>IFERROR(C186-F187,"n.a.")</f>
        <v>68</v>
      </c>
      <c r="D189" s="22">
        <f>IFERROR(D186-C186,"n.a.")</f>
        <v>-188</v>
      </c>
      <c r="E189" s="22">
        <f>IFERROR(E186-D186,"n.a.")</f>
        <v>214</v>
      </c>
      <c r="F189" s="22">
        <f>IFERROR(F186-E186,"n.a.")</f>
        <v>1819</v>
      </c>
      <c r="G189" s="22" t="s">
        <v>38</v>
      </c>
      <c r="H189" s="39">
        <f>IFERROR(H186-F186,"n.a.")</f>
        <v>-20.628919524667253</v>
      </c>
      <c r="I189" s="3"/>
    </row>
    <row r="190" ht="14.624267578125">
      <c r="A190" s="3"/>
      <c r="B190" s="3" t="s">
        <v>187</v>
      </c>
      <c r="C190" s="18">
        <f>C186/C176</f>
        <v>2.2539543057996485</v>
      </c>
      <c r="D190" s="18">
        <f>D186/D176</f>
        <v>2.2790028763183128</v>
      </c>
      <c r="E190" s="18">
        <f>E186/E176</f>
        <v>2.6224696356275303</v>
      </c>
      <c r="F190" s="18">
        <f>F186/F176</f>
        <v>3.93048128342246</v>
      </c>
      <c r="G190" s="18">
        <f>G186/G176</f>
        <v>2.3049894588896698</v>
      </c>
      <c r="H190" s="73">
        <f>'Segment - Refinery'!H105-'Segment - Refinery'!H108</f>
        <v>3.844333333333333</v>
      </c>
      <c r="I190" s="11" t="s">
        <v>188</v>
      </c>
    </row>
    <row r="191" ht="14.624267578125">
      <c r="A191" s="3"/>
      <c r="B191" s="6" t="s">
        <v>189</v>
      </c>
      <c r="C191" s="79">
        <v>2.53</v>
      </c>
      <c r="D191" s="79">
        <v>2.34</v>
      </c>
      <c r="E191" s="79">
        <v>2.45</v>
      </c>
      <c r="F191" s="79">
        <v>2.25</v>
      </c>
      <c r="G191" s="79">
        <v>2.56</v>
      </c>
      <c r="H191" s="82">
        <f>C190</f>
        <v>2.2539543057996485</v>
      </c>
      <c r="I191" s="11" t="s">
        <v>103</v>
      </c>
    </row>
    <row r="192">
      <c r="A192" s="3"/>
      <c r="B192" s="6" t="s">
        <v>81</v>
      </c>
      <c r="C192" s="12">
        <f>IFERROR(C190/C191-1,"n.a.")</f>
        <v>-0.10910897003966458</v>
      </c>
      <c r="D192" s="12">
        <f>IFERROR(D190/D191-1,"n.a.")</f>
        <v>-0.02606714687251588</v>
      </c>
      <c r="E192" s="12">
        <f>IFERROR(E190/E191-1,"n.a.")</f>
        <v>0.07039576964388994</v>
      </c>
      <c r="F192" s="12">
        <f>IFERROR(F190/F191-1,"n.a.")</f>
        <v>0.7468805704099823</v>
      </c>
      <c r="G192" s="12">
        <f>IFERROR(G190/G191-1,"n.a.")</f>
        <v>-0.09961349262122277</v>
      </c>
      <c r="H192" s="57">
        <f>IFERROR(H190/C190-1,"n.a.")</f>
        <v>0.705595061728395</v>
      </c>
      <c r="I192" s="3"/>
    </row>
    <row r="193">
      <c r="A193" s="3"/>
      <c r="B193" s="3" t="s">
        <v>95</v>
      </c>
      <c r="C193" s="18">
        <f>IFERROR(C190-F191,"n.a.")</f>
        <v>0.003954305799648505</v>
      </c>
      <c r="D193" s="18">
        <f>IFERROR(D190-C190,"n.a.")</f>
        <v>0.02504857051866427</v>
      </c>
      <c r="E193" s="18">
        <f>IFERROR(E190-D190,"n.a.")</f>
        <v>0.34346675930921755</v>
      </c>
      <c r="F193" s="18">
        <f>IFERROR(F190-E190,"n.a.")</f>
        <v>1.3080116477949297</v>
      </c>
      <c r="G193" s="18" t="s">
        <v>38</v>
      </c>
      <c r="H193" s="61">
        <f>IFERROR(H190-F190,"n.a.")</f>
        <v>-0.0861479500891269</v>
      </c>
      <c r="I193" s="3"/>
    </row>
    <row r="194">
      <c r="A194" s="3"/>
      <c r="B194" s="3" t="s">
        <v>190</v>
      </c>
      <c r="C194" s="18">
        <f>C184/C176</f>
        <v>2.258347978910369</v>
      </c>
      <c r="D194" s="18">
        <f>D184/D176</f>
        <v>2.2818791946308723</v>
      </c>
      <c r="E194" s="18">
        <f>E184/E176</f>
        <v>2.7753036437246963</v>
      </c>
      <c r="F194" s="18">
        <f>F184/F176</f>
        <v>3.662210338680927</v>
      </c>
      <c r="G194" s="18">
        <f>G184/G176</f>
        <v>2.3000702740688688</v>
      </c>
      <c r="H194" s="61">
        <f>H184/H176</f>
        <v>3.8443333333333327</v>
      </c>
      <c r="I194" s="3"/>
    </row>
    <row r="195">
      <c r="A195" s="3"/>
      <c r="B195" s="6" t="s">
        <v>191</v>
      </c>
      <c r="C195" s="92">
        <f>'Income Statement'!C24/C177</f>
        <v>2.5063868613138687</v>
      </c>
      <c r="D195" s="92">
        <f>'Income Statement'!D24/D177</f>
        <v>2.359451518119491</v>
      </c>
      <c r="E195" s="92">
        <f>'Income Statement'!E24/E177</f>
        <v>2.4692622950819674</v>
      </c>
      <c r="F195" s="92">
        <f>'Income Statement'!F24/F177</f>
        <v>2.210431654676259</v>
      </c>
      <c r="G195" s="92">
        <f>'Income Statement'!G24/G177</f>
        <v>2.568303354399611</v>
      </c>
      <c r="H195" s="82">
        <f>C194</f>
        <v>2.258347978910369</v>
      </c>
      <c r="I195" s="3"/>
    </row>
    <row r="196">
      <c r="A196" s="3"/>
      <c r="B196" s="6" t="s">
        <v>81</v>
      </c>
      <c r="C196" s="12">
        <f>IFERROR(C194/C195-1,"n.a.")</f>
        <v>-0.09896272847260135</v>
      </c>
      <c r="D196" s="12">
        <f>IFERROR(D194/D195-1,"n.a.")</f>
        <v>-0.03287726952340375</v>
      </c>
      <c r="E196" s="12">
        <f>IFERROR(E194/E195-1,"n.a.")</f>
        <v>0.12394039679473168</v>
      </c>
      <c r="F196" s="12">
        <f>IFERROR(F194/F195-1,"n.a.")</f>
        <v>0.6567851491510135</v>
      </c>
      <c r="G196" s="12">
        <f>IFERROR(G194/G195-1,"n.a.")</f>
        <v>-0.1044397967519094</v>
      </c>
      <c r="H196" s="57">
        <f>IFERROR(H194/C194-1,"n.a.")</f>
        <v>0.702276783398184</v>
      </c>
      <c r="I196" s="3"/>
    </row>
    <row r="197" ht="14.624267578125">
      <c r="A197" s="3"/>
      <c r="B197" s="3" t="s">
        <v>95</v>
      </c>
      <c r="C197" s="18">
        <f>IFERROR(C194-F195,"n.a.")</f>
        <v>0.047916324234110075</v>
      </c>
      <c r="D197" s="18">
        <f>IFERROR(D194-C194,"n.a.")</f>
        <v>0.02353121572050343</v>
      </c>
      <c r="E197" s="18">
        <f>IFERROR(E194-D194,"n.a.")</f>
        <v>0.493424449093824</v>
      </c>
      <c r="F197" s="18">
        <f>IFERROR(F194-E194,"n.a.")</f>
        <v>0.8869066949562305</v>
      </c>
      <c r="G197" s="18" t="s">
        <v>38</v>
      </c>
      <c r="H197" s="61">
        <f>IFERROR(H194-F194,"n.a.")</f>
        <v>0.1821229946524059</v>
      </c>
      <c r="I197" s="3"/>
    </row>
    <row r="198">
      <c r="A198" s="3"/>
      <c r="B198" s="3" t="s">
        <v>192</v>
      </c>
      <c r="C198" s="18" t="s">
        <v>38</v>
      </c>
      <c r="D198" s="18" t="s">
        <v>38</v>
      </c>
      <c r="E198" s="24">
        <v>2.031</v>
      </c>
      <c r="F198" s="24">
        <v>3.928</v>
      </c>
      <c r="G198" s="18" t="s">
        <v>38</v>
      </c>
      <c r="H198" s="60">
        <v>3.403</v>
      </c>
      <c r="I198" s="11" t="s">
        <v>193</v>
      </c>
    </row>
    <row r="199">
      <c r="A199" s="3"/>
      <c r="B199" s="3" t="s">
        <v>194</v>
      </c>
      <c r="C199" s="18" t="s">
        <v>38</v>
      </c>
      <c r="D199" s="18" t="s">
        <v>38</v>
      </c>
      <c r="E199" s="24">
        <v>2.262</v>
      </c>
      <c r="F199" s="24">
        <v>3.943</v>
      </c>
      <c r="G199" s="18" t="s">
        <v>38</v>
      </c>
      <c r="H199" s="60">
        <v>3.724</v>
      </c>
      <c r="I199" s="11" t="s">
        <v>195</v>
      </c>
    </row>
    <row r="200">
      <c r="A200" s="3"/>
      <c r="B200" s="3" t="s">
        <v>196</v>
      </c>
      <c r="C200" s="18" t="s">
        <v>38</v>
      </c>
      <c r="D200" s="18" t="s">
        <v>38</v>
      </c>
      <c r="E200" s="24">
        <v>3.697</v>
      </c>
      <c r="F200" s="24">
        <v>3.042</v>
      </c>
      <c r="G200" s="18" t="s">
        <v>38</v>
      </c>
      <c r="H200" s="60">
        <v>4.39</v>
      </c>
      <c r="I200" s="11" t="s">
        <v>197</v>
      </c>
    </row>
    <row r="201">
      <c r="A201" s="3"/>
      <c r="B201" s="15" t="s">
        <v>198</v>
      </c>
      <c r="C201" s="107" t="str">
        <f>IF(COUNT(C198:C200)=3,AVERAGE(C198:C200),"n.a.")</f>
        <v>n.a.</v>
      </c>
      <c r="D201" s="107" t="str">
        <f>IF(COUNT(D198:D200)=3,AVERAGE(D198:D200),"n.a.")</f>
        <v>n.a.</v>
      </c>
      <c r="E201" s="107">
        <f>IF(COUNT(E198:E200)=3,AVERAGE(E198:E200),"n.a.")</f>
        <v>2.6633333333333336</v>
      </c>
      <c r="F201" s="107">
        <f>IF(COUNT(F198:F200)=3,AVERAGE(F198:F200),"n.a.")</f>
        <v>3.6376666666666666</v>
      </c>
      <c r="G201" s="107" t="str">
        <f>IF(COUNT(G198:G200)=3,AVERAGE(G198:G200),"n.a.")</f>
        <v>n.a.</v>
      </c>
      <c r="H201" s="106">
        <f>IF(COUNT(H198:H200)=3,AVERAGE(H198:H200),"n.a.")</f>
        <v>3.839</v>
      </c>
      <c r="I201" s="108" t="s">
        <v>199</v>
      </c>
    </row>
    <row r="202">
      <c r="A202" s="3"/>
      <c r="B202" s="3" t="s">
        <v>95</v>
      </c>
      <c r="C202" s="18" t="s">
        <v>38</v>
      </c>
      <c r="D202" s="18" t="str">
        <f>IFERROR(D201-C201,"n.a.")</f>
        <v>n.a.</v>
      </c>
      <c r="E202" s="18" t="str">
        <f>IFERROR(E201-D201,"n.a.")</f>
        <v>n.a.</v>
      </c>
      <c r="F202" s="18">
        <f>IFERROR(F201-E201,"n.a.")</f>
        <v>0.974333333333333</v>
      </c>
      <c r="G202" s="18" t="s">
        <v>38</v>
      </c>
      <c r="H202" s="61">
        <f>IFERROR(H201-F201,"n.a.")</f>
        <v>0.20133333333333336</v>
      </c>
      <c r="I202" s="3"/>
    </row>
    <row r="203">
      <c r="A203" s="3"/>
      <c r="B203" s="6" t="s">
        <v>81</v>
      </c>
      <c r="C203" s="12" t="s">
        <v>38</v>
      </c>
      <c r="D203" s="12" t="s">
        <v>38</v>
      </c>
      <c r="E203" s="12" t="s">
        <v>38</v>
      </c>
      <c r="F203" s="12" t="s">
        <v>38</v>
      </c>
      <c r="G203" s="12" t="s">
        <v>38</v>
      </c>
      <c r="H203" s="57" t="s">
        <v>38</v>
      </c>
      <c r="I203" s="11" t="s">
        <v>200</v>
      </c>
    </row>
    <row r="204">
      <c r="A204" s="3"/>
      <c r="B204" s="3" t="s">
        <v>201</v>
      </c>
      <c r="C204" s="18" t="str">
        <f>IFERROR(C190-C201,"n.a.")</f>
        <v>n.a.</v>
      </c>
      <c r="D204" s="18" t="str">
        <f>IFERROR(D190-D201,"n.a.")</f>
        <v>n.a.</v>
      </c>
      <c r="E204" s="18">
        <f>IFERROR(E190-E201,"n.a.")</f>
        <v>-0.040863697705803226</v>
      </c>
      <c r="F204" s="18">
        <f>IFERROR(F190-F201,"n.a.")</f>
        <v>0.29281461675579346</v>
      </c>
      <c r="G204" s="18" t="str">
        <f>IFERROR(G190-G201,"n.a.")</f>
        <v>n.a.</v>
      </c>
      <c r="H204" s="61">
        <f>IFERROR(H190-H201,"n.a.")</f>
        <v>0.00533333333333319</v>
      </c>
      <c r="I204" s="3"/>
    </row>
    <row r="205">
      <c r="A205" s="3"/>
      <c r="B205" s="3" t="s">
        <v>95</v>
      </c>
      <c r="C205" s="18" t="s">
        <v>38</v>
      </c>
      <c r="D205" s="18" t="str">
        <f>IFERROR(D204-C204,"n.a.")</f>
        <v>n.a.</v>
      </c>
      <c r="E205" s="18" t="str">
        <f>IFERROR(E204-D204,"n.a.")</f>
        <v>n.a.</v>
      </c>
      <c r="F205" s="18">
        <f>IFERROR(F204-E204,"n.a.")</f>
        <v>0.3336783144615967</v>
      </c>
      <c r="G205" s="18" t="s">
        <v>38</v>
      </c>
      <c r="H205" s="61">
        <f>IFERROR(H204-F204,"n.a.")</f>
        <v>-0.28748128342246027</v>
      </c>
      <c r="I205" s="3"/>
    </row>
    <row r="206">
      <c r="A206" s="3"/>
      <c r="B206" s="3" t="s">
        <v>202</v>
      </c>
      <c r="C206" s="18" t="s">
        <v>38</v>
      </c>
      <c r="D206" s="18" t="s">
        <v>38</v>
      </c>
      <c r="E206" s="18" t="s">
        <v>38</v>
      </c>
      <c r="F206" s="18" t="s">
        <v>38</v>
      </c>
      <c r="G206" s="18" t="s">
        <v>38</v>
      </c>
      <c r="H206" s="61" t="s">
        <v>38</v>
      </c>
      <c r="I206" s="11" t="s">
        <v>200</v>
      </c>
    </row>
    <row r="207">
      <c r="A207" s="3"/>
      <c r="B207" s="15" t="s">
        <v>203</v>
      </c>
      <c r="C207" s="81" t="s">
        <v>38</v>
      </c>
      <c r="D207" s="81" t="s">
        <v>38</v>
      </c>
      <c r="E207" s="81" t="s">
        <v>38</v>
      </c>
      <c r="F207" s="81">
        <f>((E200+F198)/2+(F198+F199)/2+(F199+F200)/2)/3</f>
        <v>3.7468333333333335</v>
      </c>
      <c r="G207" s="81" t="s">
        <v>38</v>
      </c>
      <c r="H207" s="85">
        <f>((F200+H198)/2+(H198+H199)/2+(H199+H200)/2)/3</f>
        <v>3.614333333333333</v>
      </c>
      <c r="I207" s="11" t="s">
        <v>204</v>
      </c>
    </row>
    <row r="208">
      <c r="A208" s="3"/>
      <c r="B208" s="3" t="s">
        <v>95</v>
      </c>
      <c r="C208" s="18" t="s">
        <v>38</v>
      </c>
      <c r="D208" s="18" t="str">
        <f>IFERROR(D207-C207,"n.a.")</f>
        <v>n.a.</v>
      </c>
      <c r="E208" s="18" t="str">
        <f>IFERROR(E207-D207,"n.a.")</f>
        <v>n.a.</v>
      </c>
      <c r="F208" s="18" t="str">
        <f>IFERROR(F207-E207,"n.a.")</f>
        <v>n.a.</v>
      </c>
      <c r="G208" s="18" t="s">
        <v>38</v>
      </c>
      <c r="H208" s="61">
        <f>IFERROR(H207-F207,"n.a.")</f>
        <v>-0.13250000000000028</v>
      </c>
      <c r="I208" s="3"/>
    </row>
    <row r="209">
      <c r="A209" s="3"/>
      <c r="B209" s="6" t="s">
        <v>81</v>
      </c>
      <c r="C209" s="12" t="s">
        <v>38</v>
      </c>
      <c r="D209" s="12" t="s">
        <v>38</v>
      </c>
      <c r="E209" s="12" t="s">
        <v>38</v>
      </c>
      <c r="F209" s="12" t="s">
        <v>38</v>
      </c>
      <c r="G209" s="12" t="s">
        <v>38</v>
      </c>
      <c r="H209" s="57" t="s">
        <v>38</v>
      </c>
      <c r="I209" s="11" t="s">
        <v>200</v>
      </c>
    </row>
    <row r="210">
      <c r="A210" s="3"/>
      <c r="B210" s="3" t="s">
        <v>205</v>
      </c>
      <c r="C210" s="18" t="s">
        <v>38</v>
      </c>
      <c r="D210" s="18" t="s">
        <v>38</v>
      </c>
      <c r="E210" s="18" t="s">
        <v>38</v>
      </c>
      <c r="F210" s="8">
        <f>'Segment - Refinery'!F105-F207</f>
        <v>0.2936479500891269</v>
      </c>
      <c r="G210" s="18" t="s">
        <v>38</v>
      </c>
      <c r="H210" s="60">
        <v>0.33</v>
      </c>
      <c r="I210" s="11" t="s">
        <v>206</v>
      </c>
    </row>
    <row r="211">
      <c r="A211" s="3"/>
      <c r="B211" s="3" t="s">
        <v>95</v>
      </c>
      <c r="C211" s="18" t="s">
        <v>38</v>
      </c>
      <c r="D211" s="18" t="str">
        <f>IFERROR(D210-C210,"n.a.")</f>
        <v>n.a.</v>
      </c>
      <c r="E211" s="18" t="str">
        <f>IFERROR(E210-D210,"n.a.")</f>
        <v>n.a.</v>
      </c>
      <c r="F211" s="18" t="str">
        <f>IFERROR(F210-E210,"n.a.")</f>
        <v>n.a.</v>
      </c>
      <c r="G211" s="18" t="s">
        <v>38</v>
      </c>
      <c r="H211" s="61">
        <f>IFERROR(H210-F210,"n.a.")</f>
        <v>0.0363520499108731</v>
      </c>
      <c r="I211" s="3"/>
    </row>
    <row r="212" ht="14.624267578125">
      <c r="A212" s="3"/>
      <c r="B212" s="3" t="s">
        <v>202</v>
      </c>
      <c r="C212" s="18" t="s">
        <v>38</v>
      </c>
      <c r="D212" s="18" t="s">
        <v>38</v>
      </c>
      <c r="E212" s="18" t="s">
        <v>38</v>
      </c>
      <c r="F212" s="18" t="s">
        <v>38</v>
      </c>
      <c r="G212" s="18" t="s">
        <v>38</v>
      </c>
      <c r="H212" s="61" t="s">
        <v>38</v>
      </c>
      <c r="I212" s="11" t="s">
        <v>207</v>
      </c>
    </row>
    <row r="213">
      <c r="A213" s="3"/>
      <c r="B213" s="3" t="s">
        <v>208</v>
      </c>
      <c r="C213" s="18"/>
      <c r="D213" s="18"/>
      <c r="E213" s="18"/>
      <c r="F213" s="18"/>
      <c r="G213" s="18"/>
      <c r="H213" s="73">
        <f>Guidance!F29</f>
        <v>3.15</v>
      </c>
      <c r="I213" s="3"/>
    </row>
    <row r="214">
      <c r="A214" s="3"/>
      <c r="B214" s="3" t="s">
        <v>209</v>
      </c>
      <c r="C214" s="22"/>
      <c r="D214" s="22"/>
      <c r="E214" s="22"/>
      <c r="F214" s="22"/>
      <c r="G214" s="22"/>
      <c r="H214" s="39">
        <f>(H190-H213)*H176</f>
        <v>792.7737761753333</v>
      </c>
      <c r="I214" s="11" t="s">
        <v>210</v>
      </c>
    </row>
    <row r="215" ht="14.624267578125">
      <c r="A215" s="3"/>
      <c r="B215" s="3"/>
      <c r="C215" s="22"/>
      <c r="D215" s="22"/>
      <c r="E215" s="22"/>
      <c r="F215" s="22"/>
      <c r="G215" s="22"/>
      <c r="H215" s="39"/>
      <c r="I215" s="3"/>
    </row>
    <row r="216">
      <c r="A216" s="3"/>
      <c r="B216" s="15" t="s">
        <v>211</v>
      </c>
      <c r="C216" s="22"/>
      <c r="D216" s="22"/>
      <c r="E216" s="22"/>
      <c r="F216" s="22"/>
      <c r="G216" s="22"/>
      <c r="H216" s="39"/>
      <c r="I216" s="3"/>
    </row>
    <row r="217" ht="14.624267578125">
      <c r="A217" s="3"/>
      <c r="B217" s="3" t="s">
        <v>212</v>
      </c>
      <c r="C217" s="22">
        <f>C218*C11/100</f>
        <v>10340.2632</v>
      </c>
      <c r="D217" s="22" t="s">
        <v>38</v>
      </c>
      <c r="E217" s="23">
        <f>'Income Statement'!E144</f>
        <v>10464</v>
      </c>
      <c r="F217" s="23">
        <f>'Income Statement'!F144</f>
        <v>11092</v>
      </c>
      <c r="G217" s="22" t="s">
        <v>38</v>
      </c>
      <c r="H217" s="47">
        <f>'Income Statement'!H144</f>
        <v>11141.856999999998</v>
      </c>
      <c r="I217" s="11" t="s">
        <v>213</v>
      </c>
    </row>
    <row r="218">
      <c r="A218" s="3"/>
      <c r="B218" s="3" t="s">
        <v>214</v>
      </c>
      <c r="C218" s="48">
        <v>13.08</v>
      </c>
      <c r="D218" s="5" t="s">
        <v>38</v>
      </c>
      <c r="E218" s="5">
        <f>E217/E11*100</f>
        <v>15.12947674334543</v>
      </c>
      <c r="F218" s="5">
        <f>F217/F11*100</f>
        <v>14.09510254911429</v>
      </c>
      <c r="G218" s="5" t="s">
        <v>38</v>
      </c>
      <c r="H218" s="68">
        <f>H217/H11*100</f>
        <v>13.954438212055575</v>
      </c>
      <c r="I218" s="11" t="s">
        <v>215</v>
      </c>
    </row>
    <row r="219">
      <c r="A219" s="3"/>
      <c r="B219" s="6" t="s">
        <v>216</v>
      </c>
      <c r="C219" s="87" t="s">
        <v>38</v>
      </c>
      <c r="D219" s="87" t="s">
        <v>38</v>
      </c>
      <c r="E219" s="86">
        <v>14.23</v>
      </c>
      <c r="F219" s="86">
        <v>13.2</v>
      </c>
      <c r="G219" s="87" t="s">
        <v>38</v>
      </c>
      <c r="H219" s="90">
        <f>C218</f>
        <v>13.08</v>
      </c>
      <c r="I219" s="11" t="s">
        <v>217</v>
      </c>
    </row>
    <row r="220">
      <c r="A220" s="3"/>
      <c r="B220" s="6" t="s">
        <v>81</v>
      </c>
      <c r="C220" s="12" t="str">
        <f>IFERROR(C218/C219-1,"n.a.")</f>
        <v>n.a.</v>
      </c>
      <c r="D220" s="12" t="str">
        <f>IFERROR(D218/D219-1,"n.a.")</f>
        <v>n.a.</v>
      </c>
      <c r="E220" s="12">
        <f>IFERROR(E218/E219-1,"n.a.")</f>
        <v>0.06320989060754956</v>
      </c>
      <c r="F220" s="12">
        <f>IFERROR(F218/F219-1,"n.a.")</f>
        <v>0.06781079917532518</v>
      </c>
      <c r="G220" s="12" t="str">
        <f>IFERROR(G218/G219-1,"n.a.")</f>
        <v>n.a.</v>
      </c>
      <c r="H220" s="57">
        <f>IFERROR(H218/C218-1,"n.a.")</f>
        <v>0.06685307431617549</v>
      </c>
      <c r="I220" s="3"/>
    </row>
    <row r="221">
      <c r="A221" s="3"/>
      <c r="B221" s="3" t="s">
        <v>95</v>
      </c>
      <c r="C221" s="5">
        <f>IFERROR(C218-F219,"n.a.")</f>
        <v>-0.11999999999999922</v>
      </c>
      <c r="D221" s="5" t="str">
        <f>IFERROR(D218-C218,"n.a.")</f>
        <v>n.a.</v>
      </c>
      <c r="E221" s="5" t="str">
        <f>IFERROR(E218-D218,"n.a.")</f>
        <v>n.a.</v>
      </c>
      <c r="F221" s="5">
        <f>IFERROR(F218-E218,"n.a.")</f>
        <v>-1.0343741942311393</v>
      </c>
      <c r="G221" s="5" t="s">
        <v>38</v>
      </c>
      <c r="H221" s="68">
        <f>IFERROR(H218-F218,"n.a.")</f>
        <v>-0.14066433705871617</v>
      </c>
      <c r="I221" s="3"/>
    </row>
    <row r="222">
      <c r="A222" s="3"/>
      <c r="B222" s="6" t="s">
        <v>218</v>
      </c>
      <c r="C222" s="86">
        <v>13.35</v>
      </c>
      <c r="D222" s="86">
        <v>14.27</v>
      </c>
      <c r="E222" s="87" t="s">
        <v>38</v>
      </c>
      <c r="F222" s="87" t="s">
        <v>38</v>
      </c>
      <c r="G222" s="86">
        <v>13.86</v>
      </c>
      <c r="H222" s="90" t="s">
        <v>38</v>
      </c>
      <c r="I222" s="11" t="s">
        <v>219</v>
      </c>
    </row>
    <row r="223">
      <c r="A223" s="3"/>
      <c r="B223" s="3"/>
      <c r="C223" s="22"/>
      <c r="D223" s="22"/>
      <c r="E223" s="22"/>
      <c r="F223" s="22"/>
      <c r="G223" s="22"/>
      <c r="H223" s="39"/>
      <c r="I223" s="3"/>
    </row>
    <row r="224">
      <c r="A224" s="3"/>
      <c r="B224" s="15" t="s">
        <v>220</v>
      </c>
      <c r="C224" s="22"/>
      <c r="D224" s="22"/>
      <c r="E224" s="22"/>
      <c r="F224" s="22"/>
      <c r="G224" s="22"/>
      <c r="H224" s="39"/>
      <c r="I224" s="3"/>
    </row>
    <row r="225">
      <c r="A225" s="3"/>
      <c r="B225" s="3" t="s">
        <v>221</v>
      </c>
      <c r="C225" s="23">
        <f>'Income Statement'!C20</f>
        <v>4443</v>
      </c>
      <c r="D225" s="23">
        <f>'Income Statement'!D20</f>
        <v>4592</v>
      </c>
      <c r="E225" s="23">
        <f>'Income Statement'!E20</f>
        <v>4541</v>
      </c>
      <c r="F225" s="23">
        <f>'Income Statement'!F20</f>
        <v>4762</v>
      </c>
      <c r="G225" s="23">
        <f>'Income Statement'!G20</f>
        <v>17520</v>
      </c>
      <c r="H225" s="47">
        <f>'Income Statement'!H20</f>
        <v>4789.554</v>
      </c>
      <c r="I225" s="3"/>
    </row>
    <row r="226">
      <c r="A226" s="3"/>
      <c r="B226" s="3" t="s">
        <v>222</v>
      </c>
      <c r="C226" s="23">
        <f>'Income Statement'!C23</f>
        <v>2570</v>
      </c>
      <c r="D226" s="23">
        <f>'Income Statement'!D23</f>
        <v>2380</v>
      </c>
      <c r="E226" s="23">
        <f>'Income Statement'!E23</f>
        <v>2742</v>
      </c>
      <c r="F226" s="23">
        <f>'Income Statement'!F23</f>
        <v>4109</v>
      </c>
      <c r="G226" s="23">
        <f>'Income Statement'!G23</f>
        <v>9819</v>
      </c>
      <c r="H226" s="47">
        <f>'Income Statement'!H23</f>
        <v>4389.371080475333</v>
      </c>
      <c r="I226" s="3"/>
    </row>
    <row r="227">
      <c r="A227" s="3"/>
      <c r="B227" s="3" t="s">
        <v>223</v>
      </c>
      <c r="C227" s="23">
        <f>'Income Statement'!C47</f>
        <v>614</v>
      </c>
      <c r="D227" s="23">
        <f>'Income Statement'!D47</f>
        <v>620</v>
      </c>
      <c r="E227" s="23">
        <f>'Income Statement'!E47</f>
        <v>635</v>
      </c>
      <c r="F227" s="23">
        <f>'Income Statement'!F47</f>
        <v>656</v>
      </c>
      <c r="G227" s="23">
        <f>'Income Statement'!G47</f>
        <v>2443</v>
      </c>
      <c r="H227" s="47">
        <f>'Income Statement'!H47</f>
        <v>655.1379999999999</v>
      </c>
      <c r="I227" s="3"/>
    </row>
    <row r="228">
      <c r="A228" s="3"/>
      <c r="B228" s="3" t="s">
        <v>224</v>
      </c>
      <c r="C228" s="27">
        <v>5939</v>
      </c>
      <c r="D228" s="22">
        <f>G228-D229</f>
        <v>5662</v>
      </c>
      <c r="E228" s="27">
        <v>5742</v>
      </c>
      <c r="F228" s="27">
        <v>6626</v>
      </c>
      <c r="G228" s="27">
        <v>22840</v>
      </c>
      <c r="H228" s="39">
        <f>H162-H225-H226-H227-H230</f>
        <v>6413.490455990074</v>
      </c>
      <c r="I228" s="11" t="s">
        <v>225</v>
      </c>
    </row>
    <row r="229">
      <c r="A229" s="3"/>
      <c r="B229" s="6" t="s">
        <v>226</v>
      </c>
      <c r="C229" s="25"/>
      <c r="D229" s="36">
        <v>17178</v>
      </c>
      <c r="E229" s="25"/>
      <c r="F229" s="25"/>
      <c r="G229" s="25"/>
      <c r="H229" s="43"/>
      <c r="I229" s="11" t="s">
        <v>173</v>
      </c>
    </row>
    <row r="230">
      <c r="A230" s="3"/>
      <c r="B230" s="15" t="s">
        <v>227</v>
      </c>
      <c r="C230" s="62">
        <v>1631</v>
      </c>
      <c r="D230" s="26">
        <f>G230-D231</f>
        <v>1352</v>
      </c>
      <c r="E230" s="62">
        <v>540</v>
      </c>
      <c r="F230" s="62">
        <v>1513</v>
      </c>
      <c r="G230" s="62">
        <v>5665</v>
      </c>
      <c r="H230" s="94">
        <f>'Income Statement'!H72-'Segment - Refinery'!H87</f>
        <v>1511.9873385345893</v>
      </c>
      <c r="I230" s="11" t="s">
        <v>228</v>
      </c>
    </row>
    <row r="231">
      <c r="A231" s="3"/>
      <c r="B231" s="6" t="s">
        <v>229</v>
      </c>
      <c r="C231" s="25"/>
      <c r="D231" s="36">
        <v>4313</v>
      </c>
      <c r="E231" s="25"/>
      <c r="F231" s="25"/>
      <c r="G231" s="25"/>
      <c r="H231" s="43"/>
      <c r="I231" s="11" t="s">
        <v>173</v>
      </c>
    </row>
    <row r="232">
      <c r="A232" s="3"/>
      <c r="B232" s="6" t="s">
        <v>230</v>
      </c>
      <c r="C232" s="28" t="b">
        <f>ABS(C162-C225-C226-C227-C228-C230)&lt;=3</f>
        <v>1</v>
      </c>
      <c r="D232" s="28" t="b">
        <f>ABS(D162-D225-D226-D227-D228-D230)&lt;=3</f>
        <v>1</v>
      </c>
      <c r="E232" s="28" t="b">
        <f>ABS(E162-E225-E226-E227-E228-E230)&lt;=3</f>
        <v>1</v>
      </c>
      <c r="F232" s="28" t="b">
        <f>ABS(F162-F225-F226-F227-F228-F230)&lt;=3</f>
        <v>1</v>
      </c>
      <c r="G232" s="28" t="b">
        <f>ABS(G162-G225-G226-G227-G228-G230)&lt;=3</f>
        <v>1</v>
      </c>
      <c r="H232" s="31" t="b">
        <f>ABS(H162-H225-H226-H227-H228-H230)&lt;=3</f>
        <v>1</v>
      </c>
      <c r="I232" s="11" t="s">
        <v>231</v>
      </c>
    </row>
    <row r="233">
      <c r="A233" s="3"/>
      <c r="B233" s="6" t="s">
        <v>232</v>
      </c>
      <c r="C233" s="12">
        <f>C230/C162</f>
        <v>0.10732381391064026</v>
      </c>
      <c r="D233" s="12">
        <f>D230/D162</f>
        <v>0.09256469943858688</v>
      </c>
      <c r="E233" s="12">
        <f>E230/E162</f>
        <v>0.038028169014084505</v>
      </c>
      <c r="F233" s="12">
        <f>F230/F162</f>
        <v>0.08564474131099287</v>
      </c>
      <c r="G233" s="12">
        <f>G230/G162</f>
        <v>0.09719148352119683</v>
      </c>
      <c r="H233" s="57">
        <f>H230/H162</f>
        <v>0.08513662313551164</v>
      </c>
      <c r="I233" s="3"/>
    </row>
    <row r="234">
      <c r="A234" s="3"/>
      <c r="B234" s="6" t="s">
        <v>233</v>
      </c>
      <c r="C234" s="12">
        <f>C235/C163</f>
        <v>0.09798547348225298</v>
      </c>
      <c r="D234" s="12">
        <f>D235/D163</f>
        <v>0.12156265152039898</v>
      </c>
      <c r="E234" s="12">
        <f>E235/E163</f>
        <v>0.043920480813684694</v>
      </c>
      <c r="F234" s="12">
        <f>F235/F163</f>
        <v>0.13619655639388664</v>
      </c>
      <c r="G234" s="12">
        <f>G235/G163</f>
        <v>0.1045069384747636</v>
      </c>
      <c r="H234" s="57">
        <f>C233</f>
        <v>0.10732381391064026</v>
      </c>
      <c r="I234" s="3"/>
    </row>
    <row r="235">
      <c r="A235" s="3"/>
      <c r="B235" s="6" t="s">
        <v>234</v>
      </c>
      <c r="C235" s="36">
        <v>1430</v>
      </c>
      <c r="D235" s="25">
        <f>G235-D236</f>
        <v>1755</v>
      </c>
      <c r="E235" s="36">
        <v>570</v>
      </c>
      <c r="F235" s="36">
        <v>2112</v>
      </c>
      <c r="G235" s="36">
        <v>5957</v>
      </c>
      <c r="H235" s="43">
        <f>C230</f>
        <v>1631</v>
      </c>
      <c r="I235" s="11" t="s">
        <v>235</v>
      </c>
    </row>
    <row r="236">
      <c r="A236" s="3"/>
      <c r="B236" s="6" t="s">
        <v>236</v>
      </c>
      <c r="C236" s="25"/>
      <c r="D236" s="36">
        <v>4202</v>
      </c>
      <c r="E236" s="25"/>
      <c r="F236" s="25"/>
      <c r="G236" s="25"/>
      <c r="H236" s="43"/>
      <c r="I236" s="11" t="s">
        <v>173</v>
      </c>
    </row>
    <row r="237">
      <c r="A237" s="3"/>
      <c r="B237" s="6" t="s">
        <v>124</v>
      </c>
      <c r="C237" s="49">
        <f>IFERROR((C233-C234)*10000,"n.a.")</f>
        <v>93.38340428387285</v>
      </c>
      <c r="D237" s="49">
        <f>IFERROR((D233-D234)*10000,"n.a.")</f>
        <v>-289.97952081812105</v>
      </c>
      <c r="E237" s="49">
        <f>IFERROR((E233-E234)*10000,"n.a.")</f>
        <v>-58.92311799600189</v>
      </c>
      <c r="F237" s="49">
        <f>IFERROR((F233-F234)*10000,"n.a.")</f>
        <v>-505.51815082893773</v>
      </c>
      <c r="G237" s="49">
        <f>IFERROR((G233-G234)*10000,"n.a.")</f>
        <v>-73.15454953566766</v>
      </c>
      <c r="H237" s="69">
        <f>IFERROR((H233-C233)*10000,"n.a.")</f>
        <v>-221.87190775128624</v>
      </c>
      <c r="I237" s="3"/>
    </row>
    <row r="238">
      <c r="A238" s="3"/>
      <c r="B238" s="6" t="s">
        <v>125</v>
      </c>
      <c r="C238" s="49">
        <f>IFERROR((C233-F234)*10000,"n.a.")</f>
        <v>-288.7274248324638</v>
      </c>
      <c r="D238" s="49">
        <f>IFERROR((D233-C233)*10000,"n.a.")</f>
        <v>-147.59114472053386</v>
      </c>
      <c r="E238" s="49">
        <f>IFERROR((E233-D233)*10000,"n.a.")</f>
        <v>-545.3653042450237</v>
      </c>
      <c r="F238" s="49">
        <f>IFERROR((F233-E233)*10000,"n.a.")</f>
        <v>476.1657229690836</v>
      </c>
      <c r="G238" s="49" t="s">
        <v>38</v>
      </c>
      <c r="H238" s="69">
        <f>IFERROR((H233-F233)*10000,"n.a.")</f>
        <v>-5.081181754812286</v>
      </c>
      <c r="I238" s="3"/>
    </row>
    <row r="239">
      <c r="A239" s="3"/>
      <c r="B239" s="3" t="s">
        <v>237</v>
      </c>
      <c r="C239" s="27">
        <v>1724</v>
      </c>
      <c r="D239" s="22">
        <f>G239-D240</f>
        <v>1398</v>
      </c>
      <c r="E239" s="27">
        <v>-175</v>
      </c>
      <c r="F239" s="27">
        <v>1658</v>
      </c>
      <c r="G239" s="27">
        <v>6028</v>
      </c>
      <c r="H239" s="47">
        <f>'Income Statement'!H89-'Segment - Refinery'!H98</f>
        <v>1331.9873385345893</v>
      </c>
      <c r="I239" s="11" t="s">
        <v>228</v>
      </c>
    </row>
    <row r="240">
      <c r="A240" s="3"/>
      <c r="B240" s="6" t="s">
        <v>238</v>
      </c>
      <c r="C240" s="25"/>
      <c r="D240" s="36">
        <v>4630</v>
      </c>
      <c r="E240" s="25"/>
      <c r="F240" s="25"/>
      <c r="G240" s="25"/>
      <c r="H240" s="43"/>
      <c r="I240" s="11" t="s">
        <v>173</v>
      </c>
    </row>
    <row r="241">
      <c r="A241" s="3"/>
      <c r="B241" s="3" t="s">
        <v>239</v>
      </c>
      <c r="C241" s="27">
        <v>1151</v>
      </c>
      <c r="D241" s="22">
        <f>G241-D242</f>
        <v>894</v>
      </c>
      <c r="E241" s="27">
        <v>1183</v>
      </c>
      <c r="F241" s="27">
        <v>1442</v>
      </c>
      <c r="G241" s="27">
        <v>4431</v>
      </c>
      <c r="H241" s="47">
        <f>-('Cash Flow Statement'!H29+'Cash Flow Statement'!H30)-'Segment - Refinery'!H100</f>
        <v>1305</v>
      </c>
      <c r="I241" s="11" t="s">
        <v>228</v>
      </c>
    </row>
    <row r="242">
      <c r="A242" s="3"/>
      <c r="B242" s="6" t="s">
        <v>240</v>
      </c>
      <c r="C242" s="25"/>
      <c r="D242" s="36">
        <v>3537</v>
      </c>
      <c r="E242" s="25"/>
      <c r="F242" s="25"/>
      <c r="G242" s="25"/>
      <c r="H242" s="43"/>
      <c r="I242" s="11" t="s">
        <v>173</v>
      </c>
    </row>
    <row r="243">
      <c r="A243" s="3"/>
      <c r="B243" s="3" t="s">
        <v>241</v>
      </c>
      <c r="C243" s="27">
        <v>76961</v>
      </c>
      <c r="D243" s="27">
        <v>78826</v>
      </c>
      <c r="E243" s="27">
        <v>81617</v>
      </c>
      <c r="F243" s="27">
        <v>82878</v>
      </c>
      <c r="G243" s="22">
        <f>D243</f>
        <v>78826</v>
      </c>
      <c r="H243" s="39" t="s">
        <v>38</v>
      </c>
      <c r="I243" s="11" t="s">
        <v>228</v>
      </c>
    </row>
    <row r="244">
      <c r="A244" s="3"/>
      <c r="B244" s="3"/>
      <c r="C244" s="3"/>
      <c r="D244" s="3"/>
      <c r="E244" s="3"/>
      <c r="F244" s="3"/>
      <c r="G244" s="3"/>
      <c r="H244" s="3"/>
      <c r="I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242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243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244</v>
      </c>
      <c r="C11" s="22" t="s">
        <v>38</v>
      </c>
      <c r="D11" s="22" t="s">
        <v>38</v>
      </c>
      <c r="E11" s="27">
        <v>200</v>
      </c>
      <c r="F11" s="27">
        <v>200</v>
      </c>
      <c r="G11" s="22" t="s">
        <v>38</v>
      </c>
      <c r="H11" s="30">
        <v>200</v>
      </c>
      <c r="I11" s="11" t="s">
        <v>245</v>
      </c>
    </row>
    <row r="12">
      <c r="A12" s="3"/>
      <c r="B12" s="3" t="s">
        <v>95</v>
      </c>
      <c r="C12" s="22" t="s">
        <v>38</v>
      </c>
      <c r="D12" s="22" t="s">
        <v>38</v>
      </c>
      <c r="E12" s="22" t="s">
        <v>38</v>
      </c>
      <c r="F12" s="22">
        <f>F11-E11</f>
        <v>0</v>
      </c>
      <c r="G12" s="22" t="s">
        <v>38</v>
      </c>
      <c r="H12" s="39">
        <f>H11-F11</f>
        <v>0</v>
      </c>
      <c r="I12" s="3"/>
    </row>
    <row r="13">
      <c r="A13" s="3"/>
      <c r="B13" s="6" t="s">
        <v>81</v>
      </c>
      <c r="C13" s="12" t="s">
        <v>38</v>
      </c>
      <c r="D13" s="12" t="s">
        <v>38</v>
      </c>
      <c r="E13" s="12" t="s">
        <v>38</v>
      </c>
      <c r="F13" s="12" t="s">
        <v>38</v>
      </c>
      <c r="G13" s="12" t="s">
        <v>38</v>
      </c>
      <c r="H13" s="57" t="s">
        <v>38</v>
      </c>
      <c r="I13" s="11" t="s">
        <v>246</v>
      </c>
    </row>
    <row r="14">
      <c r="A14" s="3"/>
      <c r="B14" s="3" t="s">
        <v>247</v>
      </c>
      <c r="C14" s="64">
        <f>C8</f>
        <v>92</v>
      </c>
      <c r="D14" s="64">
        <f>D8</f>
        <v>92</v>
      </c>
      <c r="E14" s="64">
        <f>E8</f>
        <v>90</v>
      </c>
      <c r="F14" s="64">
        <f>F8</f>
        <v>91</v>
      </c>
      <c r="G14" s="64">
        <f>G8</f>
        <v>365</v>
      </c>
      <c r="H14" s="75">
        <f>H8</f>
        <v>92</v>
      </c>
      <c r="I14" s="3"/>
    </row>
    <row r="15">
      <c r="A15" s="3"/>
      <c r="B15" s="15" t="s">
        <v>248</v>
      </c>
      <c r="C15" s="26" t="s">
        <v>38</v>
      </c>
      <c r="D15" s="26" t="s">
        <v>38</v>
      </c>
      <c r="E15" s="26">
        <f>E11*E14/1000</f>
        <v>18</v>
      </c>
      <c r="F15" s="26">
        <f>F11*F14/1000</f>
        <v>18.2</v>
      </c>
      <c r="G15" s="26" t="s">
        <v>38</v>
      </c>
      <c r="H15" s="40">
        <f>H11*H14/1000</f>
        <v>18.4</v>
      </c>
      <c r="I15" s="3"/>
    </row>
    <row r="16">
      <c r="A16" s="3"/>
      <c r="B16" s="6" t="s">
        <v>249</v>
      </c>
      <c r="C16" s="12" t="s">
        <v>38</v>
      </c>
      <c r="D16" s="12" t="s">
        <v>38</v>
      </c>
      <c r="E16" s="12" t="s">
        <v>38</v>
      </c>
      <c r="F16" s="12">
        <f>F15/E15-1</f>
        <v>0.011111111111111072</v>
      </c>
      <c r="G16" s="12" t="s">
        <v>38</v>
      </c>
      <c r="H16" s="57">
        <f>H15/F15-1</f>
        <v>0.01098901098901095</v>
      </c>
      <c r="I16" s="3"/>
    </row>
    <row r="17">
      <c r="A17" s="3"/>
      <c r="B17" s="3" t="s">
        <v>95</v>
      </c>
      <c r="C17" s="22" t="s">
        <v>38</v>
      </c>
      <c r="D17" s="22" t="s">
        <v>38</v>
      </c>
      <c r="E17" s="22" t="s">
        <v>38</v>
      </c>
      <c r="F17" s="22">
        <f>F15-E15</f>
        <v>0.1999999999999993</v>
      </c>
      <c r="G17" s="22" t="s">
        <v>38</v>
      </c>
      <c r="H17" s="39">
        <f>H15-F15</f>
        <v>0.1999999999999993</v>
      </c>
      <c r="I17" s="3"/>
    </row>
    <row r="18" ht="14.624267578125">
      <c r="A18" s="3"/>
      <c r="B18" s="6" t="s">
        <v>81</v>
      </c>
      <c r="C18" s="12" t="s">
        <v>38</v>
      </c>
      <c r="D18" s="12" t="s">
        <v>38</v>
      </c>
      <c r="E18" s="12" t="s">
        <v>38</v>
      </c>
      <c r="F18" s="12" t="s">
        <v>38</v>
      </c>
      <c r="G18" s="12" t="s">
        <v>38</v>
      </c>
      <c r="H18" s="57" t="s">
        <v>38</v>
      </c>
      <c r="I18" s="11" t="s">
        <v>250</v>
      </c>
    </row>
    <row r="19">
      <c r="A19" s="3"/>
      <c r="B19" s="3" t="s">
        <v>251</v>
      </c>
      <c r="C19" s="104" t="str">
        <f>'Segment - Airline'!C201</f>
        <v>n.a.</v>
      </c>
      <c r="D19" s="104" t="str">
        <f>'Segment - Airline'!D201</f>
        <v>n.a.</v>
      </c>
      <c r="E19" s="104">
        <f>'Segment - Airline'!E201</f>
        <v>2.6633333333333336</v>
      </c>
      <c r="F19" s="104">
        <f>'Segment - Airline'!F201</f>
        <v>3.6376666666666666</v>
      </c>
      <c r="G19" s="104" t="str">
        <f>'Segment - Airline'!G201</f>
        <v>n.a.</v>
      </c>
      <c r="H19" s="105">
        <f>'Segment - Airline'!H201</f>
        <v>3.839</v>
      </c>
      <c r="I19" s="3"/>
    </row>
    <row r="20">
      <c r="A20" s="3"/>
      <c r="B20" s="6" t="s">
        <v>252</v>
      </c>
      <c r="C20" s="12" t="s">
        <v>38</v>
      </c>
      <c r="D20" s="12" t="s">
        <v>38</v>
      </c>
      <c r="E20" s="12" t="s">
        <v>38</v>
      </c>
      <c r="F20" s="12">
        <f>F19/E19-1</f>
        <v>0.3658322903629536</v>
      </c>
      <c r="G20" s="12" t="s">
        <v>38</v>
      </c>
      <c r="H20" s="57">
        <f>H19/F19-1</f>
        <v>0.05534683405113161</v>
      </c>
      <c r="I20" s="3"/>
    </row>
    <row r="21" ht="14.624267578125">
      <c r="A21" s="3"/>
      <c r="B21" s="3" t="s">
        <v>95</v>
      </c>
      <c r="C21" s="18" t="s">
        <v>38</v>
      </c>
      <c r="D21" s="18" t="s">
        <v>38</v>
      </c>
      <c r="E21" s="18" t="s">
        <v>38</v>
      </c>
      <c r="F21" s="18">
        <f>F19-E19</f>
        <v>0.974333333333333</v>
      </c>
      <c r="G21" s="18" t="s">
        <v>38</v>
      </c>
      <c r="H21" s="61">
        <f>H19-F19</f>
        <v>0.20133333333333336</v>
      </c>
      <c r="I21" s="3"/>
    </row>
    <row r="22">
      <c r="A22" s="3"/>
      <c r="B22" s="6" t="s">
        <v>81</v>
      </c>
      <c r="C22" s="12" t="s">
        <v>38</v>
      </c>
      <c r="D22" s="12" t="s">
        <v>38</v>
      </c>
      <c r="E22" s="12" t="s">
        <v>38</v>
      </c>
      <c r="F22" s="12" t="s">
        <v>38</v>
      </c>
      <c r="G22" s="12" t="s">
        <v>38</v>
      </c>
      <c r="H22" s="57" t="s">
        <v>38</v>
      </c>
      <c r="I22" s="11" t="s">
        <v>200</v>
      </c>
    </row>
    <row r="23">
      <c r="A23" s="3"/>
      <c r="B23" s="3" t="s">
        <v>253</v>
      </c>
      <c r="C23" s="5" t="s">
        <v>38</v>
      </c>
      <c r="D23" s="5" t="s">
        <v>38</v>
      </c>
      <c r="E23" s="5">
        <f>E28/E15</f>
        <v>91.88888888888889</v>
      </c>
      <c r="F23" s="5">
        <f>F28/F15</f>
        <v>114.8901098901099</v>
      </c>
      <c r="G23" s="5" t="s">
        <v>38</v>
      </c>
      <c r="H23" s="68">
        <f>F23*(1+H20)</f>
        <v>121.24891373631408</v>
      </c>
      <c r="I23" s="11" t="s">
        <v>254</v>
      </c>
    </row>
    <row r="24">
      <c r="A24" s="3"/>
      <c r="B24" s="6" t="s">
        <v>82</v>
      </c>
      <c r="C24" s="12" t="s">
        <v>38</v>
      </c>
      <c r="D24" s="12" t="s">
        <v>38</v>
      </c>
      <c r="E24" s="12" t="s">
        <v>38</v>
      </c>
      <c r="F24" s="12">
        <f>F23/E23-1</f>
        <v>0.2503155852611718</v>
      </c>
      <c r="G24" s="12" t="s">
        <v>38</v>
      </c>
      <c r="H24" s="57">
        <f>H23/F23-1</f>
        <v>0.05534683405113161</v>
      </c>
      <c r="I24" s="3"/>
    </row>
    <row r="25">
      <c r="A25" s="3"/>
      <c r="B25" s="3" t="s">
        <v>95</v>
      </c>
      <c r="C25" s="5" t="s">
        <v>38</v>
      </c>
      <c r="D25" s="5" t="s">
        <v>38</v>
      </c>
      <c r="E25" s="5" t="s">
        <v>38</v>
      </c>
      <c r="F25" s="5">
        <f>F23-E23</f>
        <v>23.001221001221012</v>
      </c>
      <c r="G25" s="5" t="s">
        <v>38</v>
      </c>
      <c r="H25" s="68">
        <f>H23-F23</f>
        <v>6.358803846204182</v>
      </c>
      <c r="I25" s="3"/>
    </row>
    <row r="26">
      <c r="A26" s="3"/>
      <c r="B26" s="6" t="s">
        <v>81</v>
      </c>
      <c r="C26" s="12" t="s">
        <v>38</v>
      </c>
      <c r="D26" s="12" t="s">
        <v>38</v>
      </c>
      <c r="E26" s="12" t="s">
        <v>38</v>
      </c>
      <c r="F26" s="12" t="s">
        <v>38</v>
      </c>
      <c r="G26" s="12" t="s">
        <v>38</v>
      </c>
      <c r="H26" s="57" t="s">
        <v>38</v>
      </c>
      <c r="I26" s="11" t="s">
        <v>255</v>
      </c>
    </row>
    <row r="27">
      <c r="A27" s="3"/>
      <c r="B27" s="15" t="s">
        <v>256</v>
      </c>
      <c r="C27" s="22"/>
      <c r="D27" s="22"/>
      <c r="E27" s="22"/>
      <c r="F27" s="22"/>
      <c r="G27" s="22"/>
      <c r="H27" s="39"/>
      <c r="I27" s="3"/>
    </row>
    <row r="28">
      <c r="A28" s="3"/>
      <c r="B28" s="3" t="s">
        <v>257</v>
      </c>
      <c r="C28" s="27">
        <v>1476</v>
      </c>
      <c r="D28" s="27">
        <v>1397</v>
      </c>
      <c r="E28" s="27">
        <v>1654</v>
      </c>
      <c r="F28" s="27">
        <v>2091</v>
      </c>
      <c r="G28" s="27">
        <v>5077</v>
      </c>
      <c r="H28" s="39">
        <f>H23*H15</f>
        <v>2230.980012748179</v>
      </c>
      <c r="I28" s="11" t="s">
        <v>258</v>
      </c>
    </row>
    <row r="29">
      <c r="A29" s="3"/>
      <c r="B29" s="6" t="s">
        <v>80</v>
      </c>
      <c r="C29" s="36">
        <v>1083</v>
      </c>
      <c r="D29" s="36">
        <v>1122</v>
      </c>
      <c r="E29" s="36">
        <v>1062</v>
      </c>
      <c r="F29" s="36">
        <v>1141</v>
      </c>
      <c r="G29" s="36">
        <v>4642</v>
      </c>
      <c r="H29" s="43">
        <f>C28</f>
        <v>1476</v>
      </c>
      <c r="I29" s="11" t="s">
        <v>94</v>
      </c>
    </row>
    <row r="30">
      <c r="A30" s="3"/>
      <c r="B30" s="6" t="s">
        <v>81</v>
      </c>
      <c r="C30" s="12">
        <f>IFERROR(C28/C29-1,"n.a.")</f>
        <v>0.3628808864265929</v>
      </c>
      <c r="D30" s="12">
        <f>IFERROR(D28/D29-1,"n.a.")</f>
        <v>0.2450980392156863</v>
      </c>
      <c r="E30" s="12">
        <f>IFERROR(E28/E29-1,"n.a.")</f>
        <v>0.5574387947269304</v>
      </c>
      <c r="F30" s="12">
        <f>IFERROR(F28/F29-1,"n.a.")</f>
        <v>0.8326029798422436</v>
      </c>
      <c r="G30" s="12">
        <f>IFERROR(G28/G29-1,"n.a.")</f>
        <v>0.0937096079276174</v>
      </c>
      <c r="H30" s="57">
        <f>IFERROR(H28/C28-1,"n.a.")</f>
        <v>0.511504073677628</v>
      </c>
      <c r="I30" s="3"/>
    </row>
    <row r="31">
      <c r="A31" s="3"/>
      <c r="B31" s="6" t="s">
        <v>82</v>
      </c>
      <c r="C31" s="12">
        <f>IFERROR(C28/F29-1,"n.a.")</f>
        <v>0.29360210341805426</v>
      </c>
      <c r="D31" s="12">
        <f>IFERROR(D28/C28-1,"n.a.")</f>
        <v>-0.05352303523035229</v>
      </c>
      <c r="E31" s="12">
        <f>IFERROR(E28/D28-1,"n.a.")</f>
        <v>0.18396564065855414</v>
      </c>
      <c r="F31" s="12">
        <f>IFERROR(F28/E28-1,"n.a.")</f>
        <v>0.26420798065296247</v>
      </c>
      <c r="G31" s="12" t="s">
        <v>38</v>
      </c>
      <c r="H31" s="57">
        <f>IFERROR(H28/F28-1,"n.a.")</f>
        <v>0.06694405200773734</v>
      </c>
      <c r="I31" s="3"/>
    </row>
    <row r="32">
      <c r="A32" s="3"/>
      <c r="B32" s="3" t="s">
        <v>95</v>
      </c>
      <c r="C32" s="22">
        <f>IFERROR(C28-F29,"n.a.")</f>
        <v>335</v>
      </c>
      <c r="D32" s="22">
        <f>IFERROR(D28-C28,"n.a.")</f>
        <v>-79</v>
      </c>
      <c r="E32" s="22">
        <f>IFERROR(E28-D28,"n.a.")</f>
        <v>257</v>
      </c>
      <c r="F32" s="22">
        <f>IFERROR(F28-E28,"n.a.")</f>
        <v>437</v>
      </c>
      <c r="G32" s="22" t="s">
        <v>38</v>
      </c>
      <c r="H32" s="39">
        <f>IFERROR(H28-F28,"n.a.")</f>
        <v>139.98001274817898</v>
      </c>
      <c r="I32" s="3"/>
    </row>
    <row r="33">
      <c r="A33" s="3"/>
      <c r="B33" s="6" t="s">
        <v>84</v>
      </c>
      <c r="C33" s="12" t="s">
        <v>38</v>
      </c>
      <c r="D33" s="12" t="s">
        <v>38</v>
      </c>
      <c r="E33" s="12" t="s">
        <v>38</v>
      </c>
      <c r="F33" s="12" t="s">
        <v>38</v>
      </c>
      <c r="G33" s="12" t="s">
        <v>38</v>
      </c>
      <c r="H33" s="57" t="s">
        <v>38</v>
      </c>
      <c r="I33" s="11" t="s">
        <v>85</v>
      </c>
    </row>
    <row r="34">
      <c r="A34" s="3"/>
      <c r="B34" s="6" t="s">
        <v>86</v>
      </c>
      <c r="C34" s="12" t="s">
        <v>38</v>
      </c>
      <c r="D34" s="12" t="s">
        <v>38</v>
      </c>
      <c r="E34" s="12" t="s">
        <v>38</v>
      </c>
      <c r="F34" s="12" t="s">
        <v>38</v>
      </c>
      <c r="G34" s="12" t="s">
        <v>38</v>
      </c>
      <c r="H34" s="57" t="s">
        <v>38</v>
      </c>
      <c r="I34" s="11" t="s">
        <v>87</v>
      </c>
    </row>
    <row r="35" ht="14.624267578125">
      <c r="A35" s="3"/>
      <c r="B35" s="6" t="s">
        <v>88</v>
      </c>
      <c r="C35" s="12" t="str">
        <f>IF(AND(ISNUMBER(C30),ISNUMBER(C33),ISNUMBER(C34)),(1+C30)/((1+C33)*(1+C34))-1,"n.a.")</f>
        <v>n.a.</v>
      </c>
      <c r="D35" s="12" t="str">
        <f>IF(AND(ISNUMBER(D30),ISNUMBER(D33),ISNUMBER(D34)),(1+D30)/((1+D33)*(1+D34))-1,"n.a.")</f>
        <v>n.a.</v>
      </c>
      <c r="E35" s="12" t="str">
        <f>IF(AND(ISNUMBER(E30),ISNUMBER(E33),ISNUMBER(E34)),(1+E30)/((1+E33)*(1+E34))-1,"n.a.")</f>
        <v>n.a.</v>
      </c>
      <c r="F35" s="12" t="str">
        <f>IF(AND(ISNUMBER(F30),ISNUMBER(F33),ISNUMBER(F34)),(1+F30)/((1+F33)*(1+F34))-1,"n.a.")</f>
        <v>n.a.</v>
      </c>
      <c r="G35" s="12" t="str">
        <f>IF(AND(ISNUMBER(G30),ISNUMBER(G33),ISNUMBER(G34)),(1+G30)/((1+G33)*(1+G34))-1,"n.a.")</f>
        <v>n.a.</v>
      </c>
      <c r="H35" s="57" t="str">
        <f>IF(AND(ISNUMBER(H30),ISNUMBER(H33),ISNUMBER(H34)),(1+H30)/((1+H33)*(1+H34))-1,"n.a.")</f>
        <v>n.a.</v>
      </c>
      <c r="I35" s="11" t="s">
        <v>89</v>
      </c>
    </row>
    <row r="36">
      <c r="A36" s="3"/>
      <c r="B36" s="6" t="s">
        <v>90</v>
      </c>
      <c r="C36" s="12">
        <f>C30</f>
        <v>0.3628808864265929</v>
      </c>
      <c r="D36" s="12">
        <f>D30</f>
        <v>0.2450980392156863</v>
      </c>
      <c r="E36" s="12">
        <f>E30</f>
        <v>0.5574387947269304</v>
      </c>
      <c r="F36" s="12">
        <f>F30</f>
        <v>0.8326029798422436</v>
      </c>
      <c r="G36" s="12">
        <f>G30</f>
        <v>0.0937096079276174</v>
      </c>
      <c r="H36" s="57">
        <f>H30</f>
        <v>0.511504073677628</v>
      </c>
      <c r="I36" s="3"/>
    </row>
    <row r="37">
      <c r="A37" s="3"/>
      <c r="B37" s="6" t="s">
        <v>259</v>
      </c>
      <c r="C37" s="25"/>
      <c r="D37" s="36">
        <v>852</v>
      </c>
      <c r="E37" s="25"/>
      <c r="F37" s="25"/>
      <c r="G37" s="25"/>
      <c r="H37" s="43"/>
      <c r="I37" s="11" t="s">
        <v>173</v>
      </c>
    </row>
    <row r="38">
      <c r="A38" s="3"/>
      <c r="B38" s="6" t="s">
        <v>260</v>
      </c>
      <c r="C38" s="25"/>
      <c r="D38" s="36">
        <v>549</v>
      </c>
      <c r="E38" s="25"/>
      <c r="F38" s="25"/>
      <c r="G38" s="25"/>
      <c r="H38" s="43"/>
      <c r="I38" s="11" t="s">
        <v>173</v>
      </c>
    </row>
    <row r="39">
      <c r="A39" s="3"/>
      <c r="B39" s="6" t="s">
        <v>261</v>
      </c>
      <c r="C39" s="25"/>
      <c r="D39" s="36">
        <v>132</v>
      </c>
      <c r="E39" s="25"/>
      <c r="F39" s="25"/>
      <c r="G39" s="25"/>
      <c r="H39" s="43"/>
      <c r="I39" s="11" t="s">
        <v>173</v>
      </c>
    </row>
    <row r="40">
      <c r="A40" s="3"/>
      <c r="B40" s="3" t="s">
        <v>262</v>
      </c>
      <c r="C40" s="27">
        <v>260</v>
      </c>
      <c r="D40" s="22">
        <f>G40-D37</f>
        <v>298</v>
      </c>
      <c r="E40" s="27">
        <v>384</v>
      </c>
      <c r="F40" s="27">
        <v>520</v>
      </c>
      <c r="G40" s="27">
        <v>1150</v>
      </c>
      <c r="H40" s="39">
        <f>F40*(1+H20)*(1+H16)</f>
        <v>554.8109070440235</v>
      </c>
      <c r="I40" s="11" t="s">
        <v>263</v>
      </c>
    </row>
    <row r="41">
      <c r="A41" s="3"/>
      <c r="B41" s="6" t="s">
        <v>81</v>
      </c>
      <c r="C41" s="12" t="s">
        <v>38</v>
      </c>
      <c r="D41" s="12" t="s">
        <v>38</v>
      </c>
      <c r="E41" s="12" t="s">
        <v>38</v>
      </c>
      <c r="F41" s="12" t="s">
        <v>38</v>
      </c>
      <c r="G41" s="12" t="s">
        <v>38</v>
      </c>
      <c r="H41" s="57">
        <f>IFERROR(H40/C40-1,"n.a.")</f>
        <v>1.1338881040154747</v>
      </c>
      <c r="I41" s="11" t="s">
        <v>264</v>
      </c>
    </row>
    <row r="42">
      <c r="A42" s="3"/>
      <c r="B42" s="3" t="s">
        <v>95</v>
      </c>
      <c r="C42" s="22" t="s">
        <v>38</v>
      </c>
      <c r="D42" s="22">
        <f>IFERROR(D40-C40,"n.a.")</f>
        <v>38</v>
      </c>
      <c r="E42" s="22">
        <f>IFERROR(E40-D40,"n.a.")</f>
        <v>86</v>
      </c>
      <c r="F42" s="22">
        <f>IFERROR(F40-E40,"n.a.")</f>
        <v>136</v>
      </c>
      <c r="G42" s="22" t="s">
        <v>38</v>
      </c>
      <c r="H42" s="39">
        <f>IFERROR(H40-F40,"n.a.")</f>
        <v>34.81090704402345</v>
      </c>
      <c r="I42" s="3"/>
    </row>
    <row r="43" ht="14.624267578125">
      <c r="A43" s="3"/>
      <c r="B43" s="6" t="s">
        <v>84</v>
      </c>
      <c r="C43" s="12" t="s">
        <v>38</v>
      </c>
      <c r="D43" s="12" t="s">
        <v>38</v>
      </c>
      <c r="E43" s="12" t="s">
        <v>38</v>
      </c>
      <c r="F43" s="12" t="s">
        <v>38</v>
      </c>
      <c r="G43" s="12" t="s">
        <v>38</v>
      </c>
      <c r="H43" s="57" t="s">
        <v>38</v>
      </c>
      <c r="I43" s="11" t="s">
        <v>85</v>
      </c>
    </row>
    <row r="44">
      <c r="A44" s="3"/>
      <c r="B44" s="6" t="s">
        <v>86</v>
      </c>
      <c r="C44" s="12" t="s">
        <v>38</v>
      </c>
      <c r="D44" s="12" t="s">
        <v>38</v>
      </c>
      <c r="E44" s="12" t="s">
        <v>38</v>
      </c>
      <c r="F44" s="12" t="s">
        <v>38</v>
      </c>
      <c r="G44" s="12" t="s">
        <v>38</v>
      </c>
      <c r="H44" s="57" t="s">
        <v>38</v>
      </c>
      <c r="I44" s="11" t="s">
        <v>87</v>
      </c>
    </row>
    <row r="45" ht="14.624267578125">
      <c r="A45" s="3"/>
      <c r="B45" s="6" t="s">
        <v>88</v>
      </c>
      <c r="C45" s="12" t="str">
        <f>IF(AND(ISNUMBER(C41),ISNUMBER(C43),ISNUMBER(C44)),(1+C41)/((1+C43)*(1+C44))-1,"n.a.")</f>
        <v>n.a.</v>
      </c>
      <c r="D45" s="12" t="str">
        <f>IF(AND(ISNUMBER(D41),ISNUMBER(D43),ISNUMBER(D44)),(1+D41)/((1+D43)*(1+D44))-1,"n.a.")</f>
        <v>n.a.</v>
      </c>
      <c r="E45" s="12" t="str">
        <f>IF(AND(ISNUMBER(E41),ISNUMBER(E43),ISNUMBER(E44)),(1+E41)/((1+E43)*(1+E44))-1,"n.a.")</f>
        <v>n.a.</v>
      </c>
      <c r="F45" s="12" t="str">
        <f>IF(AND(ISNUMBER(F41),ISNUMBER(F43),ISNUMBER(F44)),(1+F41)/((1+F43)*(1+F44))-1,"n.a.")</f>
        <v>n.a.</v>
      </c>
      <c r="G45" s="12" t="str">
        <f>IF(AND(ISNUMBER(G41),ISNUMBER(G43),ISNUMBER(G44)),(1+G41)/((1+G43)*(1+G44))-1,"n.a.")</f>
        <v>n.a.</v>
      </c>
      <c r="H45" s="57" t="str">
        <f>IF(AND(ISNUMBER(H41),ISNUMBER(H43),ISNUMBER(H44)),(1+H41)/((1+H43)*(1+H44))-1,"n.a.")</f>
        <v>n.a.</v>
      </c>
      <c r="I45" s="11" t="s">
        <v>89</v>
      </c>
    </row>
    <row r="46">
      <c r="A46" s="3"/>
      <c r="B46" s="6" t="s">
        <v>90</v>
      </c>
      <c r="C46" s="12" t="str">
        <f>C41</f>
        <v>n.a.</v>
      </c>
      <c r="D46" s="12" t="str">
        <f>D41</f>
        <v>n.a.</v>
      </c>
      <c r="E46" s="12" t="str">
        <f>E41</f>
        <v>n.a.</v>
      </c>
      <c r="F46" s="12" t="str">
        <f>F41</f>
        <v>n.a.</v>
      </c>
      <c r="G46" s="12" t="str">
        <f>G41</f>
        <v>n.a.</v>
      </c>
      <c r="H46" s="57">
        <f>H41</f>
        <v>1.1338881040154747</v>
      </c>
      <c r="I46" s="3"/>
    </row>
    <row r="47" ht="14.624267578125">
      <c r="A47" s="3"/>
      <c r="B47" s="3" t="s">
        <v>265</v>
      </c>
      <c r="C47" s="27">
        <v>23</v>
      </c>
      <c r="D47" s="22">
        <f>G47-D38</f>
        <v>31</v>
      </c>
      <c r="E47" s="27">
        <v>0</v>
      </c>
      <c r="F47" s="27">
        <v>0</v>
      </c>
      <c r="G47" s="27">
        <v>580</v>
      </c>
      <c r="H47" s="30">
        <v>0</v>
      </c>
      <c r="I47" s="11" t="s">
        <v>266</v>
      </c>
    </row>
    <row r="48">
      <c r="A48" s="3"/>
      <c r="B48" s="6" t="s">
        <v>81</v>
      </c>
      <c r="C48" s="12" t="s">
        <v>38</v>
      </c>
      <c r="D48" s="12" t="s">
        <v>38</v>
      </c>
      <c r="E48" s="12" t="s">
        <v>38</v>
      </c>
      <c r="F48" s="12" t="s">
        <v>38</v>
      </c>
      <c r="G48" s="12" t="s">
        <v>38</v>
      </c>
      <c r="H48" s="57">
        <f>IFERROR(H47/C47-1,"n.a.")</f>
        <v>-1</v>
      </c>
      <c r="I48" s="3"/>
    </row>
    <row r="49">
      <c r="A49" s="3"/>
      <c r="B49" s="6" t="s">
        <v>84</v>
      </c>
      <c r="C49" s="12" t="s">
        <v>38</v>
      </c>
      <c r="D49" s="12" t="s">
        <v>38</v>
      </c>
      <c r="E49" s="12" t="s">
        <v>38</v>
      </c>
      <c r="F49" s="12" t="s">
        <v>38</v>
      </c>
      <c r="G49" s="12" t="s">
        <v>38</v>
      </c>
      <c r="H49" s="57" t="s">
        <v>38</v>
      </c>
      <c r="I49" s="11" t="s">
        <v>85</v>
      </c>
    </row>
    <row r="50">
      <c r="A50" s="3"/>
      <c r="B50" s="6" t="s">
        <v>86</v>
      </c>
      <c r="C50" s="12" t="s">
        <v>38</v>
      </c>
      <c r="D50" s="12" t="s">
        <v>38</v>
      </c>
      <c r="E50" s="12" t="s">
        <v>38</v>
      </c>
      <c r="F50" s="12" t="s">
        <v>38</v>
      </c>
      <c r="G50" s="12" t="s">
        <v>38</v>
      </c>
      <c r="H50" s="57" t="s">
        <v>38</v>
      </c>
      <c r="I50" s="11" t="s">
        <v>87</v>
      </c>
    </row>
    <row r="51">
      <c r="A51" s="3"/>
      <c r="B51" s="6" t="s">
        <v>88</v>
      </c>
      <c r="C51" s="12" t="str">
        <f>IF(AND(ISNUMBER(C48),ISNUMBER(C49),ISNUMBER(C50)),(1+C48)/((1+C49)*(1+C50))-1,"n.a.")</f>
        <v>n.a.</v>
      </c>
      <c r="D51" s="12" t="str">
        <f>IF(AND(ISNUMBER(D48),ISNUMBER(D49),ISNUMBER(D50)),(1+D48)/((1+D49)*(1+D50))-1,"n.a.")</f>
        <v>n.a.</v>
      </c>
      <c r="E51" s="12" t="str">
        <f>IF(AND(ISNUMBER(E48),ISNUMBER(E49),ISNUMBER(E50)),(1+E48)/((1+E49)*(1+E50))-1,"n.a.")</f>
        <v>n.a.</v>
      </c>
      <c r="F51" s="12" t="str">
        <f>IF(AND(ISNUMBER(F48),ISNUMBER(F49),ISNUMBER(F50)),(1+F48)/((1+F49)*(1+F50))-1,"n.a.")</f>
        <v>n.a.</v>
      </c>
      <c r="G51" s="12" t="str">
        <f>IF(AND(ISNUMBER(G48),ISNUMBER(G49),ISNUMBER(G50)),(1+G48)/((1+G49)*(1+G50))-1,"n.a.")</f>
        <v>n.a.</v>
      </c>
      <c r="H51" s="57" t="str">
        <f>IF(AND(ISNUMBER(H48),ISNUMBER(H49),ISNUMBER(H50)),(1+H48)/((1+H49)*(1+H50))-1,"n.a.")</f>
        <v>n.a.</v>
      </c>
      <c r="I51" s="11" t="s">
        <v>89</v>
      </c>
    </row>
    <row r="52">
      <c r="A52" s="3"/>
      <c r="B52" s="6" t="s">
        <v>90</v>
      </c>
      <c r="C52" s="12" t="str">
        <f>C48</f>
        <v>n.a.</v>
      </c>
      <c r="D52" s="12" t="str">
        <f>D48</f>
        <v>n.a.</v>
      </c>
      <c r="E52" s="12" t="str">
        <f>E48</f>
        <v>n.a.</v>
      </c>
      <c r="F52" s="12" t="str">
        <f>F48</f>
        <v>n.a.</v>
      </c>
      <c r="G52" s="12" t="str">
        <f>G48</f>
        <v>n.a.</v>
      </c>
      <c r="H52" s="57">
        <f>H48</f>
        <v>-1</v>
      </c>
      <c r="I52" s="3"/>
    </row>
    <row r="53">
      <c r="A53" s="3"/>
      <c r="B53" s="3" t="s">
        <v>267</v>
      </c>
      <c r="C53" s="27">
        <v>36</v>
      </c>
      <c r="D53" s="22">
        <f>G53-D39</f>
        <v>22</v>
      </c>
      <c r="E53" s="27">
        <v>0</v>
      </c>
      <c r="F53" s="27">
        <v>0</v>
      </c>
      <c r="G53" s="27">
        <v>154</v>
      </c>
      <c r="H53" s="30">
        <v>0</v>
      </c>
      <c r="I53" s="11" t="s">
        <v>268</v>
      </c>
    </row>
    <row r="54">
      <c r="A54" s="3"/>
      <c r="B54" s="6" t="s">
        <v>81</v>
      </c>
      <c r="C54" s="12" t="s">
        <v>38</v>
      </c>
      <c r="D54" s="12" t="s">
        <v>38</v>
      </c>
      <c r="E54" s="12" t="s">
        <v>38</v>
      </c>
      <c r="F54" s="12" t="s">
        <v>38</v>
      </c>
      <c r="G54" s="12" t="s">
        <v>38</v>
      </c>
      <c r="H54" s="57">
        <f>IFERROR(H53/C53-1,"n.a.")</f>
        <v>-1</v>
      </c>
      <c r="I54" s="3"/>
    </row>
    <row r="55">
      <c r="A55" s="3"/>
      <c r="B55" s="6" t="s">
        <v>84</v>
      </c>
      <c r="C55" s="12" t="s">
        <v>38</v>
      </c>
      <c r="D55" s="12" t="s">
        <v>38</v>
      </c>
      <c r="E55" s="12" t="s">
        <v>38</v>
      </c>
      <c r="F55" s="12" t="s">
        <v>38</v>
      </c>
      <c r="G55" s="12" t="s">
        <v>38</v>
      </c>
      <c r="H55" s="57" t="s">
        <v>38</v>
      </c>
      <c r="I55" s="11" t="s">
        <v>85</v>
      </c>
    </row>
    <row r="56" ht="14.624267578125">
      <c r="A56" s="3"/>
      <c r="B56" s="6" t="s">
        <v>86</v>
      </c>
      <c r="C56" s="12" t="s">
        <v>38</v>
      </c>
      <c r="D56" s="12" t="s">
        <v>38</v>
      </c>
      <c r="E56" s="12" t="s">
        <v>38</v>
      </c>
      <c r="F56" s="12" t="s">
        <v>38</v>
      </c>
      <c r="G56" s="12" t="s">
        <v>38</v>
      </c>
      <c r="H56" s="57" t="s">
        <v>38</v>
      </c>
      <c r="I56" s="11" t="s">
        <v>87</v>
      </c>
    </row>
    <row r="57">
      <c r="A57" s="3"/>
      <c r="B57" s="6" t="s">
        <v>88</v>
      </c>
      <c r="C57" s="12" t="str">
        <f>IF(AND(ISNUMBER(C54),ISNUMBER(C55),ISNUMBER(C56)),(1+C54)/((1+C55)*(1+C56))-1,"n.a.")</f>
        <v>n.a.</v>
      </c>
      <c r="D57" s="12" t="str">
        <f>IF(AND(ISNUMBER(D54),ISNUMBER(D55),ISNUMBER(D56)),(1+D54)/((1+D55)*(1+D56))-1,"n.a.")</f>
        <v>n.a.</v>
      </c>
      <c r="E57" s="12" t="str">
        <f>IF(AND(ISNUMBER(E54),ISNUMBER(E55),ISNUMBER(E56)),(1+E54)/((1+E55)*(1+E56))-1,"n.a.")</f>
        <v>n.a.</v>
      </c>
      <c r="F57" s="12" t="str">
        <f>IF(AND(ISNUMBER(F54),ISNUMBER(F55),ISNUMBER(F56)),(1+F54)/((1+F55)*(1+F56))-1,"n.a.")</f>
        <v>n.a.</v>
      </c>
      <c r="G57" s="12" t="str">
        <f>IF(AND(ISNUMBER(G54),ISNUMBER(G55),ISNUMBER(G56)),(1+G54)/((1+G55)*(1+G56))-1,"n.a.")</f>
        <v>n.a.</v>
      </c>
      <c r="H57" s="57" t="str">
        <f>IF(AND(ISNUMBER(H54),ISNUMBER(H55),ISNUMBER(H56)),(1+H54)/((1+H55)*(1+H56))-1,"n.a.")</f>
        <v>n.a.</v>
      </c>
      <c r="I57" s="11" t="s">
        <v>89</v>
      </c>
    </row>
    <row r="58" ht="14.624267578125">
      <c r="A58" s="3"/>
      <c r="B58" s="6" t="s">
        <v>90</v>
      </c>
      <c r="C58" s="12" t="str">
        <f>C54</f>
        <v>n.a.</v>
      </c>
      <c r="D58" s="12" t="str">
        <f>D54</f>
        <v>n.a.</v>
      </c>
      <c r="E58" s="12" t="str">
        <f>E54</f>
        <v>n.a.</v>
      </c>
      <c r="F58" s="12" t="str">
        <f>F54</f>
        <v>n.a.</v>
      </c>
      <c r="G58" s="12" t="str">
        <f>G54</f>
        <v>n.a.</v>
      </c>
      <c r="H58" s="57">
        <f>H54</f>
        <v>-1</v>
      </c>
      <c r="I58" s="3"/>
    </row>
    <row r="59">
      <c r="A59" s="3"/>
      <c r="B59" s="15" t="s">
        <v>269</v>
      </c>
      <c r="C59" s="26">
        <f>C40+C47+C53</f>
        <v>319</v>
      </c>
      <c r="D59" s="26">
        <f>D40+D47+D53</f>
        <v>351</v>
      </c>
      <c r="E59" s="26">
        <f>E40+E47+E53</f>
        <v>384</v>
      </c>
      <c r="F59" s="26">
        <f>F40+F47+F53</f>
        <v>520</v>
      </c>
      <c r="G59" s="26">
        <f>G40+G47+G53</f>
        <v>1884</v>
      </c>
      <c r="H59" s="40">
        <f>H40+H47+H53</f>
        <v>554.8109070440235</v>
      </c>
      <c r="I59" s="3"/>
    </row>
    <row r="60">
      <c r="A60" s="3"/>
      <c r="B60" s="6" t="s">
        <v>80</v>
      </c>
      <c r="C60" s="36">
        <v>829</v>
      </c>
      <c r="D60" s="25">
        <f>G60-D61</f>
        <v>634</v>
      </c>
      <c r="E60" s="36">
        <v>636</v>
      </c>
      <c r="F60" s="36">
        <v>579</v>
      </c>
      <c r="G60" s="36">
        <v>3125</v>
      </c>
      <c r="H60" s="43">
        <f>C59</f>
        <v>319</v>
      </c>
      <c r="I60" s="11" t="s">
        <v>270</v>
      </c>
    </row>
    <row r="61">
      <c r="A61" s="3"/>
      <c r="B61" s="6" t="s">
        <v>271</v>
      </c>
      <c r="C61" s="25"/>
      <c r="D61" s="36">
        <v>2491</v>
      </c>
      <c r="E61" s="25"/>
      <c r="F61" s="25"/>
      <c r="G61" s="25"/>
      <c r="H61" s="43"/>
      <c r="I61" s="11" t="s">
        <v>173</v>
      </c>
    </row>
    <row r="62" ht="14.624267578125">
      <c r="A62" s="3"/>
      <c r="B62" s="6" t="s">
        <v>81</v>
      </c>
      <c r="C62" s="12">
        <f>IFERROR(C59/C60-1,"n.a.")</f>
        <v>-0.6151990349819059</v>
      </c>
      <c r="D62" s="12">
        <f>IFERROR(D59/D60-1,"n.a.")</f>
        <v>-0.44637223974763407</v>
      </c>
      <c r="E62" s="12">
        <f>IFERROR(E59/E60-1,"n.a.")</f>
        <v>-0.39622641509433965</v>
      </c>
      <c r="F62" s="12">
        <f>IFERROR(F59/F60-1,"n.a.")</f>
        <v>-0.10189982728842828</v>
      </c>
      <c r="G62" s="12">
        <f>IFERROR(G59/G60-1,"n.a.")</f>
        <v>-0.39712000000000003</v>
      </c>
      <c r="H62" s="57">
        <f>IFERROR(H59/C59-1,"n.a.")</f>
        <v>0.7392191443386316</v>
      </c>
      <c r="I62" s="3"/>
    </row>
    <row r="63">
      <c r="A63" s="3"/>
      <c r="B63" s="6" t="s">
        <v>84</v>
      </c>
      <c r="C63" s="12" t="s">
        <v>38</v>
      </c>
      <c r="D63" s="12" t="s">
        <v>38</v>
      </c>
      <c r="E63" s="12" t="s">
        <v>38</v>
      </c>
      <c r="F63" s="12" t="s">
        <v>38</v>
      </c>
      <c r="G63" s="12" t="s">
        <v>38</v>
      </c>
      <c r="H63" s="57" t="s">
        <v>38</v>
      </c>
      <c r="I63" s="11" t="s">
        <v>85</v>
      </c>
    </row>
    <row r="64">
      <c r="A64" s="3"/>
      <c r="B64" s="6" t="s">
        <v>86</v>
      </c>
      <c r="C64" s="12" t="s">
        <v>38</v>
      </c>
      <c r="D64" s="12" t="s">
        <v>38</v>
      </c>
      <c r="E64" s="12" t="s">
        <v>38</v>
      </c>
      <c r="F64" s="12" t="s">
        <v>38</v>
      </c>
      <c r="G64" s="12" t="s">
        <v>38</v>
      </c>
      <c r="H64" s="57" t="s">
        <v>38</v>
      </c>
      <c r="I64" s="11" t="s">
        <v>87</v>
      </c>
    </row>
    <row r="65">
      <c r="A65" s="3"/>
      <c r="B65" s="6" t="s">
        <v>88</v>
      </c>
      <c r="C65" s="12" t="str">
        <f>IF(AND(ISNUMBER(C62),ISNUMBER(C63),ISNUMBER(C64)),(1+C62)/((1+C63)*(1+C64))-1,"n.a.")</f>
        <v>n.a.</v>
      </c>
      <c r="D65" s="12" t="str">
        <f>IF(AND(ISNUMBER(D62),ISNUMBER(D63),ISNUMBER(D64)),(1+D62)/((1+D63)*(1+D64))-1,"n.a.")</f>
        <v>n.a.</v>
      </c>
      <c r="E65" s="12" t="str">
        <f>IF(AND(ISNUMBER(E62),ISNUMBER(E63),ISNUMBER(E64)),(1+E62)/((1+E63)*(1+E64))-1,"n.a.")</f>
        <v>n.a.</v>
      </c>
      <c r="F65" s="12" t="str">
        <f>IF(AND(ISNUMBER(F62),ISNUMBER(F63),ISNUMBER(F64)),(1+F62)/((1+F63)*(1+F64))-1,"n.a.")</f>
        <v>n.a.</v>
      </c>
      <c r="G65" s="12" t="str">
        <f>IF(AND(ISNUMBER(G62),ISNUMBER(G63),ISNUMBER(G64)),(1+G62)/((1+G63)*(1+G64))-1,"n.a.")</f>
        <v>n.a.</v>
      </c>
      <c r="H65" s="57" t="str">
        <f>IF(AND(ISNUMBER(H62),ISNUMBER(H63),ISNUMBER(H64)),(1+H62)/((1+H63)*(1+H64))-1,"n.a.")</f>
        <v>n.a.</v>
      </c>
      <c r="I65" s="11" t="s">
        <v>89</v>
      </c>
    </row>
    <row r="66">
      <c r="A66" s="3"/>
      <c r="B66" s="6" t="s">
        <v>90</v>
      </c>
      <c r="C66" s="12">
        <f>C62</f>
        <v>-0.6151990349819059</v>
      </c>
      <c r="D66" s="12">
        <f>D62</f>
        <v>-0.44637223974763407</v>
      </c>
      <c r="E66" s="12">
        <f>E62</f>
        <v>-0.39622641509433965</v>
      </c>
      <c r="F66" s="12">
        <f>F62</f>
        <v>-0.10189982728842828</v>
      </c>
      <c r="G66" s="12">
        <f>G62</f>
        <v>-0.39712000000000003</v>
      </c>
      <c r="H66" s="57">
        <f>H62</f>
        <v>0.7392191443386316</v>
      </c>
      <c r="I66" s="3"/>
    </row>
    <row r="67">
      <c r="A67" s="3"/>
      <c r="B67" s="15" t="s">
        <v>272</v>
      </c>
      <c r="C67" s="26">
        <f>C28+C59</f>
        <v>1795</v>
      </c>
      <c r="D67" s="26">
        <f>D28+D59</f>
        <v>1748</v>
      </c>
      <c r="E67" s="26">
        <f>E28+E59</f>
        <v>2038</v>
      </c>
      <c r="F67" s="26">
        <f>F28+F59</f>
        <v>2611</v>
      </c>
      <c r="G67" s="26">
        <f>G28+G59</f>
        <v>6961</v>
      </c>
      <c r="H67" s="40">
        <f>H28+H59</f>
        <v>2785.7909197922027</v>
      </c>
      <c r="I67" s="3"/>
    </row>
    <row r="68">
      <c r="A68" s="3"/>
      <c r="B68" s="6" t="s">
        <v>80</v>
      </c>
      <c r="C68" s="36">
        <v>1912</v>
      </c>
      <c r="D68" s="25">
        <f>G68-D69</f>
        <v>1756</v>
      </c>
      <c r="E68" s="36">
        <v>1698</v>
      </c>
      <c r="F68" s="36">
        <v>1720</v>
      </c>
      <c r="G68" s="36">
        <v>7767</v>
      </c>
      <c r="H68" s="43">
        <f>C67</f>
        <v>1795</v>
      </c>
      <c r="I68" s="11" t="s">
        <v>270</v>
      </c>
    </row>
    <row r="69">
      <c r="A69" s="3"/>
      <c r="B69" s="6" t="s">
        <v>273</v>
      </c>
      <c r="C69" s="25"/>
      <c r="D69" s="36">
        <v>6011</v>
      </c>
      <c r="E69" s="25"/>
      <c r="F69" s="25"/>
      <c r="G69" s="25"/>
      <c r="H69" s="43"/>
      <c r="I69" s="11" t="s">
        <v>173</v>
      </c>
    </row>
    <row r="70">
      <c r="A70" s="3"/>
      <c r="B70" s="6" t="s">
        <v>81</v>
      </c>
      <c r="C70" s="12">
        <f>IFERROR(C67/C68-1,"n.a.")</f>
        <v>-0.061192468619246876</v>
      </c>
      <c r="D70" s="12">
        <f>IFERROR(D67/D68-1,"n.a.")</f>
        <v>-0.004555808656036442</v>
      </c>
      <c r="E70" s="12">
        <f>IFERROR(E67/E68-1,"n.a.")</f>
        <v>0.20023557126030633</v>
      </c>
      <c r="F70" s="12">
        <f>IFERROR(F67/F68-1,"n.a.")</f>
        <v>0.5180232558139535</v>
      </c>
      <c r="G70" s="12">
        <f>IFERROR(G67/G68-1,"n.a.")</f>
        <v>-0.10377237028453712</v>
      </c>
      <c r="H70" s="57">
        <f>IFERROR(H67/C67-1,"n.a.")</f>
        <v>0.551972657265851</v>
      </c>
      <c r="I70" s="3"/>
    </row>
    <row r="71">
      <c r="A71" s="3"/>
      <c r="B71" s="6" t="s">
        <v>82</v>
      </c>
      <c r="C71" s="12">
        <f>IFERROR(C67/F68-1,"n.a.")</f>
        <v>0.043604651162790775</v>
      </c>
      <c r="D71" s="12">
        <f>IFERROR(D67/C67-1,"n.a.")</f>
        <v>-0.026183844011142043</v>
      </c>
      <c r="E71" s="12">
        <f>IFERROR(E67/D67-1,"n.a.")</f>
        <v>0.16590389016018303</v>
      </c>
      <c r="F71" s="12">
        <f>IFERROR(F67/E67-1,"n.a.")</f>
        <v>0.28115799803729136</v>
      </c>
      <c r="G71" s="12" t="s">
        <v>38</v>
      </c>
      <c r="H71" s="57">
        <f>IFERROR(H67/F67-1,"n.a.")</f>
        <v>0.06694405200773756</v>
      </c>
      <c r="I71" s="3"/>
    </row>
    <row r="72">
      <c r="A72" s="3"/>
      <c r="B72" s="6" t="s">
        <v>84</v>
      </c>
      <c r="C72" s="12" t="s">
        <v>38</v>
      </c>
      <c r="D72" s="12" t="s">
        <v>38</v>
      </c>
      <c r="E72" s="12" t="s">
        <v>38</v>
      </c>
      <c r="F72" s="12" t="s">
        <v>38</v>
      </c>
      <c r="G72" s="12" t="s">
        <v>38</v>
      </c>
      <c r="H72" s="57" t="s">
        <v>38</v>
      </c>
      <c r="I72" s="11" t="s">
        <v>85</v>
      </c>
    </row>
    <row r="73">
      <c r="A73" s="3"/>
      <c r="B73" s="6" t="s">
        <v>86</v>
      </c>
      <c r="C73" s="12" t="s">
        <v>38</v>
      </c>
      <c r="D73" s="12" t="s">
        <v>38</v>
      </c>
      <c r="E73" s="12" t="s">
        <v>38</v>
      </c>
      <c r="F73" s="12" t="s">
        <v>38</v>
      </c>
      <c r="G73" s="12" t="s">
        <v>38</v>
      </c>
      <c r="H73" s="57" t="s">
        <v>38</v>
      </c>
      <c r="I73" s="11" t="s">
        <v>87</v>
      </c>
    </row>
    <row r="74">
      <c r="A74" s="3"/>
      <c r="B74" s="6" t="s">
        <v>88</v>
      </c>
      <c r="C74" s="12" t="str">
        <f>IF(AND(ISNUMBER(C70),ISNUMBER(C72),ISNUMBER(C73)),(1+C70)/((1+C72)*(1+C73))-1,"n.a.")</f>
        <v>n.a.</v>
      </c>
      <c r="D74" s="12" t="str">
        <f>IF(AND(ISNUMBER(D70),ISNUMBER(D72),ISNUMBER(D73)),(1+D70)/((1+D72)*(1+D73))-1,"n.a.")</f>
        <v>n.a.</v>
      </c>
      <c r="E74" s="12" t="str">
        <f>IF(AND(ISNUMBER(E70),ISNUMBER(E72),ISNUMBER(E73)),(1+E70)/((1+E72)*(1+E73))-1,"n.a.")</f>
        <v>n.a.</v>
      </c>
      <c r="F74" s="12" t="str">
        <f>IF(AND(ISNUMBER(F70),ISNUMBER(F72),ISNUMBER(F73)),(1+F70)/((1+F72)*(1+F73))-1,"n.a.")</f>
        <v>n.a.</v>
      </c>
      <c r="G74" s="12" t="str">
        <f>IF(AND(ISNUMBER(G70),ISNUMBER(G72),ISNUMBER(G73)),(1+G70)/((1+G72)*(1+G73))-1,"n.a.")</f>
        <v>n.a.</v>
      </c>
      <c r="H74" s="57" t="str">
        <f>IF(AND(ISNUMBER(H70),ISNUMBER(H72),ISNUMBER(H73)),(1+H70)/((1+H72)*(1+H73))-1,"n.a.")</f>
        <v>n.a.</v>
      </c>
      <c r="I74" s="11" t="s">
        <v>89</v>
      </c>
    </row>
    <row r="75">
      <c r="A75" s="3"/>
      <c r="B75" s="6" t="s">
        <v>90</v>
      </c>
      <c r="C75" s="12">
        <f>C70</f>
        <v>-0.061192468619246876</v>
      </c>
      <c r="D75" s="12">
        <f>D70</f>
        <v>-0.004555808656036442</v>
      </c>
      <c r="E75" s="12">
        <f>E70</f>
        <v>0.20023557126030633</v>
      </c>
      <c r="F75" s="12">
        <f>F70</f>
        <v>0.5180232558139535</v>
      </c>
      <c r="G75" s="12">
        <f>G70</f>
        <v>-0.10377237028453712</v>
      </c>
      <c r="H75" s="57">
        <f>H70</f>
        <v>0.551972657265851</v>
      </c>
      <c r="I75" s="3"/>
    </row>
    <row r="76">
      <c r="A76" s="3"/>
      <c r="B76" s="6" t="s">
        <v>274</v>
      </c>
      <c r="C76" s="36">
        <v>1795</v>
      </c>
      <c r="D76" s="25">
        <f>G76-D77</f>
        <v>1748</v>
      </c>
      <c r="E76" s="36">
        <v>2038</v>
      </c>
      <c r="F76" s="36">
        <v>2611</v>
      </c>
      <c r="G76" s="36">
        <v>6961</v>
      </c>
      <c r="H76" s="43" t="s">
        <v>38</v>
      </c>
      <c r="I76" s="11" t="s">
        <v>171</v>
      </c>
    </row>
    <row r="77">
      <c r="A77" s="3"/>
      <c r="B77" s="6" t="s">
        <v>275</v>
      </c>
      <c r="C77" s="25"/>
      <c r="D77" s="36">
        <v>5213</v>
      </c>
      <c r="E77" s="25"/>
      <c r="F77" s="25"/>
      <c r="G77" s="25"/>
      <c r="H77" s="43"/>
      <c r="I77" s="11" t="s">
        <v>173</v>
      </c>
    </row>
    <row r="78">
      <c r="A78" s="3"/>
      <c r="B78" s="6" t="s">
        <v>276</v>
      </c>
      <c r="C78" s="28" t="b">
        <f>ABS(C67-C76)&lt;=2</f>
        <v>1</v>
      </c>
      <c r="D78" s="28" t="b">
        <f>ABS(D67-D76)&lt;=2</f>
        <v>1</v>
      </c>
      <c r="E78" s="28" t="b">
        <f>ABS(E67-E76)&lt;=2</f>
        <v>1</v>
      </c>
      <c r="F78" s="28" t="b">
        <f>ABS(F67-F76)&lt;=2</f>
        <v>1</v>
      </c>
      <c r="G78" s="28" t="b">
        <f>ABS(G67-G76)&lt;=2</f>
        <v>1</v>
      </c>
      <c r="H78" s="31" t="s">
        <v>38</v>
      </c>
      <c r="I78" s="11" t="s">
        <v>277</v>
      </c>
    </row>
    <row r="79">
      <c r="A79" s="3"/>
      <c r="B79" s="3"/>
      <c r="C79" s="22"/>
      <c r="D79" s="22"/>
      <c r="E79" s="22"/>
      <c r="F79" s="22"/>
      <c r="G79" s="22"/>
      <c r="H79" s="39"/>
      <c r="I79" s="3"/>
    </row>
    <row r="80">
      <c r="A80" s="3"/>
      <c r="B80" s="15" t="s">
        <v>278</v>
      </c>
      <c r="C80" s="22"/>
      <c r="D80" s="22"/>
      <c r="E80" s="22"/>
      <c r="F80" s="22"/>
      <c r="G80" s="22"/>
      <c r="H80" s="39"/>
      <c r="I80" s="3"/>
    </row>
    <row r="81">
      <c r="A81" s="3"/>
      <c r="B81" s="3" t="s">
        <v>279</v>
      </c>
      <c r="C81" s="27">
        <v>1611</v>
      </c>
      <c r="D81" s="22">
        <f>G81-D82</f>
        <v>1487</v>
      </c>
      <c r="E81" s="27">
        <v>1923</v>
      </c>
      <c r="F81" s="27">
        <v>2099</v>
      </c>
      <c r="G81" s="27">
        <v>6259</v>
      </c>
      <c r="H81" s="39">
        <f>H67-H83-H85-H87</f>
        <v>2521.5024466796835</v>
      </c>
      <c r="I81" s="11" t="s">
        <v>280</v>
      </c>
    </row>
    <row r="82">
      <c r="A82" s="3"/>
      <c r="B82" s="6" t="s">
        <v>281</v>
      </c>
      <c r="C82" s="25"/>
      <c r="D82" s="36">
        <v>4772</v>
      </c>
      <c r="E82" s="25"/>
      <c r="F82" s="25"/>
      <c r="G82" s="25"/>
      <c r="H82" s="43"/>
      <c r="I82" s="11" t="s">
        <v>173</v>
      </c>
    </row>
    <row r="83">
      <c r="A83" s="3"/>
      <c r="B83" s="3" t="s">
        <v>223</v>
      </c>
      <c r="C83" s="27">
        <v>28</v>
      </c>
      <c r="D83" s="22">
        <f>G83-D84</f>
        <v>29</v>
      </c>
      <c r="E83" s="27">
        <v>28</v>
      </c>
      <c r="F83" s="27">
        <v>29</v>
      </c>
      <c r="G83" s="27">
        <v>113</v>
      </c>
      <c r="H83" s="30">
        <v>29</v>
      </c>
      <c r="I83" s="11" t="s">
        <v>228</v>
      </c>
    </row>
    <row r="84">
      <c r="A84" s="3"/>
      <c r="B84" s="6" t="s">
        <v>282</v>
      </c>
      <c r="C84" s="25"/>
      <c r="D84" s="36">
        <v>84</v>
      </c>
      <c r="E84" s="25"/>
      <c r="F84" s="25"/>
      <c r="G84" s="25"/>
      <c r="H84" s="43"/>
      <c r="I84" s="11" t="s">
        <v>173</v>
      </c>
    </row>
    <row r="85">
      <c r="A85" s="3"/>
      <c r="B85" s="3" t="s">
        <v>224</v>
      </c>
      <c r="C85" s="27">
        <v>103</v>
      </c>
      <c r="D85" s="22">
        <f>G85-D86</f>
        <v>117</v>
      </c>
      <c r="E85" s="27">
        <v>126</v>
      </c>
      <c r="F85" s="27">
        <v>132</v>
      </c>
      <c r="G85" s="27">
        <v>432</v>
      </c>
      <c r="H85" s="30">
        <v>135</v>
      </c>
      <c r="I85" s="11" t="s">
        <v>228</v>
      </c>
    </row>
    <row r="86">
      <c r="A86" s="3"/>
      <c r="B86" s="6" t="s">
        <v>283</v>
      </c>
      <c r="C86" s="25"/>
      <c r="D86" s="36">
        <v>315</v>
      </c>
      <c r="E86" s="25"/>
      <c r="F86" s="25"/>
      <c r="G86" s="25"/>
      <c r="H86" s="43"/>
      <c r="I86" s="11" t="s">
        <v>173</v>
      </c>
    </row>
    <row r="87">
      <c r="A87" s="3"/>
      <c r="B87" s="15" t="s">
        <v>284</v>
      </c>
      <c r="C87" s="62">
        <v>53</v>
      </c>
      <c r="D87" s="26">
        <f>G87-D88</f>
        <v>115</v>
      </c>
      <c r="E87" s="62">
        <v>-39</v>
      </c>
      <c r="F87" s="62">
        <v>351</v>
      </c>
      <c r="G87" s="62">
        <v>157</v>
      </c>
      <c r="H87" s="40">
        <f>H67*H90</f>
        <v>100.28847311251928</v>
      </c>
      <c r="I87" s="11" t="s">
        <v>285</v>
      </c>
    </row>
    <row r="88">
      <c r="A88" s="3"/>
      <c r="B88" s="6" t="s">
        <v>286</v>
      </c>
      <c r="C88" s="25"/>
      <c r="D88" s="36">
        <v>42</v>
      </c>
      <c r="E88" s="25"/>
      <c r="F88" s="25"/>
      <c r="G88" s="25"/>
      <c r="H88" s="43"/>
      <c r="I88" s="11" t="s">
        <v>173</v>
      </c>
    </row>
    <row r="89">
      <c r="A89" s="3"/>
      <c r="B89" s="6" t="s">
        <v>287</v>
      </c>
      <c r="C89" s="28" t="b">
        <f>ABS(C67-C81-C83-C85-C87)&lt;=2</f>
        <v>1</v>
      </c>
      <c r="D89" s="28" t="b">
        <f>ABS(D67-D81-D83-D85-D87)&lt;=2</f>
        <v>1</v>
      </c>
      <c r="E89" s="28" t="b">
        <f>ABS(E67-E81-E83-E85-E87)&lt;=2</f>
        <v>1</v>
      </c>
      <c r="F89" s="28" t="b">
        <f>ABS(F67-F81-F83-F85-F87)&lt;=2</f>
        <v>1</v>
      </c>
      <c r="G89" s="28" t="b">
        <f>ABS(G67-G81-G83-G85-G87)&lt;=2</f>
        <v>1</v>
      </c>
      <c r="H89" s="31" t="b">
        <f>ABS(H67-H81-H83-H85-H87)&lt;=2</f>
        <v>1</v>
      </c>
      <c r="I89" s="11" t="s">
        <v>288</v>
      </c>
    </row>
    <row r="90">
      <c r="A90" s="3"/>
      <c r="B90" s="6" t="s">
        <v>289</v>
      </c>
      <c r="C90" s="12">
        <f>IFERROR(C87/C67,"n.a.")</f>
        <v>0.029526462395543174</v>
      </c>
      <c r="D90" s="12">
        <f>IFERROR(D87/D67,"n.a.")</f>
        <v>0.06578947368421052</v>
      </c>
      <c r="E90" s="12">
        <f>IFERROR(E87/E67,"n.a.")</f>
        <v>-0.019136408243375858</v>
      </c>
      <c r="F90" s="12">
        <f>IFERROR(F87/F67,"n.a.")</f>
        <v>0.1344312523937189</v>
      </c>
      <c r="G90" s="12">
        <f>IFERROR(G87/G67,"n.a.")</f>
        <v>0.02255423071397788</v>
      </c>
      <c r="H90" s="63">
        <v>0.036</v>
      </c>
      <c r="I90" s="11" t="s">
        <v>290</v>
      </c>
    </row>
    <row r="91">
      <c r="A91" s="3"/>
      <c r="B91" s="6" t="s">
        <v>291</v>
      </c>
      <c r="C91" s="36">
        <v>-33</v>
      </c>
      <c r="D91" s="25">
        <f>G91-D92</f>
        <v>-38</v>
      </c>
      <c r="E91" s="36">
        <v>-1</v>
      </c>
      <c r="F91" s="36">
        <v>-10</v>
      </c>
      <c r="G91" s="36">
        <v>38</v>
      </c>
      <c r="H91" s="43">
        <f>C87</f>
        <v>53</v>
      </c>
      <c r="I91" s="11" t="s">
        <v>292</v>
      </c>
    </row>
    <row r="92">
      <c r="A92" s="3"/>
      <c r="B92" s="6" t="s">
        <v>293</v>
      </c>
      <c r="C92" s="25"/>
      <c r="D92" s="36">
        <v>76</v>
      </c>
      <c r="E92" s="25"/>
      <c r="F92" s="25"/>
      <c r="G92" s="25"/>
      <c r="H92" s="43"/>
      <c r="I92" s="11" t="s">
        <v>173</v>
      </c>
    </row>
    <row r="93">
      <c r="A93" s="3"/>
      <c r="B93" s="6" t="s">
        <v>294</v>
      </c>
      <c r="C93" s="12">
        <f>IFERROR(C91/C68,"n.a.")</f>
        <v>-0.017259414225941423</v>
      </c>
      <c r="D93" s="12">
        <f>IFERROR(D91/D68,"n.a.")</f>
        <v>-0.02164009111617312</v>
      </c>
      <c r="E93" s="12">
        <f>IFERROR(E91/E68,"n.a.")</f>
        <v>-0.0005889281507656066</v>
      </c>
      <c r="F93" s="12">
        <f>IFERROR(F91/F68,"n.a.")</f>
        <v>-0.005813953488372093</v>
      </c>
      <c r="G93" s="12">
        <f>IFERROR(G91/G68,"n.a.")</f>
        <v>0.004892493884382645</v>
      </c>
      <c r="H93" s="57">
        <f>C90</f>
        <v>0.029526462395543174</v>
      </c>
      <c r="I93" s="3"/>
    </row>
    <row r="94">
      <c r="A94" s="3"/>
      <c r="B94" s="6" t="s">
        <v>124</v>
      </c>
      <c r="C94" s="49">
        <f>IFERROR((C90-C93)*10000,"n.a.")</f>
        <v>467.85876621484596</v>
      </c>
      <c r="D94" s="49">
        <f>IFERROR((D90-D93)*10000,"n.a.")</f>
        <v>874.2956480038364</v>
      </c>
      <c r="E94" s="49">
        <f>IFERROR((E90-E93)*10000,"n.a.")</f>
        <v>-185.47480092610252</v>
      </c>
      <c r="F94" s="49">
        <f>IFERROR((F90-F93)*10000,"n.a.")</f>
        <v>1402.45205882091</v>
      </c>
      <c r="G94" s="49">
        <f>IFERROR((G90-G93)*10000,"n.a.")</f>
        <v>176.61736829595233</v>
      </c>
      <c r="H94" s="69">
        <f>IFERROR((H90-C90)*10000,"n.a.")</f>
        <v>64.73537604456823</v>
      </c>
      <c r="I94" s="3"/>
    </row>
    <row r="95">
      <c r="A95" s="3"/>
      <c r="B95" s="6" t="s">
        <v>125</v>
      </c>
      <c r="C95" s="49">
        <f>IFERROR((C90-F93)*10000,"n.a.")</f>
        <v>353.4041588391527</v>
      </c>
      <c r="D95" s="49">
        <f>(D90-C90)*10000</f>
        <v>362.63011288667354</v>
      </c>
      <c r="E95" s="49">
        <f>(E90-D90)*10000</f>
        <v>-849.2588192758637</v>
      </c>
      <c r="F95" s="49">
        <f>(F90-E90)*10000</f>
        <v>1535.6766063709476</v>
      </c>
      <c r="G95" s="49" t="s">
        <v>38</v>
      </c>
      <c r="H95" s="69">
        <f>(H90-F90)*10000</f>
        <v>-984.3125239371889</v>
      </c>
      <c r="I95" s="3"/>
    </row>
    <row r="96">
      <c r="A96" s="3"/>
      <c r="B96" s="3" t="s">
        <v>295</v>
      </c>
      <c r="C96" s="23">
        <f>'Income Statement'!C121</f>
        <v>5</v>
      </c>
      <c r="D96" s="23">
        <f>'Income Statement'!D121</f>
        <v>3</v>
      </c>
      <c r="E96" s="23">
        <f>'Income Statement'!E121</f>
        <v>151</v>
      </c>
      <c r="F96" s="23">
        <f>'Income Statement'!F121</f>
        <v>-301</v>
      </c>
      <c r="G96" s="23">
        <f>'Income Statement'!G121</f>
        <v>-21</v>
      </c>
      <c r="H96" s="47">
        <f>'Income Statement'!H121</f>
        <v>0</v>
      </c>
      <c r="I96" s="11" t="s">
        <v>296</v>
      </c>
    </row>
    <row r="97">
      <c r="A97" s="3"/>
      <c r="B97" s="15" t="s">
        <v>297</v>
      </c>
      <c r="C97" s="26">
        <f>C87+C96</f>
        <v>58</v>
      </c>
      <c r="D97" s="26">
        <f>D87+D96</f>
        <v>118</v>
      </c>
      <c r="E97" s="26">
        <f>E87+E96</f>
        <v>112</v>
      </c>
      <c r="F97" s="26">
        <f>F87+F96</f>
        <v>50</v>
      </c>
      <c r="G97" s="26">
        <f>G87+G96</f>
        <v>136</v>
      </c>
      <c r="H97" s="40">
        <f>H87+H96</f>
        <v>100.28847311251928</v>
      </c>
      <c r="I97" s="3"/>
    </row>
    <row r="98">
      <c r="A98" s="3"/>
      <c r="B98" s="3" t="s">
        <v>298</v>
      </c>
      <c r="C98" s="27">
        <v>52</v>
      </c>
      <c r="D98" s="22">
        <f>G98-D99</f>
        <v>117</v>
      </c>
      <c r="E98" s="27">
        <v>-38</v>
      </c>
      <c r="F98" s="27">
        <v>355</v>
      </c>
      <c r="G98" s="27">
        <v>156</v>
      </c>
      <c r="H98" s="39">
        <f>H87</f>
        <v>100.28847311251928</v>
      </c>
      <c r="I98" s="11" t="s">
        <v>228</v>
      </c>
    </row>
    <row r="99">
      <c r="A99" s="3"/>
      <c r="B99" s="6" t="s">
        <v>299</v>
      </c>
      <c r="C99" s="25"/>
      <c r="D99" s="36">
        <v>39</v>
      </c>
      <c r="E99" s="25"/>
      <c r="F99" s="25"/>
      <c r="G99" s="25"/>
      <c r="H99" s="43"/>
      <c r="I99" s="11" t="s">
        <v>173</v>
      </c>
    </row>
    <row r="100">
      <c r="A100" s="3"/>
      <c r="B100" s="3" t="s">
        <v>300</v>
      </c>
      <c r="C100" s="27">
        <v>9</v>
      </c>
      <c r="D100" s="22">
        <f>G100-D101</f>
        <v>13</v>
      </c>
      <c r="E100" s="27">
        <v>17</v>
      </c>
      <c r="F100" s="27">
        <v>16</v>
      </c>
      <c r="G100" s="27">
        <v>68</v>
      </c>
      <c r="H100" s="30">
        <v>15</v>
      </c>
      <c r="I100" s="11" t="s">
        <v>228</v>
      </c>
    </row>
    <row r="101">
      <c r="A101" s="3"/>
      <c r="B101" s="6" t="s">
        <v>301</v>
      </c>
      <c r="C101" s="25"/>
      <c r="D101" s="36">
        <v>55</v>
      </c>
      <c r="E101" s="25"/>
      <c r="F101" s="25"/>
      <c r="G101" s="25"/>
      <c r="H101" s="43"/>
      <c r="I101" s="11" t="s">
        <v>173</v>
      </c>
    </row>
    <row r="102">
      <c r="A102" s="3"/>
      <c r="B102" s="3" t="s">
        <v>302</v>
      </c>
      <c r="C102" s="27">
        <v>2680</v>
      </c>
      <c r="D102" s="27">
        <v>2552</v>
      </c>
      <c r="E102" s="27">
        <v>2859</v>
      </c>
      <c r="F102" s="27">
        <v>3634</v>
      </c>
      <c r="G102" s="22">
        <f>D102</f>
        <v>2552</v>
      </c>
      <c r="H102" s="39" t="s">
        <v>38</v>
      </c>
      <c r="I102" s="11" t="s">
        <v>228</v>
      </c>
    </row>
    <row r="103">
      <c r="A103" s="3"/>
      <c r="B103" s="3"/>
      <c r="C103" s="22"/>
      <c r="D103" s="22"/>
      <c r="E103" s="22"/>
      <c r="F103" s="22"/>
      <c r="G103" s="22"/>
      <c r="H103" s="39"/>
      <c r="I103" s="3"/>
    </row>
    <row r="104">
      <c r="A104" s="3"/>
      <c r="B104" s="15" t="s">
        <v>303</v>
      </c>
      <c r="C104" s="22"/>
      <c r="D104" s="22"/>
      <c r="E104" s="22"/>
      <c r="F104" s="22"/>
      <c r="G104" s="22"/>
      <c r="H104" s="39"/>
      <c r="I104" s="3"/>
    </row>
    <row r="105">
      <c r="A105" s="3"/>
      <c r="B105" s="3" t="s">
        <v>304</v>
      </c>
      <c r="C105" s="18" t="s">
        <v>38</v>
      </c>
      <c r="D105" s="18" t="s">
        <v>38</v>
      </c>
      <c r="E105" s="18" t="s">
        <v>38</v>
      </c>
      <c r="F105" s="8">
        <f>'Segment - Airline'!F190+F108</f>
        <v>4.04048128342246</v>
      </c>
      <c r="G105" s="18" t="s">
        <v>38</v>
      </c>
      <c r="H105" s="73">
        <f>'Segment - Airline'!H207+'Segment - Airline'!H210</f>
        <v>3.9443333333333332</v>
      </c>
      <c r="I105" s="11" t="s">
        <v>305</v>
      </c>
    </row>
    <row r="106">
      <c r="A106" s="3"/>
      <c r="B106" s="3" t="s">
        <v>95</v>
      </c>
      <c r="C106" s="18" t="s">
        <v>38</v>
      </c>
      <c r="D106" s="18" t="str">
        <f>IFERROR(D105-C105,"n.a.")</f>
        <v>n.a.</v>
      </c>
      <c r="E106" s="18" t="str">
        <f>IFERROR(E105-D105,"n.a.")</f>
        <v>n.a.</v>
      </c>
      <c r="F106" s="18" t="str">
        <f>IFERROR(F105-E105,"n.a.")</f>
        <v>n.a.</v>
      </c>
      <c r="G106" s="18" t="s">
        <v>38</v>
      </c>
      <c r="H106" s="61">
        <f>IFERROR(H105-F105,"n.a.")</f>
        <v>-0.09614795008912713</v>
      </c>
      <c r="I106" s="3"/>
    </row>
    <row r="107">
      <c r="A107" s="3"/>
      <c r="B107" s="6" t="s">
        <v>81</v>
      </c>
      <c r="C107" s="12" t="s">
        <v>38</v>
      </c>
      <c r="D107" s="12" t="s">
        <v>38</v>
      </c>
      <c r="E107" s="12" t="s">
        <v>38</v>
      </c>
      <c r="F107" s="12" t="s">
        <v>38</v>
      </c>
      <c r="G107" s="12" t="s">
        <v>38</v>
      </c>
      <c r="H107" s="57" t="s">
        <v>38</v>
      </c>
      <c r="I107" s="11" t="s">
        <v>306</v>
      </c>
    </row>
    <row r="108">
      <c r="A108" s="3"/>
      <c r="B108" s="3" t="s">
        <v>307</v>
      </c>
      <c r="C108" s="18" t="s">
        <v>38</v>
      </c>
      <c r="D108" s="18" t="s">
        <v>38</v>
      </c>
      <c r="E108" s="18" t="s">
        <v>38</v>
      </c>
      <c r="F108" s="24">
        <v>0.11</v>
      </c>
      <c r="G108" s="18" t="s">
        <v>38</v>
      </c>
      <c r="H108" s="60">
        <v>0.1</v>
      </c>
      <c r="I108" s="11" t="s">
        <v>308</v>
      </c>
    </row>
    <row r="109">
      <c r="A109" s="3"/>
      <c r="B109" s="3" t="s">
        <v>95</v>
      </c>
      <c r="C109" s="18" t="s">
        <v>38</v>
      </c>
      <c r="D109" s="18" t="str">
        <f>IFERROR(D108-C108,"n.a.")</f>
        <v>n.a.</v>
      </c>
      <c r="E109" s="18" t="str">
        <f>IFERROR(E108-D108,"n.a.")</f>
        <v>n.a.</v>
      </c>
      <c r="F109" s="18" t="str">
        <f>IFERROR(F108-E108,"n.a.")</f>
        <v>n.a.</v>
      </c>
      <c r="G109" s="18" t="s">
        <v>38</v>
      </c>
      <c r="H109" s="61">
        <f>IFERROR(H108-F108,"n.a.")</f>
        <v>-0.009999999999999995</v>
      </c>
      <c r="I109" s="3"/>
    </row>
    <row r="110">
      <c r="A110" s="3"/>
      <c r="B110" s="3" t="s">
        <v>202</v>
      </c>
      <c r="C110" s="18" t="s">
        <v>38</v>
      </c>
      <c r="D110" s="18" t="s">
        <v>38</v>
      </c>
      <c r="E110" s="18" t="s">
        <v>38</v>
      </c>
      <c r="F110" s="18" t="s">
        <v>38</v>
      </c>
      <c r="G110" s="18" t="s">
        <v>38</v>
      </c>
      <c r="H110" s="61" t="s">
        <v>38</v>
      </c>
      <c r="I110" s="11" t="s">
        <v>309</v>
      </c>
    </row>
    <row r="111">
      <c r="A111" s="3"/>
      <c r="B111" s="3" t="s">
        <v>310</v>
      </c>
      <c r="C111" s="18"/>
      <c r="D111" s="18"/>
      <c r="E111" s="18"/>
      <c r="F111" s="18"/>
      <c r="G111" s="18"/>
      <c r="H111" s="73">
        <f>Guidance!F29</f>
        <v>3.15</v>
      </c>
      <c r="I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311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312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97</v>
      </c>
      <c r="C11" s="23">
        <f>'Revenue summary'!C42</f>
        <v>13506</v>
      </c>
      <c r="D11" s="23">
        <f>'Revenue summary'!D42</f>
        <v>12916</v>
      </c>
      <c r="E11" s="23">
        <f>'Revenue summary'!E42</f>
        <v>12302</v>
      </c>
      <c r="F11" s="23">
        <f>'Revenue summary'!F42</f>
        <v>15607</v>
      </c>
      <c r="G11" s="23">
        <f>'Revenue summary'!G42</f>
        <v>51768</v>
      </c>
      <c r="H11" s="47">
        <f>'Revenue summary'!H42</f>
        <v>15701.738874999997</v>
      </c>
      <c r="I11" s="3"/>
    </row>
    <row r="12">
      <c r="A12" s="3"/>
      <c r="B12" s="3" t="s">
        <v>98</v>
      </c>
      <c r="C12" s="23">
        <f>'Revenue summary'!C50</f>
        <v>233</v>
      </c>
      <c r="D12" s="23">
        <f>'Revenue summary'!D50</f>
        <v>246</v>
      </c>
      <c r="E12" s="23">
        <f>'Revenue summary'!E50</f>
        <v>226</v>
      </c>
      <c r="F12" s="23">
        <f>'Revenue summary'!F50</f>
        <v>294</v>
      </c>
      <c r="G12" s="23">
        <f>'Revenue summary'!G50</f>
        <v>900</v>
      </c>
      <c r="H12" s="47">
        <f>'Revenue summary'!H50</f>
        <v>302.90000000000003</v>
      </c>
      <c r="I12" s="3"/>
    </row>
    <row r="13">
      <c r="A13" s="3"/>
      <c r="B13" s="3" t="s">
        <v>313</v>
      </c>
      <c r="C13" s="23">
        <f>'Revenue summary'!C74</f>
        <v>2934</v>
      </c>
      <c r="D13" s="23">
        <f>'Revenue summary'!D74</f>
        <v>2841</v>
      </c>
      <c r="E13" s="23">
        <f>'Revenue summary'!E74</f>
        <v>3326</v>
      </c>
      <c r="F13" s="23">
        <f>'Revenue summary'!F74</f>
        <v>3856</v>
      </c>
      <c r="G13" s="23">
        <f>'Revenue summary'!G74</f>
        <v>10696</v>
      </c>
      <c r="H13" s="47">
        <f>'Revenue summary'!H74</f>
        <v>3985.8820127481786</v>
      </c>
      <c r="I13" s="3"/>
    </row>
    <row r="14">
      <c r="A14" s="3"/>
      <c r="B14" s="15" t="s">
        <v>314</v>
      </c>
      <c r="C14" s="26">
        <f>SUM(C11:C13)</f>
        <v>16673</v>
      </c>
      <c r="D14" s="26">
        <f>SUM(D11:D13)</f>
        <v>16003</v>
      </c>
      <c r="E14" s="26">
        <f>SUM(E11:E13)</f>
        <v>15854</v>
      </c>
      <c r="F14" s="26">
        <f>SUM(F11:F13)</f>
        <v>19757</v>
      </c>
      <c r="G14" s="26">
        <f>SUM(G11:G13)</f>
        <v>63364</v>
      </c>
      <c r="H14" s="40">
        <f>SUM(H11:H13)</f>
        <v>19990.520887748175</v>
      </c>
      <c r="I14" s="3"/>
    </row>
    <row r="15">
      <c r="A15" s="3"/>
      <c r="B15" s="6" t="s">
        <v>80</v>
      </c>
      <c r="C15" s="33">
        <f>'Revenue summary'!C32</f>
        <v>15677</v>
      </c>
      <c r="D15" s="33">
        <f>'Revenue summary'!D32</f>
        <v>15559</v>
      </c>
      <c r="E15" s="33">
        <f>'Revenue summary'!E32</f>
        <v>14040</v>
      </c>
      <c r="F15" s="33">
        <f>'Revenue summary'!F32</f>
        <v>16648</v>
      </c>
      <c r="G15" s="33">
        <f>'Revenue summary'!G32</f>
        <v>61643</v>
      </c>
      <c r="H15" s="43">
        <f>C14</f>
        <v>16673</v>
      </c>
      <c r="I15" s="3"/>
    </row>
    <row r="16">
      <c r="A16" s="3"/>
      <c r="B16" s="6" t="s">
        <v>81</v>
      </c>
      <c r="C16" s="12">
        <f>IFERROR(C14/C15-1,"n.a.")</f>
        <v>0.06353256362824511</v>
      </c>
      <c r="D16" s="12">
        <f>IFERROR(D14/D15-1,"n.a.")</f>
        <v>0.028536538337939454</v>
      </c>
      <c r="E16" s="12">
        <f>IFERROR(E14/E15-1,"n.a.")</f>
        <v>0.1292022792022791</v>
      </c>
      <c r="F16" s="12">
        <f>IFERROR(F14/F15-1,"n.a.")</f>
        <v>0.18674915905814515</v>
      </c>
      <c r="G16" s="12">
        <f>IFERROR(G14/G15-1,"n.a.")</f>
        <v>0.027918822899599238</v>
      </c>
      <c r="H16" s="57">
        <f>IFERROR(H14/C14-1,"n.a.")</f>
        <v>0.19897564252073252</v>
      </c>
      <c r="I16" s="3"/>
    </row>
    <row r="17">
      <c r="A17" s="3"/>
      <c r="B17" s="6" t="s">
        <v>82</v>
      </c>
      <c r="C17" s="12">
        <f>IFERROR(C14/F15-1,"n.a.")</f>
        <v>0.0015016818837096935</v>
      </c>
      <c r="D17" s="12">
        <f>IFERROR(D14/C14-1,"n.a.")</f>
        <v>-0.04018472980267496</v>
      </c>
      <c r="E17" s="12">
        <f>IFERROR(E14/D14-1,"n.a.")</f>
        <v>-0.009310754233581187</v>
      </c>
      <c r="F17" s="12">
        <f>IFERROR(F14/E14-1,"n.a.")</f>
        <v>0.24618392834615865</v>
      </c>
      <c r="G17" s="12" t="s">
        <v>38</v>
      </c>
      <c r="H17" s="57">
        <f>IFERROR(H14/F14-1,"n.a.")</f>
        <v>0.011819653173466449</v>
      </c>
      <c r="I17" s="3"/>
    </row>
    <row r="18">
      <c r="A18" s="3"/>
      <c r="B18" s="3"/>
      <c r="C18" s="22"/>
      <c r="D18" s="22"/>
      <c r="E18" s="22"/>
      <c r="F18" s="22"/>
      <c r="G18" s="22"/>
      <c r="H18" s="39"/>
      <c r="I18" s="3"/>
    </row>
    <row r="19">
      <c r="A19" s="3"/>
      <c r="B19" s="15" t="s">
        <v>315</v>
      </c>
      <c r="C19" s="22"/>
      <c r="D19" s="22"/>
      <c r="E19" s="22"/>
      <c r="F19" s="22"/>
      <c r="G19" s="22"/>
      <c r="H19" s="39"/>
      <c r="I19" s="3"/>
    </row>
    <row r="20">
      <c r="A20" s="3"/>
      <c r="B20" s="3" t="s">
        <v>316</v>
      </c>
      <c r="C20" s="27">
        <v>4443</v>
      </c>
      <c r="D20" s="27">
        <v>4592</v>
      </c>
      <c r="E20" s="27">
        <v>4541</v>
      </c>
      <c r="F20" s="27">
        <v>4762</v>
      </c>
      <c r="G20" s="27">
        <v>17520</v>
      </c>
      <c r="H20" s="39">
        <f>H21*(1+H22)</f>
        <v>4789.554</v>
      </c>
      <c r="I20" s="11" t="s">
        <v>317</v>
      </c>
    </row>
    <row r="21">
      <c r="A21" s="3"/>
      <c r="B21" s="6" t="s">
        <v>80</v>
      </c>
      <c r="C21" s="36">
        <v>4231</v>
      </c>
      <c r="D21" s="36">
        <v>4127</v>
      </c>
      <c r="E21" s="36">
        <v>4083</v>
      </c>
      <c r="F21" s="36">
        <v>4402</v>
      </c>
      <c r="G21" s="36">
        <v>16161</v>
      </c>
      <c r="H21" s="43">
        <f>C20</f>
        <v>4443</v>
      </c>
      <c r="I21" s="11" t="s">
        <v>94</v>
      </c>
    </row>
    <row r="22">
      <c r="A22" s="3"/>
      <c r="B22" s="6" t="s">
        <v>81</v>
      </c>
      <c r="C22" s="12">
        <f>IFERROR(C20/C21-1,"n.a.")</f>
        <v>0.05010635783502715</v>
      </c>
      <c r="D22" s="12">
        <f>IFERROR(D20/D21-1,"n.a.")</f>
        <v>0.11267264356675555</v>
      </c>
      <c r="E22" s="12">
        <f>IFERROR(E20/E21-1,"n.a.")</f>
        <v>0.11217242223855006</v>
      </c>
      <c r="F22" s="12">
        <f>IFERROR(F20/F21-1,"n.a.")</f>
        <v>0.08178100863243976</v>
      </c>
      <c r="G22" s="12">
        <f>IFERROR(G20/G21-1,"n.a.")</f>
        <v>0.08409133098199373</v>
      </c>
      <c r="H22" s="63">
        <v>0.078</v>
      </c>
      <c r="I22" s="3"/>
    </row>
    <row r="23">
      <c r="A23" s="3"/>
      <c r="B23" s="3" t="s">
        <v>318</v>
      </c>
      <c r="C23" s="27">
        <v>2570</v>
      </c>
      <c r="D23" s="27">
        <v>2380</v>
      </c>
      <c r="E23" s="27">
        <v>2742</v>
      </c>
      <c r="F23" s="27">
        <v>4109</v>
      </c>
      <c r="G23" s="27">
        <v>9819</v>
      </c>
      <c r="H23" s="47">
        <f>'Segment - Airline'!H186+H121</f>
        <v>4389.371080475333</v>
      </c>
      <c r="I23" s="11" t="s">
        <v>319</v>
      </c>
    </row>
    <row r="24">
      <c r="A24" s="3"/>
      <c r="B24" s="6" t="s">
        <v>80</v>
      </c>
      <c r="C24" s="36">
        <v>2747</v>
      </c>
      <c r="D24" s="36">
        <v>2409</v>
      </c>
      <c r="E24" s="36">
        <v>2410</v>
      </c>
      <c r="F24" s="36">
        <v>2458</v>
      </c>
      <c r="G24" s="36">
        <v>10566</v>
      </c>
      <c r="H24" s="43">
        <f>C23</f>
        <v>2570</v>
      </c>
      <c r="I24" s="11" t="s">
        <v>94</v>
      </c>
    </row>
    <row r="25">
      <c r="A25" s="3"/>
      <c r="B25" s="6" t="s">
        <v>81</v>
      </c>
      <c r="C25" s="12">
        <f>IFERROR(C23/C24-1,"n.a.")</f>
        <v>-0.06443392792136882</v>
      </c>
      <c r="D25" s="12">
        <f>IFERROR(D23/D24-1,"n.a.")</f>
        <v>-0.012038190120381875</v>
      </c>
      <c r="E25" s="12">
        <f>IFERROR(E23/E24-1,"n.a.")</f>
        <v>0.13775933609958502</v>
      </c>
      <c r="F25" s="12">
        <f>IFERROR(F23/F24-1,"n.a.")</f>
        <v>0.6716842961757525</v>
      </c>
      <c r="G25" s="12">
        <f>IFERROR(G23/G24-1,"n.a.")</f>
        <v>-0.0706984667802385</v>
      </c>
      <c r="H25" s="57">
        <f>IFERROR(H23/C23-1,"n.a.")</f>
        <v>0.7079264904573279</v>
      </c>
      <c r="I25" s="3"/>
    </row>
    <row r="26">
      <c r="A26" s="3"/>
      <c r="B26" s="3" t="s">
        <v>320</v>
      </c>
      <c r="C26" s="22" t="s">
        <v>38</v>
      </c>
      <c r="D26" s="22" t="s">
        <v>38</v>
      </c>
      <c r="E26" s="27">
        <v>1654</v>
      </c>
      <c r="F26" s="27">
        <v>2091</v>
      </c>
      <c r="G26" s="22" t="s">
        <v>38</v>
      </c>
      <c r="H26" s="47">
        <f>'Segment - Refinery'!H28</f>
        <v>2230.980012748179</v>
      </c>
      <c r="I26" s="11" t="s">
        <v>321</v>
      </c>
    </row>
    <row r="27">
      <c r="A27" s="3"/>
      <c r="B27" s="6" t="s">
        <v>80</v>
      </c>
      <c r="C27" s="25" t="s">
        <v>38</v>
      </c>
      <c r="D27" s="25" t="s">
        <v>38</v>
      </c>
      <c r="E27" s="36">
        <v>1062</v>
      </c>
      <c r="F27" s="36">
        <v>1141</v>
      </c>
      <c r="G27" s="25" t="s">
        <v>38</v>
      </c>
      <c r="H27" s="43" t="str">
        <f>C26</f>
        <v>n.a.</v>
      </c>
      <c r="I27" s="11" t="s">
        <v>94</v>
      </c>
    </row>
    <row r="28">
      <c r="A28" s="3"/>
      <c r="B28" s="6" t="s">
        <v>81</v>
      </c>
      <c r="C28" s="12" t="str">
        <f>IFERROR(C26/C27-1,"n.a.")</f>
        <v>n.a.</v>
      </c>
      <c r="D28" s="12" t="str">
        <f>IFERROR(D26/D27-1,"n.a.")</f>
        <v>n.a.</v>
      </c>
      <c r="E28" s="12">
        <f>IFERROR(E26/E27-1,"n.a.")</f>
        <v>0.5574387947269304</v>
      </c>
      <c r="F28" s="12">
        <f>IFERROR(F26/F27-1,"n.a.")</f>
        <v>0.8326029798422436</v>
      </c>
      <c r="G28" s="12" t="str">
        <f>IFERROR(G26/G27-1,"n.a.")</f>
        <v>n.a.</v>
      </c>
      <c r="H28" s="57" t="str">
        <f>IFERROR(H26/C26-1,"n.a.")</f>
        <v>n.a.</v>
      </c>
      <c r="I28" s="3"/>
    </row>
    <row r="29">
      <c r="A29" s="3"/>
      <c r="B29" s="3" t="s">
        <v>322</v>
      </c>
      <c r="C29" s="27">
        <v>1724</v>
      </c>
      <c r="D29" s="27">
        <v>1604</v>
      </c>
      <c r="E29" s="22" t="s">
        <v>38</v>
      </c>
      <c r="F29" s="22" t="s">
        <v>38</v>
      </c>
      <c r="G29" s="27">
        <v>5987</v>
      </c>
      <c r="H29" s="39" t="s">
        <v>38</v>
      </c>
      <c r="I29" s="11" t="s">
        <v>323</v>
      </c>
    </row>
    <row r="30">
      <c r="A30" s="3"/>
      <c r="B30" s="6" t="s">
        <v>80</v>
      </c>
      <c r="C30" s="36">
        <v>1250</v>
      </c>
      <c r="D30" s="36">
        <v>1333</v>
      </c>
      <c r="E30" s="25" t="s">
        <v>38</v>
      </c>
      <c r="F30" s="25" t="s">
        <v>38</v>
      </c>
      <c r="G30" s="36">
        <v>5416</v>
      </c>
      <c r="H30" s="43">
        <f>C29</f>
        <v>1724</v>
      </c>
      <c r="I30" s="11" t="s">
        <v>94</v>
      </c>
    </row>
    <row r="31">
      <c r="A31" s="3"/>
      <c r="B31" s="6" t="s">
        <v>81</v>
      </c>
      <c r="C31" s="12">
        <f>IFERROR(C29/C30-1,"n.a.")</f>
        <v>0.3792</v>
      </c>
      <c r="D31" s="12">
        <f>IFERROR(D29/D30-1,"n.a.")</f>
        <v>0.20330082520630155</v>
      </c>
      <c r="E31" s="12" t="str">
        <f>IFERROR(E29/E30-1,"n.a.")</f>
        <v>n.a.</v>
      </c>
      <c r="F31" s="12" t="str">
        <f>IFERROR(F29/F30-1,"n.a.")</f>
        <v>n.a.</v>
      </c>
      <c r="G31" s="12">
        <f>IFERROR(G29/G30-1,"n.a.")</f>
        <v>0.10542836041358927</v>
      </c>
      <c r="H31" s="57" t="str">
        <f>IFERROR(H29/C29-1,"n.a.")</f>
        <v>n.a.</v>
      </c>
      <c r="I31" s="3"/>
    </row>
    <row r="32">
      <c r="A32" s="3"/>
      <c r="B32" s="3" t="s">
        <v>324</v>
      </c>
      <c r="C32" s="27">
        <v>1166</v>
      </c>
      <c r="D32" s="27">
        <v>1175</v>
      </c>
      <c r="E32" s="27">
        <v>1190</v>
      </c>
      <c r="F32" s="27">
        <v>1263</v>
      </c>
      <c r="G32" s="27">
        <v>4617</v>
      </c>
      <c r="H32" s="39">
        <f>H33*(1+H34)</f>
        <v>1253.45</v>
      </c>
      <c r="I32" s="11" t="s">
        <v>103</v>
      </c>
    </row>
    <row r="33">
      <c r="A33" s="3"/>
      <c r="B33" s="6" t="s">
        <v>80</v>
      </c>
      <c r="C33" s="36">
        <v>1069</v>
      </c>
      <c r="D33" s="36">
        <v>1094</v>
      </c>
      <c r="E33" s="36">
        <v>1121</v>
      </c>
      <c r="F33" s="36">
        <v>1155</v>
      </c>
      <c r="G33" s="36">
        <v>4228</v>
      </c>
      <c r="H33" s="43">
        <f>C32</f>
        <v>1166</v>
      </c>
      <c r="I33" s="11" t="s">
        <v>94</v>
      </c>
    </row>
    <row r="34">
      <c r="A34" s="3"/>
      <c r="B34" s="6" t="s">
        <v>81</v>
      </c>
      <c r="C34" s="12">
        <f>IFERROR(C32/C33-1,"n.a.")</f>
        <v>0.09073900841908333</v>
      </c>
      <c r="D34" s="12">
        <f>IFERROR(D32/D33-1,"n.a.")</f>
        <v>0.07404021937842775</v>
      </c>
      <c r="E34" s="12">
        <f>IFERROR(E32/E33-1,"n.a.")</f>
        <v>0.06155218554861741</v>
      </c>
      <c r="F34" s="12">
        <f>IFERROR(F32/F33-1,"n.a.")</f>
        <v>0.09350649350649354</v>
      </c>
      <c r="G34" s="12">
        <f>IFERROR(G32/G33-1,"n.a.")</f>
        <v>0.09200567644276259</v>
      </c>
      <c r="H34" s="63">
        <v>0.075</v>
      </c>
      <c r="I34" s="3"/>
    </row>
    <row r="35">
      <c r="A35" s="3"/>
      <c r="B35" s="3" t="s">
        <v>325</v>
      </c>
      <c r="C35" s="27">
        <v>921</v>
      </c>
      <c r="D35" s="27">
        <v>914</v>
      </c>
      <c r="E35" s="27">
        <v>913</v>
      </c>
      <c r="F35" s="27">
        <v>978</v>
      </c>
      <c r="G35" s="27">
        <v>3564</v>
      </c>
      <c r="H35" s="39">
        <f>H36*(1+H37)</f>
        <v>1008.495</v>
      </c>
      <c r="I35" s="11" t="s">
        <v>103</v>
      </c>
    </row>
    <row r="36">
      <c r="A36" s="3"/>
      <c r="B36" s="6" t="s">
        <v>80</v>
      </c>
      <c r="C36" s="36">
        <v>832</v>
      </c>
      <c r="D36" s="36">
        <v>803</v>
      </c>
      <c r="E36" s="36">
        <v>851</v>
      </c>
      <c r="F36" s="36">
        <v>878</v>
      </c>
      <c r="G36" s="36">
        <v>3150</v>
      </c>
      <c r="H36" s="43">
        <f>C35</f>
        <v>921</v>
      </c>
      <c r="I36" s="11" t="s">
        <v>94</v>
      </c>
    </row>
    <row r="37">
      <c r="A37" s="3"/>
      <c r="B37" s="6" t="s">
        <v>81</v>
      </c>
      <c r="C37" s="12">
        <f>IFERROR(C35/C36-1,"n.a.")</f>
        <v>0.10697115384615374</v>
      </c>
      <c r="D37" s="12">
        <f>IFERROR(D35/D36-1,"n.a.")</f>
        <v>0.13823163138231642</v>
      </c>
      <c r="E37" s="12">
        <f>IFERROR(E35/E36-1,"n.a.")</f>
        <v>0.07285546415981203</v>
      </c>
      <c r="F37" s="12">
        <f>IFERROR(F35/F36-1,"n.a.")</f>
        <v>0.11389521640091127</v>
      </c>
      <c r="G37" s="12">
        <f>IFERROR(G35/G36-1,"n.a.")</f>
        <v>0.13142857142857145</v>
      </c>
      <c r="H37" s="63">
        <v>0.095</v>
      </c>
      <c r="I37" s="3"/>
    </row>
    <row r="38" ht="14.624267578125">
      <c r="A38" s="3"/>
      <c r="B38" s="3" t="s">
        <v>326</v>
      </c>
      <c r="C38" s="27">
        <v>667</v>
      </c>
      <c r="D38" s="27">
        <v>528</v>
      </c>
      <c r="E38" s="27">
        <v>709</v>
      </c>
      <c r="F38" s="27">
        <v>689</v>
      </c>
      <c r="G38" s="27">
        <v>2432</v>
      </c>
      <c r="H38" s="39">
        <f>H39*(1+H40)</f>
        <v>707.02</v>
      </c>
      <c r="I38" s="11" t="s">
        <v>327</v>
      </c>
    </row>
    <row r="39">
      <c r="A39" s="3"/>
      <c r="B39" s="6" t="s">
        <v>80</v>
      </c>
      <c r="C39" s="36">
        <v>627</v>
      </c>
      <c r="D39" s="36">
        <v>626</v>
      </c>
      <c r="E39" s="36">
        <v>646</v>
      </c>
      <c r="F39" s="36">
        <v>591</v>
      </c>
      <c r="G39" s="36">
        <v>2616</v>
      </c>
      <c r="H39" s="43">
        <f>C38</f>
        <v>667</v>
      </c>
      <c r="I39" s="11" t="s">
        <v>94</v>
      </c>
    </row>
    <row r="40">
      <c r="A40" s="3"/>
      <c r="B40" s="6" t="s">
        <v>81</v>
      </c>
      <c r="C40" s="12">
        <f>IFERROR(C38/C39-1,"n.a.")</f>
        <v>0.06379585326953752</v>
      </c>
      <c r="D40" s="12">
        <f>IFERROR(D38/D39-1,"n.a.")</f>
        <v>-0.1565495207667732</v>
      </c>
      <c r="E40" s="12">
        <f>IFERROR(E38/E39-1,"n.a.")</f>
        <v>0.0975232198142415</v>
      </c>
      <c r="F40" s="12">
        <f>IFERROR(F38/F39-1,"n.a.")</f>
        <v>0.16582064297800336</v>
      </c>
      <c r="G40" s="12">
        <f>IFERROR(G38/G39-1,"n.a.")</f>
        <v>-0.07033639143730885</v>
      </c>
      <c r="H40" s="63">
        <v>0.06</v>
      </c>
      <c r="I40" s="3"/>
    </row>
    <row r="41">
      <c r="A41" s="3"/>
      <c r="B41" s="3" t="s">
        <v>328</v>
      </c>
      <c r="C41" s="27">
        <v>649</v>
      </c>
      <c r="D41" s="27">
        <v>640</v>
      </c>
      <c r="E41" s="27">
        <v>649</v>
      </c>
      <c r="F41" s="27">
        <v>673</v>
      </c>
      <c r="G41" s="27">
        <v>2553</v>
      </c>
      <c r="H41" s="39">
        <f>H42*(1+H43)</f>
        <v>671.7149999999999</v>
      </c>
      <c r="I41" s="11" t="s">
        <v>103</v>
      </c>
    </row>
    <row r="42">
      <c r="A42" s="3"/>
      <c r="B42" s="6" t="s">
        <v>80</v>
      </c>
      <c r="C42" s="36">
        <v>600</v>
      </c>
      <c r="D42" s="36">
        <v>598</v>
      </c>
      <c r="E42" s="36">
        <v>613</v>
      </c>
      <c r="F42" s="36">
        <v>651</v>
      </c>
      <c r="G42" s="36">
        <v>2328</v>
      </c>
      <c r="H42" s="43">
        <f>C41</f>
        <v>649</v>
      </c>
      <c r="I42" s="11" t="s">
        <v>94</v>
      </c>
    </row>
    <row r="43">
      <c r="A43" s="3"/>
      <c r="B43" s="6" t="s">
        <v>81</v>
      </c>
      <c r="C43" s="12">
        <f>IFERROR(C41/C42-1,"n.a.")</f>
        <v>0.08166666666666678</v>
      </c>
      <c r="D43" s="12">
        <f>IFERROR(D41/D42-1,"n.a.")</f>
        <v>0.07023411371237454</v>
      </c>
      <c r="E43" s="12">
        <f>IFERROR(E41/E42-1,"n.a.")</f>
        <v>0.05872756933115819</v>
      </c>
      <c r="F43" s="12">
        <f>IFERROR(F41/F42-1,"n.a.")</f>
        <v>0.03379416282642089</v>
      </c>
      <c r="G43" s="12">
        <f>IFERROR(G41/G42-1,"n.a.")</f>
        <v>0.09664948453608257</v>
      </c>
      <c r="H43" s="63">
        <v>0.035</v>
      </c>
      <c r="I43" s="3"/>
    </row>
    <row r="44" ht="14.624267578125">
      <c r="A44" s="3"/>
      <c r="B44" s="3" t="s">
        <v>329</v>
      </c>
      <c r="C44" s="27">
        <v>645</v>
      </c>
      <c r="D44" s="27">
        <v>616</v>
      </c>
      <c r="E44" s="27">
        <v>590</v>
      </c>
      <c r="F44" s="27">
        <v>726</v>
      </c>
      <c r="G44" s="27">
        <v>2485</v>
      </c>
      <c r="H44" s="39">
        <f>H45*(1+H46)</f>
        <v>724.98</v>
      </c>
      <c r="I44" s="11" t="s">
        <v>330</v>
      </c>
    </row>
    <row r="45">
      <c r="A45" s="3"/>
      <c r="B45" s="6" t="s">
        <v>80</v>
      </c>
      <c r="C45" s="36">
        <v>643</v>
      </c>
      <c r="D45" s="36">
        <v>620</v>
      </c>
      <c r="E45" s="36">
        <v>552</v>
      </c>
      <c r="F45" s="36">
        <v>673</v>
      </c>
      <c r="G45" s="36">
        <v>2485</v>
      </c>
      <c r="H45" s="43">
        <f>C44</f>
        <v>645</v>
      </c>
      <c r="I45" s="11" t="s">
        <v>94</v>
      </c>
    </row>
    <row r="46">
      <c r="A46" s="3"/>
      <c r="B46" s="6" t="s">
        <v>81</v>
      </c>
      <c r="C46" s="12">
        <f>IFERROR(C44/C45-1,"n.a.")</f>
        <v>0.0031104199066873672</v>
      </c>
      <c r="D46" s="12">
        <f>IFERROR(D44/D45-1,"n.a.")</f>
        <v>-0.006451612903225823</v>
      </c>
      <c r="E46" s="12">
        <f>IFERROR(E44/E45-1,"n.a.")</f>
        <v>0.06884057971014501</v>
      </c>
      <c r="F46" s="12">
        <f>IFERROR(F44/F45-1,"n.a.")</f>
        <v>0.07875185735512624</v>
      </c>
      <c r="G46" s="12">
        <f>IFERROR(G44/G45-1,"n.a.")</f>
        <v>0</v>
      </c>
      <c r="H46" s="63">
        <v>0.124</v>
      </c>
      <c r="I46" s="3"/>
    </row>
    <row r="47">
      <c r="A47" s="3"/>
      <c r="B47" s="3" t="s">
        <v>223</v>
      </c>
      <c r="C47" s="27">
        <v>614</v>
      </c>
      <c r="D47" s="27">
        <v>620</v>
      </c>
      <c r="E47" s="27">
        <v>635</v>
      </c>
      <c r="F47" s="27">
        <v>656</v>
      </c>
      <c r="G47" s="27">
        <v>2443</v>
      </c>
      <c r="H47" s="39">
        <f>H48*(1+H49)</f>
        <v>655.1379999999999</v>
      </c>
      <c r="I47" s="11" t="s">
        <v>103</v>
      </c>
    </row>
    <row r="48">
      <c r="A48" s="3"/>
      <c r="B48" s="6" t="s">
        <v>80</v>
      </c>
      <c r="C48" s="36">
        <v>643</v>
      </c>
      <c r="D48" s="36">
        <v>635</v>
      </c>
      <c r="E48" s="36">
        <v>607</v>
      </c>
      <c r="F48" s="36">
        <v>602</v>
      </c>
      <c r="G48" s="36">
        <v>2513</v>
      </c>
      <c r="H48" s="43">
        <f>C47</f>
        <v>614</v>
      </c>
      <c r="I48" s="11" t="s">
        <v>94</v>
      </c>
    </row>
    <row r="49">
      <c r="A49" s="3"/>
      <c r="B49" s="6" t="s">
        <v>81</v>
      </c>
      <c r="C49" s="12">
        <f>IFERROR(C47/C48-1,"n.a.")</f>
        <v>-0.04510108864696738</v>
      </c>
      <c r="D49" s="12">
        <f>IFERROR(D47/D48-1,"n.a.")</f>
        <v>-0.023622047244094446</v>
      </c>
      <c r="E49" s="12">
        <f>IFERROR(E47/E48-1,"n.a.")</f>
        <v>0.04612850082372333</v>
      </c>
      <c r="F49" s="12">
        <f>IFERROR(F47/F48-1,"n.a.")</f>
        <v>0.0897009966777409</v>
      </c>
      <c r="G49" s="12">
        <f>IFERROR(G47/G48-1,"n.a.")</f>
        <v>-0.027855153203342642</v>
      </c>
      <c r="H49" s="63">
        <v>0.067</v>
      </c>
      <c r="I49" s="3"/>
    </row>
    <row r="50">
      <c r="A50" s="3"/>
      <c r="B50" s="3" t="s">
        <v>331</v>
      </c>
      <c r="C50" s="27">
        <v>485</v>
      </c>
      <c r="D50" s="27">
        <v>458</v>
      </c>
      <c r="E50" s="27">
        <v>428</v>
      </c>
      <c r="F50" s="27">
        <v>489</v>
      </c>
      <c r="G50" s="27">
        <v>1855</v>
      </c>
      <c r="H50" s="39">
        <f>H51*(1+H52)</f>
        <v>498.09499999999997</v>
      </c>
      <c r="I50" s="11" t="s">
        <v>103</v>
      </c>
    </row>
    <row r="51">
      <c r="A51" s="3"/>
      <c r="B51" s="6" t="s">
        <v>80</v>
      </c>
      <c r="C51" s="36">
        <v>463</v>
      </c>
      <c r="D51" s="36">
        <v>449</v>
      </c>
      <c r="E51" s="36">
        <v>430</v>
      </c>
      <c r="F51" s="36">
        <v>482</v>
      </c>
      <c r="G51" s="36">
        <v>1788</v>
      </c>
      <c r="H51" s="43">
        <f>C50</f>
        <v>485</v>
      </c>
      <c r="I51" s="11" t="s">
        <v>94</v>
      </c>
    </row>
    <row r="52">
      <c r="A52" s="3"/>
      <c r="B52" s="6" t="s">
        <v>81</v>
      </c>
      <c r="C52" s="12">
        <f>IFERROR(C50/C51-1,"n.a.")</f>
        <v>0.04751619870410373</v>
      </c>
      <c r="D52" s="12">
        <f>IFERROR(D50/D51-1,"n.a.")</f>
        <v>0.020044543429844186</v>
      </c>
      <c r="E52" s="12">
        <f>IFERROR(E50/E51-1,"n.a.")</f>
        <v>-0.0046511627906976605</v>
      </c>
      <c r="F52" s="12">
        <f>IFERROR(F50/F51-1,"n.a.")</f>
        <v>0.014522821576763434</v>
      </c>
      <c r="G52" s="12">
        <f>IFERROR(G50/G51-1,"n.a.")</f>
        <v>0.037472035794183345</v>
      </c>
      <c r="H52" s="63">
        <v>0.027</v>
      </c>
      <c r="I52" s="3"/>
    </row>
    <row r="53">
      <c r="A53" s="3"/>
      <c r="B53" s="3" t="s">
        <v>332</v>
      </c>
      <c r="C53" s="22" t="s">
        <v>38</v>
      </c>
      <c r="D53" s="22" t="s">
        <v>38</v>
      </c>
      <c r="E53" s="27">
        <v>328</v>
      </c>
      <c r="F53" s="27">
        <v>273</v>
      </c>
      <c r="G53" s="22" t="s">
        <v>38</v>
      </c>
      <c r="H53" s="47">
        <f>'Segment - Airline'!H112*(1-H151)</f>
        <v>246.70800000000003</v>
      </c>
      <c r="I53" s="11" t="s">
        <v>333</v>
      </c>
    </row>
    <row r="54">
      <c r="A54" s="3"/>
      <c r="B54" s="6" t="s">
        <v>80</v>
      </c>
      <c r="C54" s="25" t="s">
        <v>38</v>
      </c>
      <c r="D54" s="25" t="s">
        <v>38</v>
      </c>
      <c r="E54" s="36">
        <v>140</v>
      </c>
      <c r="F54" s="36">
        <v>229</v>
      </c>
      <c r="G54" s="25" t="s">
        <v>38</v>
      </c>
      <c r="H54" s="43" t="str">
        <f>C53</f>
        <v>n.a.</v>
      </c>
      <c r="I54" s="11" t="s">
        <v>94</v>
      </c>
    </row>
    <row r="55">
      <c r="A55" s="3"/>
      <c r="B55" s="6" t="s">
        <v>81</v>
      </c>
      <c r="C55" s="12" t="str">
        <f>IFERROR(C53/C54-1,"n.a.")</f>
        <v>n.a.</v>
      </c>
      <c r="D55" s="12" t="str">
        <f>IFERROR(D53/D54-1,"n.a.")</f>
        <v>n.a.</v>
      </c>
      <c r="E55" s="12">
        <f>IFERROR(E53/E54-1,"n.a.")</f>
        <v>1.342857142857143</v>
      </c>
      <c r="F55" s="12">
        <f>IFERROR(F53/F54-1,"n.a.")</f>
        <v>0.19213973799126638</v>
      </c>
      <c r="G55" s="12" t="str">
        <f>IFERROR(G53/G54-1,"n.a.")</f>
        <v>n.a.</v>
      </c>
      <c r="H55" s="57" t="str">
        <f>IFERROR(H53/C53-1,"n.a.")</f>
        <v>n.a.</v>
      </c>
      <c r="I55" s="3"/>
    </row>
    <row r="56">
      <c r="A56" s="3"/>
      <c r="B56" s="3" t="s">
        <v>334</v>
      </c>
      <c r="C56" s="27">
        <v>392</v>
      </c>
      <c r="D56" s="27">
        <v>351</v>
      </c>
      <c r="E56" s="27">
        <v>165</v>
      </c>
      <c r="F56" s="27">
        <v>328</v>
      </c>
      <c r="G56" s="27">
        <v>1337</v>
      </c>
      <c r="H56" s="39">
        <f>H146*H145</f>
        <v>369.32898287755546</v>
      </c>
      <c r="I56" s="11" t="s">
        <v>335</v>
      </c>
    </row>
    <row r="57">
      <c r="A57" s="3"/>
      <c r="B57" s="6" t="s">
        <v>80</v>
      </c>
      <c r="C57" s="36">
        <v>320</v>
      </c>
      <c r="D57" s="36">
        <v>425</v>
      </c>
      <c r="E57" s="36">
        <v>124</v>
      </c>
      <c r="F57" s="36">
        <v>470</v>
      </c>
      <c r="G57" s="36">
        <v>1389</v>
      </c>
      <c r="H57" s="43">
        <f>C56</f>
        <v>392</v>
      </c>
      <c r="I57" s="11" t="s">
        <v>94</v>
      </c>
    </row>
    <row r="58">
      <c r="A58" s="3"/>
      <c r="B58" s="6" t="s">
        <v>81</v>
      </c>
      <c r="C58" s="12">
        <f>IFERROR(C56/C57-1,"n.a.")</f>
        <v>0.2250000000000001</v>
      </c>
      <c r="D58" s="12">
        <f>IFERROR(D56/D57-1,"n.a.")</f>
        <v>-0.1741176470588235</v>
      </c>
      <c r="E58" s="12">
        <f>IFERROR(E56/E57-1,"n.a.")</f>
        <v>0.3306451612903225</v>
      </c>
      <c r="F58" s="12">
        <f>IFERROR(F56/F57-1,"n.a.")</f>
        <v>-0.3021276595744681</v>
      </c>
      <c r="G58" s="12">
        <f>IFERROR(G56/G57-1,"n.a.")</f>
        <v>-0.037437005039596793</v>
      </c>
      <c r="H58" s="57">
        <f>IFERROR(H56/C56-1,"n.a.")</f>
        <v>-0.057834227353174894</v>
      </c>
      <c r="I58" s="3"/>
    </row>
    <row r="59">
      <c r="A59" s="3"/>
      <c r="B59" s="3" t="s">
        <v>336</v>
      </c>
      <c r="C59" s="27">
        <v>135</v>
      </c>
      <c r="D59" s="27">
        <v>134</v>
      </c>
      <c r="E59" s="27">
        <v>143</v>
      </c>
      <c r="F59" s="27">
        <v>168</v>
      </c>
      <c r="G59" s="27">
        <v>542</v>
      </c>
      <c r="H59" s="39">
        <f>H60*(1+H61)</f>
        <v>166.05</v>
      </c>
      <c r="I59" s="11" t="s">
        <v>103</v>
      </c>
    </row>
    <row r="60">
      <c r="A60" s="3"/>
      <c r="B60" s="6" t="s">
        <v>80</v>
      </c>
      <c r="C60" s="36">
        <v>137</v>
      </c>
      <c r="D60" s="36">
        <v>137</v>
      </c>
      <c r="E60" s="36">
        <v>137</v>
      </c>
      <c r="F60" s="36">
        <v>137</v>
      </c>
      <c r="G60" s="36">
        <v>548</v>
      </c>
      <c r="H60" s="43">
        <f>C59</f>
        <v>135</v>
      </c>
      <c r="I60" s="11" t="s">
        <v>94</v>
      </c>
    </row>
    <row r="61">
      <c r="A61" s="3"/>
      <c r="B61" s="6" t="s">
        <v>81</v>
      </c>
      <c r="C61" s="12">
        <f>IFERROR(C59/C60-1,"n.a.")</f>
        <v>-0.014598540145985384</v>
      </c>
      <c r="D61" s="12">
        <f>IFERROR(D59/D60-1,"n.a.")</f>
        <v>-0.021897810218978075</v>
      </c>
      <c r="E61" s="12">
        <f>IFERROR(E59/E60-1,"n.a.")</f>
        <v>0.04379562043795615</v>
      </c>
      <c r="F61" s="12">
        <f>IFERROR(F59/F60-1,"n.a.")</f>
        <v>0.22627737226277378</v>
      </c>
      <c r="G61" s="12">
        <f>IFERROR(G59/G60-1,"n.a.")</f>
        <v>-0.010948905109489093</v>
      </c>
      <c r="H61" s="63">
        <v>0.23</v>
      </c>
      <c r="I61" s="3"/>
    </row>
    <row r="62">
      <c r="A62" s="3"/>
      <c r="B62" s="3" t="s">
        <v>313</v>
      </c>
      <c r="C62" s="27">
        <v>578</v>
      </c>
      <c r="D62" s="27">
        <v>524</v>
      </c>
      <c r="E62" s="27">
        <v>666</v>
      </c>
      <c r="F62" s="27">
        <v>688</v>
      </c>
      <c r="G62" s="27">
        <v>2388</v>
      </c>
      <c r="H62" s="39">
        <f>F62*(1+H65)</f>
        <v>667.36</v>
      </c>
      <c r="I62" s="11" t="s">
        <v>337</v>
      </c>
    </row>
    <row r="63">
      <c r="A63" s="3"/>
      <c r="B63" s="6" t="s">
        <v>80</v>
      </c>
      <c r="C63" s="36">
        <v>718</v>
      </c>
      <c r="D63" s="36">
        <v>586</v>
      </c>
      <c r="E63" s="36">
        <v>695</v>
      </c>
      <c r="F63" s="36">
        <v>677</v>
      </c>
      <c r="G63" s="36">
        <v>2460</v>
      </c>
      <c r="H63" s="43">
        <f>C62</f>
        <v>578</v>
      </c>
      <c r="I63" s="11" t="s">
        <v>94</v>
      </c>
    </row>
    <row r="64">
      <c r="A64" s="3"/>
      <c r="B64" s="6" t="s">
        <v>81</v>
      </c>
      <c r="C64" s="12">
        <f>IFERROR(C62/C63-1,"n.a.")</f>
        <v>-0.19498607242339838</v>
      </c>
      <c r="D64" s="12">
        <f>IFERROR(D62/D63-1,"n.a.")</f>
        <v>-0.10580204778156999</v>
      </c>
      <c r="E64" s="12">
        <f>IFERROR(E62/E63-1,"n.a.")</f>
        <v>-0.04172661870503602</v>
      </c>
      <c r="F64" s="12">
        <f>IFERROR(F62/F63-1,"n.a.")</f>
        <v>0.01624815361890697</v>
      </c>
      <c r="G64" s="12">
        <f>IFERROR(G62/G63-1,"n.a.")</f>
        <v>-0.029268292682926855</v>
      </c>
      <c r="H64" s="57">
        <f>IFERROR(H62/C62-1,"n.a.")</f>
        <v>0.15460207612456744</v>
      </c>
      <c r="I64" s="3"/>
    </row>
    <row r="65">
      <c r="A65" s="3"/>
      <c r="B65" s="6" t="s">
        <v>82</v>
      </c>
      <c r="C65" s="12">
        <f>IFERROR(C62/F63-1,"n.a.")</f>
        <v>-0.1462333825701625</v>
      </c>
      <c r="D65" s="12">
        <f>IFERROR(D62/C62-1,"n.a.")</f>
        <v>-0.09342560553633217</v>
      </c>
      <c r="E65" s="12">
        <f>IFERROR(E62/D62-1,"n.a.")</f>
        <v>0.2709923664122138</v>
      </c>
      <c r="F65" s="12">
        <f>IFERROR(F62/E62-1,"n.a.")</f>
        <v>0.033033033033033066</v>
      </c>
      <c r="G65" s="12" t="s">
        <v>38</v>
      </c>
      <c r="H65" s="63">
        <v>-0.03</v>
      </c>
      <c r="I65" s="3"/>
    </row>
    <row r="66">
      <c r="A66" s="3"/>
      <c r="B66" s="15" t="s">
        <v>338</v>
      </c>
      <c r="C66" s="26">
        <f>SUM(C20,C23,C26,C29,C32,C35,C38,C41,C44,C47,C50,C53,C56,C59,C62)</f>
        <v>14989</v>
      </c>
      <c r="D66" s="26">
        <f>SUM(D20,D23,D26,D29,D32,D35,D38,D41,D44,D47,D50,D53,D56,D59,D62)</f>
        <v>14536</v>
      </c>
      <c r="E66" s="26">
        <f>SUM(E20,E23,E26,E29,E32,E35,E38,E41,E44,E47,E50,E53,E56,E59,E62)</f>
        <v>15353</v>
      </c>
      <c r="F66" s="26">
        <f>SUM(F20,F23,F26,F29,F32,F35,F38,F41,F44,F47,F50,F53,F56,F59,F62)</f>
        <v>17893</v>
      </c>
      <c r="G66" s="26">
        <f>SUM(G20,G23,G26,G29,G32,G35,G38,G41,G44,G47,G50,G53,G56,G59,G62)</f>
        <v>57542</v>
      </c>
      <c r="H66" s="40">
        <f>SUM(H20,H23,H26,H29,H32,H35,H38,H41,H44,H47,H50,H53,H56,H59,H62)</f>
        <v>18378.245076101066</v>
      </c>
      <c r="I66" s="3"/>
    </row>
    <row r="67">
      <c r="A67" s="3"/>
      <c r="B67" s="6" t="s">
        <v>339</v>
      </c>
      <c r="C67" s="36">
        <v>14989</v>
      </c>
      <c r="D67" s="36">
        <v>14536</v>
      </c>
      <c r="E67" s="36">
        <v>15353</v>
      </c>
      <c r="F67" s="36">
        <v>17893</v>
      </c>
      <c r="G67" s="36">
        <v>57542</v>
      </c>
      <c r="H67" s="43" t="s">
        <v>38</v>
      </c>
      <c r="I67" s="11" t="s">
        <v>103</v>
      </c>
    </row>
    <row r="68">
      <c r="A68" s="3"/>
      <c r="B68" s="6" t="s">
        <v>340</v>
      </c>
      <c r="C68" s="28" t="b">
        <f>ABS(C66-C67)&lt;0.5</f>
        <v>1</v>
      </c>
      <c r="D68" s="28" t="b">
        <f>ABS(D66-D67)&lt;0.5</f>
        <v>1</v>
      </c>
      <c r="E68" s="28" t="b">
        <f>ABS(E66-E67)&lt;0.5</f>
        <v>1</v>
      </c>
      <c r="F68" s="28" t="b">
        <f>ABS(F66-F67)&lt;0.5</f>
        <v>1</v>
      </c>
      <c r="G68" s="28" t="b">
        <f>ABS(G66-G67)&lt;0.5</f>
        <v>1</v>
      </c>
      <c r="H68" s="31" t="s">
        <v>38</v>
      </c>
      <c r="I68" s="3"/>
    </row>
    <row r="69">
      <c r="A69" s="3"/>
      <c r="B69" s="6" t="s">
        <v>81</v>
      </c>
      <c r="C69" s="12">
        <f>IFERROR(C66/C70-1,"n.a.")</f>
        <v>0.04964985994397764</v>
      </c>
      <c r="D69" s="12">
        <f>IFERROR(D66/D70-1,"n.a.")</f>
        <v>0.05013726340124269</v>
      </c>
      <c r="E69" s="12">
        <f>IFERROR(E66/E70-1,"n.a.")</f>
        <v>0.13970751985747154</v>
      </c>
      <c r="F69" s="12">
        <f>IFERROR(F66/F70-1,"n.a.")</f>
        <v>0.23009762133919986</v>
      </c>
      <c r="G69" s="12">
        <f>IFERROR(G66/G70-1,"n.a.")</f>
        <v>0.034035365152386365</v>
      </c>
      <c r="H69" s="57">
        <f>IFERROR(H66/C66-1,"n.a.")</f>
        <v>0.22611548976589946</v>
      </c>
      <c r="I69" s="3"/>
    </row>
    <row r="70">
      <c r="A70" s="3"/>
      <c r="B70" s="6" t="s">
        <v>341</v>
      </c>
      <c r="C70" s="25">
        <f>SUM(C21,C24,C27,C30,C33,C36,C39,C42,C45,C48,C51,C54,C57,C60,C63)</f>
        <v>14280</v>
      </c>
      <c r="D70" s="25">
        <f>SUM(D21,D24,D27,D30,D33,D36,D39,D42,D45,D48,D51,D54,D57,D60,D63)</f>
        <v>13842</v>
      </c>
      <c r="E70" s="25">
        <f>SUM(E21,E24,E27,E30,E33,E36,E39,E42,E45,E48,E51,E54,E57,E60,E63)</f>
        <v>13471</v>
      </c>
      <c r="F70" s="25">
        <f>SUM(F21,F24,F27,F30,F33,F36,F39,F42,F45,F48,F51,F54,F57,F60,F63)</f>
        <v>14546</v>
      </c>
      <c r="G70" s="25">
        <f>SUM(G21,G24,G27,G30,G33,G36,G39,G42,G45,G48,G51,G54,G57,G60,G63)</f>
        <v>55648</v>
      </c>
      <c r="H70" s="43">
        <f>C66</f>
        <v>14989</v>
      </c>
      <c r="I70" s="11" t="s">
        <v>342</v>
      </c>
    </row>
    <row r="71">
      <c r="A71" s="3"/>
      <c r="B71" s="3"/>
      <c r="C71" s="22"/>
      <c r="D71" s="22"/>
      <c r="E71" s="22"/>
      <c r="F71" s="22"/>
      <c r="G71" s="22"/>
      <c r="H71" s="39"/>
      <c r="I71" s="3"/>
    </row>
    <row r="72">
      <c r="A72" s="3"/>
      <c r="B72" s="15" t="s">
        <v>343</v>
      </c>
      <c r="C72" s="26">
        <f>C14-C66</f>
        <v>1684</v>
      </c>
      <c r="D72" s="26">
        <f>D14-D66</f>
        <v>1467</v>
      </c>
      <c r="E72" s="26">
        <f>E14-E66</f>
        <v>501</v>
      </c>
      <c r="F72" s="26">
        <f>F14-F66</f>
        <v>1864</v>
      </c>
      <c r="G72" s="26">
        <f>G14-G66</f>
        <v>5822</v>
      </c>
      <c r="H72" s="40">
        <f>H14-H66</f>
        <v>1612.2758116471086</v>
      </c>
      <c r="I72" s="3"/>
    </row>
    <row r="73">
      <c r="A73" s="3"/>
      <c r="B73" s="6" t="s">
        <v>80</v>
      </c>
      <c r="C73" s="36">
        <v>1397</v>
      </c>
      <c r="D73" s="36">
        <v>1717</v>
      </c>
      <c r="E73" s="36">
        <v>569</v>
      </c>
      <c r="F73" s="36">
        <v>2102</v>
      </c>
      <c r="G73" s="36">
        <v>5995</v>
      </c>
      <c r="H73" s="43">
        <f>C72</f>
        <v>1684</v>
      </c>
      <c r="I73" s="11" t="s">
        <v>94</v>
      </c>
    </row>
    <row r="74">
      <c r="A74" s="3"/>
      <c r="B74" s="6" t="s">
        <v>81</v>
      </c>
      <c r="C74" s="12">
        <f>IFERROR(C72/C73-1,"n.a.")</f>
        <v>0.20544022906227632</v>
      </c>
      <c r="D74" s="12">
        <f>IFERROR(D72/D73-1,"n.a.")</f>
        <v>-0.14560279557367506</v>
      </c>
      <c r="E74" s="12">
        <f>IFERROR(E72/E73-1,"n.a.")</f>
        <v>-0.11950790861159932</v>
      </c>
      <c r="F74" s="12">
        <f>IFERROR(F72/F73-1,"n.a.")</f>
        <v>-0.11322549952426264</v>
      </c>
      <c r="G74" s="12">
        <f>IFERROR(G72/G73-1,"n.a.")</f>
        <v>-0.02885738115095915</v>
      </c>
      <c r="H74" s="57">
        <f>IFERROR(H72/C72-1,"n.a.")</f>
        <v>-0.04259156077962667</v>
      </c>
      <c r="I74" s="3"/>
    </row>
    <row r="75">
      <c r="A75" s="3"/>
      <c r="B75" s="6" t="s">
        <v>344</v>
      </c>
      <c r="C75" s="12">
        <f>C72/C14</f>
        <v>0.10100161938463384</v>
      </c>
      <c r="D75" s="12">
        <f>D72/D14</f>
        <v>0.0916703118165344</v>
      </c>
      <c r="E75" s="12">
        <f>E72/E14</f>
        <v>0.031600857827677555</v>
      </c>
      <c r="F75" s="12">
        <f>F72/F14</f>
        <v>0.09434630763779926</v>
      </c>
      <c r="G75" s="12">
        <f>G72/G14</f>
        <v>0.09188182564232056</v>
      </c>
      <c r="H75" s="57">
        <f>H72/H14</f>
        <v>0.08065201605803293</v>
      </c>
      <c r="I75" s="3"/>
    </row>
    <row r="76">
      <c r="A76" s="3"/>
      <c r="B76" s="6" t="s">
        <v>345</v>
      </c>
      <c r="C76" s="12">
        <f>C73/C15</f>
        <v>0.08911143713720737</v>
      </c>
      <c r="D76" s="12">
        <f>D73/D15</f>
        <v>0.11035413586991452</v>
      </c>
      <c r="E76" s="12">
        <f>E73/E15</f>
        <v>0.040527065527065524</v>
      </c>
      <c r="F76" s="12">
        <f>F73/F15</f>
        <v>0.1262614127823162</v>
      </c>
      <c r="G76" s="12">
        <f>G73/G15</f>
        <v>0.0972535405479941</v>
      </c>
      <c r="H76" s="57">
        <f>C75</f>
        <v>0.10100161938463384</v>
      </c>
      <c r="I76" s="3"/>
    </row>
    <row r="77">
      <c r="A77" s="3"/>
      <c r="B77" s="6" t="s">
        <v>124</v>
      </c>
      <c r="C77" s="49">
        <f>IFERROR((C75-C76)*10000,"n.a.")</f>
        <v>118.90182247426468</v>
      </c>
      <c r="D77" s="49">
        <f>IFERROR((D75-D76)*10000,"n.a.")</f>
        <v>-186.8382405338012</v>
      </c>
      <c r="E77" s="49">
        <f>IFERROR((E75-E76)*10000,"n.a.")</f>
        <v>-89.2620769938797</v>
      </c>
      <c r="F77" s="49">
        <f>IFERROR((F75-F76)*10000,"n.a.")</f>
        <v>-319.1510514451694</v>
      </c>
      <c r="G77" s="49">
        <f>IFERROR((G75-G76)*10000,"n.a.")</f>
        <v>-53.71714905673536</v>
      </c>
      <c r="H77" s="69">
        <f>IFERROR((H75-C75)*10000,"n.a.")</f>
        <v>-203.49603326600908</v>
      </c>
      <c r="I77" s="3"/>
    </row>
    <row r="78">
      <c r="A78" s="3"/>
      <c r="B78" s="3"/>
      <c r="C78" s="22"/>
      <c r="D78" s="22"/>
      <c r="E78" s="22"/>
      <c r="F78" s="22"/>
      <c r="G78" s="22"/>
      <c r="H78" s="39"/>
      <c r="I78" s="3"/>
    </row>
    <row r="79">
      <c r="A79" s="3"/>
      <c r="B79" s="15" t="s">
        <v>346</v>
      </c>
      <c r="C79" s="22"/>
      <c r="D79" s="22"/>
      <c r="E79" s="22"/>
      <c r="F79" s="22"/>
      <c r="G79" s="22"/>
      <c r="H79" s="39"/>
      <c r="I79" s="3"/>
    </row>
    <row r="80">
      <c r="A80" s="3"/>
      <c r="B80" s="3" t="s">
        <v>347</v>
      </c>
      <c r="C80" s="27">
        <v>-171</v>
      </c>
      <c r="D80" s="27">
        <v>-157</v>
      </c>
      <c r="E80" s="27">
        <v>-151</v>
      </c>
      <c r="F80" s="27">
        <v>-144</v>
      </c>
      <c r="G80" s="27">
        <v>-679</v>
      </c>
      <c r="H80" s="30">
        <v>-140</v>
      </c>
      <c r="I80" s="11" t="s">
        <v>348</v>
      </c>
    </row>
    <row r="81">
      <c r="A81" s="3"/>
      <c r="B81" s="6" t="s">
        <v>80</v>
      </c>
      <c r="C81" s="36">
        <v>-173</v>
      </c>
      <c r="D81" s="36">
        <v>-181</v>
      </c>
      <c r="E81" s="36">
        <v>-179</v>
      </c>
      <c r="F81" s="36">
        <v>-172</v>
      </c>
      <c r="G81" s="36">
        <v>-747</v>
      </c>
      <c r="H81" s="43">
        <f>C80</f>
        <v>-171</v>
      </c>
      <c r="I81" s="11" t="s">
        <v>94</v>
      </c>
    </row>
    <row r="82">
      <c r="A82" s="3"/>
      <c r="B82" s="3" t="s">
        <v>349</v>
      </c>
      <c r="C82" s="27">
        <v>311</v>
      </c>
      <c r="D82" s="27">
        <v>205</v>
      </c>
      <c r="E82" s="27">
        <v>-550</v>
      </c>
      <c r="F82" s="27">
        <v>349</v>
      </c>
      <c r="G82" s="27">
        <v>1212</v>
      </c>
      <c r="H82" s="30">
        <v>0</v>
      </c>
      <c r="I82" s="11" t="s">
        <v>350</v>
      </c>
    </row>
    <row r="83">
      <c r="A83" s="3"/>
      <c r="B83" s="6" t="s">
        <v>80</v>
      </c>
      <c r="C83" s="36">
        <v>350</v>
      </c>
      <c r="D83" s="36">
        <v>-247</v>
      </c>
      <c r="E83" s="36">
        <v>-40</v>
      </c>
      <c r="F83" s="36">
        <v>735</v>
      </c>
      <c r="G83" s="36">
        <v>-319</v>
      </c>
      <c r="H83" s="43">
        <f>C82</f>
        <v>311</v>
      </c>
      <c r="I83" s="11" t="s">
        <v>94</v>
      </c>
    </row>
    <row r="84">
      <c r="A84" s="3"/>
      <c r="B84" s="3" t="s">
        <v>351</v>
      </c>
      <c r="C84" s="27">
        <v>-6</v>
      </c>
      <c r="D84" s="27">
        <v>0</v>
      </c>
      <c r="E84" s="27">
        <v>-4</v>
      </c>
      <c r="F84" s="27">
        <v>-1</v>
      </c>
      <c r="G84" s="27">
        <v>-26</v>
      </c>
      <c r="H84" s="30">
        <v>0</v>
      </c>
      <c r="I84" s="11" t="s">
        <v>352</v>
      </c>
    </row>
    <row r="85">
      <c r="A85" s="3"/>
      <c r="B85" s="6" t="s">
        <v>80</v>
      </c>
      <c r="C85" s="36">
        <v>0</v>
      </c>
      <c r="D85" s="36">
        <v>-3</v>
      </c>
      <c r="E85" s="36">
        <v>0</v>
      </c>
      <c r="F85" s="36">
        <v>-20</v>
      </c>
      <c r="G85" s="36">
        <v>-39</v>
      </c>
      <c r="H85" s="43">
        <f>C84</f>
        <v>-6</v>
      </c>
      <c r="I85" s="11" t="s">
        <v>94</v>
      </c>
    </row>
    <row r="86">
      <c r="A86" s="3"/>
      <c r="B86" s="3" t="s">
        <v>353</v>
      </c>
      <c r="C86" s="27">
        <v>-41</v>
      </c>
      <c r="D86" s="27">
        <v>-2</v>
      </c>
      <c r="E86" s="27">
        <v>-10</v>
      </c>
      <c r="F86" s="27">
        <v>-59</v>
      </c>
      <c r="G86" s="27">
        <v>-144</v>
      </c>
      <c r="H86" s="30">
        <v>-40</v>
      </c>
      <c r="I86" s="11" t="s">
        <v>103</v>
      </c>
    </row>
    <row r="87">
      <c r="A87" s="3"/>
      <c r="B87" s="6" t="s">
        <v>80</v>
      </c>
      <c r="C87" s="36">
        <v>-13</v>
      </c>
      <c r="D87" s="36">
        <v>-85</v>
      </c>
      <c r="E87" s="36">
        <v>-30</v>
      </c>
      <c r="F87" s="36">
        <v>-71</v>
      </c>
      <c r="G87" s="36">
        <v>-232</v>
      </c>
      <c r="H87" s="43">
        <f>C86</f>
        <v>-41</v>
      </c>
      <c r="I87" s="11" t="s">
        <v>94</v>
      </c>
    </row>
    <row r="88" ht="14.624267578125">
      <c r="A88" s="3"/>
      <c r="B88" s="15" t="s">
        <v>354</v>
      </c>
      <c r="C88" s="26">
        <f>C80+C82+C84+C86</f>
        <v>93</v>
      </c>
      <c r="D88" s="26">
        <f>D80+D82+D84+D86</f>
        <v>46</v>
      </c>
      <c r="E88" s="26">
        <f>E80+E82+E84+E86</f>
        <v>-715</v>
      </c>
      <c r="F88" s="26">
        <f>F80+F82+F84+F86</f>
        <v>145</v>
      </c>
      <c r="G88" s="26">
        <f>G80+G82+G84+G86</f>
        <v>363</v>
      </c>
      <c r="H88" s="40">
        <f>H80+H82+H84+H86</f>
        <v>-180</v>
      </c>
      <c r="I88" s="3"/>
    </row>
    <row r="89">
      <c r="A89" s="3"/>
      <c r="B89" s="15" t="s">
        <v>355</v>
      </c>
      <c r="C89" s="26">
        <f>C72+C88</f>
        <v>1777</v>
      </c>
      <c r="D89" s="26">
        <f>D72+D88</f>
        <v>1513</v>
      </c>
      <c r="E89" s="26">
        <f>E72+E88</f>
        <v>-214</v>
      </c>
      <c r="F89" s="26">
        <f>F72+F88</f>
        <v>2009</v>
      </c>
      <c r="G89" s="26">
        <f>G72+G88</f>
        <v>6185</v>
      </c>
      <c r="H89" s="40">
        <f>H72+H88</f>
        <v>1432.2758116471086</v>
      </c>
      <c r="I89" s="3"/>
    </row>
    <row r="90">
      <c r="A90" s="3"/>
      <c r="B90" s="6" t="s">
        <v>80</v>
      </c>
      <c r="C90" s="36">
        <v>1561</v>
      </c>
      <c r="D90" s="36">
        <v>1201</v>
      </c>
      <c r="E90" s="36">
        <v>320</v>
      </c>
      <c r="F90" s="36">
        <v>2574</v>
      </c>
      <c r="G90" s="36">
        <v>4658</v>
      </c>
      <c r="H90" s="43">
        <f>C89</f>
        <v>1777</v>
      </c>
      <c r="I90" s="11" t="s">
        <v>94</v>
      </c>
    </row>
    <row r="91">
      <c r="A91" s="3"/>
      <c r="B91" s="6" t="s">
        <v>81</v>
      </c>
      <c r="C91" s="12">
        <f>IFERROR(C89/C90-1,"n.a.")</f>
        <v>0.13837283792440735</v>
      </c>
      <c r="D91" s="12">
        <f>IFERROR(D89/D90-1,"n.a.")</f>
        <v>0.25978351373855113</v>
      </c>
      <c r="E91" s="12">
        <f>IFERROR(E89/E90-1,"n.a.")</f>
        <v>-1.66875</v>
      </c>
      <c r="F91" s="12">
        <f>IFERROR(F89/F90-1,"n.a.")</f>
        <v>-0.2195027195027195</v>
      </c>
      <c r="G91" s="12">
        <f>IFERROR(G89/G90-1,"n.a.")</f>
        <v>0.3278231000429368</v>
      </c>
      <c r="H91" s="57">
        <f>IFERROR(H89/C89-1,"n.a.")</f>
        <v>-0.19399222754805368</v>
      </c>
      <c r="I91" s="3"/>
    </row>
    <row r="92">
      <c r="A92" s="3"/>
      <c r="B92" s="6" t="s">
        <v>356</v>
      </c>
      <c r="C92" s="12">
        <f>C89/C14</f>
        <v>0.10657949979007977</v>
      </c>
      <c r="D92" s="12">
        <f>D89/D14</f>
        <v>0.09454477285508966</v>
      </c>
      <c r="E92" s="12">
        <f>E89/E14</f>
        <v>-0.013498170808628737</v>
      </c>
      <c r="F92" s="12">
        <f>F89/F14</f>
        <v>0.1016854785645594</v>
      </c>
      <c r="G92" s="12">
        <f>G89/G14</f>
        <v>0.09761063064200493</v>
      </c>
      <c r="H92" s="57">
        <f>H89/H14</f>
        <v>0.07164774843485566</v>
      </c>
      <c r="I92" s="3"/>
    </row>
    <row r="93">
      <c r="A93" s="3"/>
      <c r="B93" s="6" t="s">
        <v>357</v>
      </c>
      <c r="C93" s="12">
        <f>C90/C15</f>
        <v>0.09957262231294253</v>
      </c>
      <c r="D93" s="12">
        <f>D90/D15</f>
        <v>0.07719005077447137</v>
      </c>
      <c r="E93" s="12">
        <f>E90/E15</f>
        <v>0.022792022792022793</v>
      </c>
      <c r="F93" s="12">
        <f>F90/F15</f>
        <v>0.15461316674675638</v>
      </c>
      <c r="G93" s="12">
        <f>G90/G15</f>
        <v>0.07556413542494687</v>
      </c>
      <c r="H93" s="57">
        <f>C92</f>
        <v>0.10657949979007977</v>
      </c>
      <c r="I93" s="3"/>
    </row>
    <row r="94">
      <c r="A94" s="3"/>
      <c r="B94" s="6" t="s">
        <v>124</v>
      </c>
      <c r="C94" s="49">
        <f>IFERROR((C92-C93)*10000,"n.a.")</f>
        <v>70.0687747713724</v>
      </c>
      <c r="D94" s="49">
        <f>IFERROR((D92-D93)*10000,"n.a.")</f>
        <v>173.54722080618293</v>
      </c>
      <c r="E94" s="49">
        <f>IFERROR((E92-E93)*10000,"n.a.")</f>
        <v>-362.90193600651526</v>
      </c>
      <c r="F94" s="49">
        <f>IFERROR((F92-F93)*10000,"n.a.")</f>
        <v>-529.2768818219698</v>
      </c>
      <c r="G94" s="49">
        <f>IFERROR((G92-G93)*10000,"n.a.")</f>
        <v>220.46495217058052</v>
      </c>
      <c r="H94" s="69">
        <f>IFERROR((H92-C92)*10000,"n.a.")</f>
        <v>-349.3175135522411</v>
      </c>
      <c r="I94" s="3"/>
    </row>
    <row r="95">
      <c r="A95" s="3"/>
      <c r="B95" s="3" t="s">
        <v>358</v>
      </c>
      <c r="C95" s="27">
        <v>-360</v>
      </c>
      <c r="D95" s="27">
        <v>-294</v>
      </c>
      <c r="E95" s="27">
        <v>-75</v>
      </c>
      <c r="F95" s="27">
        <v>-405</v>
      </c>
      <c r="G95" s="27">
        <v>-1180</v>
      </c>
      <c r="H95" s="39">
        <f>-H97*H89</f>
        <v>-350.90757385354163</v>
      </c>
      <c r="I95" s="11" t="s">
        <v>103</v>
      </c>
    </row>
    <row r="96">
      <c r="A96" s="3"/>
      <c r="B96" s="6" t="s">
        <v>80</v>
      </c>
      <c r="C96" s="36">
        <v>-289</v>
      </c>
      <c r="D96" s="36">
        <v>-358</v>
      </c>
      <c r="E96" s="36">
        <v>-80</v>
      </c>
      <c r="F96" s="36">
        <v>-444</v>
      </c>
      <c r="G96" s="36">
        <v>-1201</v>
      </c>
      <c r="H96" s="43">
        <f>C95</f>
        <v>-360</v>
      </c>
      <c r="I96" s="11" t="s">
        <v>94</v>
      </c>
    </row>
    <row r="97">
      <c r="A97" s="3"/>
      <c r="B97" s="6" t="s">
        <v>359</v>
      </c>
      <c r="C97" s="12">
        <f>IFERROR(-C95/C89,"n.a.")</f>
        <v>0.20258863252673046</v>
      </c>
      <c r="D97" s="12">
        <f>IFERROR(-D95/D89,"n.a.")</f>
        <v>0.19431592861863847</v>
      </c>
      <c r="E97" s="12">
        <f>IFERROR(-E95/E89,"n.a.")</f>
        <v>-0.35046728971962615</v>
      </c>
      <c r="F97" s="12">
        <f>IFERROR(-F95/F89,"n.a.")</f>
        <v>0.20159283225485317</v>
      </c>
      <c r="G97" s="12">
        <f>IFERROR(-G95/G89,"n.a.")</f>
        <v>0.19078415521422798</v>
      </c>
      <c r="H97" s="63">
        <v>0.245</v>
      </c>
      <c r="I97" s="11" t="s">
        <v>360</v>
      </c>
    </row>
    <row r="98">
      <c r="A98" s="3"/>
      <c r="B98" s="6" t="s">
        <v>361</v>
      </c>
      <c r="C98" s="12">
        <f>IFERROR(-C96/C90,"n.a.")</f>
        <v>0.185137732222934</v>
      </c>
      <c r="D98" s="12">
        <f>IFERROR(-D96/D90,"n.a.")</f>
        <v>0.2980849292256453</v>
      </c>
      <c r="E98" s="12">
        <f>IFERROR(-E96/E90,"n.a.")</f>
        <v>0.25</v>
      </c>
      <c r="F98" s="12">
        <f>IFERROR(-F96/F90,"n.a.")</f>
        <v>0.17249417249417248</v>
      </c>
      <c r="G98" s="12">
        <f>IFERROR(-G96/G90,"n.a.")</f>
        <v>0.25783598110777156</v>
      </c>
      <c r="H98" s="57">
        <f>C97</f>
        <v>0.20258863252673046</v>
      </c>
      <c r="I98" s="3"/>
    </row>
    <row r="99">
      <c r="A99" s="3"/>
      <c r="B99" s="6" t="s">
        <v>124</v>
      </c>
      <c r="C99" s="49">
        <f>IFERROR((C97-C98)*10000,"n.a.")</f>
        <v>174.5090030379645</v>
      </c>
      <c r="D99" s="49">
        <f>IFERROR((D97-D98)*10000,"n.a.")</f>
        <v>-1037.690006070068</v>
      </c>
      <c r="E99" s="49">
        <f>IFERROR((E97-E98)*10000,"n.a.")</f>
        <v>-6004.672897196261</v>
      </c>
      <c r="F99" s="49">
        <f>IFERROR((F97-F98)*10000,"n.a.")</f>
        <v>290.98659760680687</v>
      </c>
      <c r="G99" s="49">
        <f>IFERROR((G97-G98)*10000,"n.a.")</f>
        <v>-670.5182589354358</v>
      </c>
      <c r="H99" s="69">
        <f>IFERROR((H97-C97)*10000,"n.a.")</f>
        <v>424.1136747326954</v>
      </c>
      <c r="I99" s="3"/>
    </row>
    <row r="100">
      <c r="A100" s="3"/>
      <c r="B100" s="6" t="s">
        <v>125</v>
      </c>
      <c r="C100" s="49">
        <f>IFERROR((C97-F98)*10000,"n.a.")</f>
        <v>300.94460032557976</v>
      </c>
      <c r="D100" s="49">
        <f>IFERROR((D97-C97)*10000,"n.a.")</f>
        <v>-82.72703908091982</v>
      </c>
      <c r="E100" s="49">
        <f>IFERROR((E97-D97)*10000,"n.a.")</f>
        <v>-5447.832183382646</v>
      </c>
      <c r="F100" s="49">
        <f>IFERROR((F97-E97)*10000,"n.a.")</f>
        <v>5520.601219744793</v>
      </c>
      <c r="G100" s="49" t="s">
        <v>38</v>
      </c>
      <c r="H100" s="69">
        <f>IFERROR((H97-F97)*10000,"n.a.")</f>
        <v>434.0716774514683</v>
      </c>
      <c r="I100" s="3"/>
    </row>
    <row r="101">
      <c r="A101" s="3"/>
      <c r="B101" s="15" t="s">
        <v>362</v>
      </c>
      <c r="C101" s="26">
        <f>C89+C95</f>
        <v>1417</v>
      </c>
      <c r="D101" s="26">
        <f>D89+D95</f>
        <v>1219</v>
      </c>
      <c r="E101" s="26">
        <f>E89+E95</f>
        <v>-289</v>
      </c>
      <c r="F101" s="26">
        <f>F89+F95</f>
        <v>1604</v>
      </c>
      <c r="G101" s="26">
        <f>G89+G95</f>
        <v>5005</v>
      </c>
      <c r="H101" s="40">
        <f>H89+H95</f>
        <v>1081.368237793567</v>
      </c>
      <c r="I101" s="3"/>
    </row>
    <row r="102">
      <c r="A102" s="3"/>
      <c r="B102" s="6" t="s">
        <v>80</v>
      </c>
      <c r="C102" s="36">
        <v>1272</v>
      </c>
      <c r="D102" s="36">
        <v>843</v>
      </c>
      <c r="E102" s="36">
        <v>240</v>
      </c>
      <c r="F102" s="36">
        <v>2130</v>
      </c>
      <c r="G102" s="36">
        <v>3457</v>
      </c>
      <c r="H102" s="43">
        <f>C101</f>
        <v>1417</v>
      </c>
      <c r="I102" s="11" t="s">
        <v>94</v>
      </c>
    </row>
    <row r="103">
      <c r="A103" s="3"/>
      <c r="B103" s="6" t="s">
        <v>81</v>
      </c>
      <c r="C103" s="12">
        <f>IFERROR(C101/C102-1,"n.a.")</f>
        <v>0.11399371069182385</v>
      </c>
      <c r="D103" s="12">
        <f>IFERROR(D101/D102-1,"n.a.")</f>
        <v>0.44602609727164877</v>
      </c>
      <c r="E103" s="12">
        <f>IFERROR(E101/E102-1,"n.a.")</f>
        <v>-2.2041666666666666</v>
      </c>
      <c r="F103" s="12">
        <f>IFERROR(F101/F102-1,"n.a.")</f>
        <v>-0.2469483568075117</v>
      </c>
      <c r="G103" s="12">
        <f>IFERROR(G101/G102-1,"n.a.")</f>
        <v>0.44778709864043975</v>
      </c>
      <c r="H103" s="57">
        <f>IFERROR(H101/C101-1,"n.a.")</f>
        <v>-0.23686080607370008</v>
      </c>
      <c r="I103" s="3"/>
    </row>
    <row r="104">
      <c r="A104" s="3"/>
      <c r="B104" s="6" t="s">
        <v>363</v>
      </c>
      <c r="C104" s="12">
        <f>C101/C14</f>
        <v>0.08498770467222455</v>
      </c>
      <c r="D104" s="12">
        <f>D101/D14</f>
        <v>0.07617321752171467</v>
      </c>
      <c r="E104" s="12">
        <f>E101/E14</f>
        <v>-0.018228838148101424</v>
      </c>
      <c r="F104" s="12">
        <f>F101/F14</f>
        <v>0.0811864149415397</v>
      </c>
      <c r="G104" s="12">
        <f>G101/G14</f>
        <v>0.07898806893504198</v>
      </c>
      <c r="H104" s="57">
        <f>H101/H14</f>
        <v>0.054094050068316024</v>
      </c>
      <c r="I104" s="3"/>
    </row>
    <row r="105">
      <c r="A105" s="3"/>
      <c r="B105" s="6" t="s">
        <v>364</v>
      </c>
      <c r="C105" s="12">
        <f>C102/C15</f>
        <v>0.08113797282643363</v>
      </c>
      <c r="D105" s="12">
        <f>D102/D15</f>
        <v>0.054180859952439105</v>
      </c>
      <c r="E105" s="12">
        <f>E102/E15</f>
        <v>0.017094017094017096</v>
      </c>
      <c r="F105" s="12">
        <f>F102/F15</f>
        <v>0.12794329649207112</v>
      </c>
      <c r="G105" s="12">
        <f>G102/G15</f>
        <v>0.056080982431095175</v>
      </c>
      <c r="H105" s="57">
        <f>C104</f>
        <v>0.08498770467222455</v>
      </c>
      <c r="I105" s="3"/>
    </row>
    <row r="106">
      <c r="A106" s="3"/>
      <c r="B106" s="6" t="s">
        <v>124</v>
      </c>
      <c r="C106" s="49">
        <f>IFERROR((C104-C105)*10000,"n.a.")</f>
        <v>38.49731845790919</v>
      </c>
      <c r="D106" s="49">
        <f>IFERROR((D104-D105)*10000,"n.a.")</f>
        <v>219.9235756927557</v>
      </c>
      <c r="E106" s="49">
        <f>IFERROR((E104-E105)*10000,"n.a.")</f>
        <v>-353.2285524211852</v>
      </c>
      <c r="F106" s="49">
        <f>IFERROR((F104-F105)*10000,"n.a.")</f>
        <v>-467.56881550531415</v>
      </c>
      <c r="G106" s="49">
        <f>IFERROR((G104-G105)*10000,"n.a.")</f>
        <v>229.0708650394681</v>
      </c>
      <c r="H106" s="69">
        <f>IFERROR((H104-C104)*10000,"n.a.")</f>
        <v>-308.9365460390853</v>
      </c>
      <c r="I106" s="3"/>
    </row>
    <row r="107">
      <c r="A107" s="3"/>
      <c r="B107" s="3"/>
      <c r="C107" s="22"/>
      <c r="D107" s="22"/>
      <c r="E107" s="22"/>
      <c r="F107" s="22"/>
      <c r="G107" s="22"/>
      <c r="H107" s="39"/>
      <c r="I107" s="3"/>
    </row>
    <row r="108">
      <c r="A108" s="3"/>
      <c r="B108" s="15" t="s">
        <v>365</v>
      </c>
      <c r="C108" s="22"/>
      <c r="D108" s="22"/>
      <c r="E108" s="22"/>
      <c r="F108" s="22"/>
      <c r="G108" s="22"/>
      <c r="H108" s="39"/>
      <c r="I108" s="3"/>
    </row>
    <row r="109">
      <c r="A109" s="3"/>
      <c r="B109" s="3" t="s">
        <v>366</v>
      </c>
      <c r="C109" s="23">
        <f>'Share Count'!C11</f>
        <v>649</v>
      </c>
      <c r="D109" s="23">
        <f>'Share Count'!D11</f>
        <v>649</v>
      </c>
      <c r="E109" s="23">
        <f>'Share Count'!E11</f>
        <v>652</v>
      </c>
      <c r="F109" s="23">
        <f>'Share Count'!F11</f>
        <v>654</v>
      </c>
      <c r="G109" s="23">
        <f>'Share Count'!G11</f>
        <v>648</v>
      </c>
      <c r="H109" s="47">
        <f>'Share Count'!H11</f>
        <v>655</v>
      </c>
      <c r="I109" s="3"/>
    </row>
    <row r="110">
      <c r="A110" s="3"/>
      <c r="B110" s="3" t="s">
        <v>367</v>
      </c>
      <c r="C110" s="23">
        <f>'Share Count'!C16</f>
        <v>654</v>
      </c>
      <c r="D110" s="23">
        <f>'Share Count'!D16</f>
        <v>656</v>
      </c>
      <c r="E110" s="23">
        <f>'Share Count'!E16</f>
        <v>652</v>
      </c>
      <c r="F110" s="23">
        <f>'Share Count'!F16</f>
        <v>658</v>
      </c>
      <c r="G110" s="23">
        <f>'Share Count'!G16</f>
        <v>654</v>
      </c>
      <c r="H110" s="47">
        <f>'Share Count'!H16</f>
        <v>659</v>
      </c>
      <c r="I110" s="3"/>
    </row>
    <row r="111">
      <c r="A111" s="3"/>
      <c r="B111" s="3" t="s">
        <v>368</v>
      </c>
      <c r="C111" s="18">
        <f>C101/C109</f>
        <v>2.1833590138674883</v>
      </c>
      <c r="D111" s="18">
        <f>D101/D109</f>
        <v>1.8782742681047766</v>
      </c>
      <c r="E111" s="18">
        <f>E101/E109</f>
        <v>-0.4432515337423313</v>
      </c>
      <c r="F111" s="18">
        <f>F101/F109</f>
        <v>2.452599388379205</v>
      </c>
      <c r="G111" s="18">
        <f>G101/G109</f>
        <v>7.723765432098766</v>
      </c>
      <c r="H111" s="61">
        <f>H101/H109</f>
        <v>1.6509438744939955</v>
      </c>
      <c r="I111" s="3"/>
    </row>
    <row r="112">
      <c r="A112" s="3"/>
      <c r="B112" s="15" t="s">
        <v>369</v>
      </c>
      <c r="C112" s="81">
        <f>C101/C110</f>
        <v>2.1666666666666665</v>
      </c>
      <c r="D112" s="81">
        <f>D101/D110</f>
        <v>1.858231707317073</v>
      </c>
      <c r="E112" s="81">
        <f>E101/E110</f>
        <v>-0.4432515337423313</v>
      </c>
      <c r="F112" s="81">
        <f>F101/F110</f>
        <v>2.4376899696048633</v>
      </c>
      <c r="G112" s="81">
        <f>G101/G110</f>
        <v>7.652905198776758</v>
      </c>
      <c r="H112" s="85">
        <f>H101/H110</f>
        <v>1.6409229708551851</v>
      </c>
      <c r="I112" s="3"/>
    </row>
    <row r="113">
      <c r="A113" s="3"/>
      <c r="B113" s="6" t="s">
        <v>80</v>
      </c>
      <c r="C113" s="79">
        <v>1.97</v>
      </c>
      <c r="D113" s="79">
        <v>1.29</v>
      </c>
      <c r="E113" s="79">
        <v>0.37</v>
      </c>
      <c r="F113" s="79">
        <v>3.27</v>
      </c>
      <c r="G113" s="79">
        <v>5.33</v>
      </c>
      <c r="H113" s="82">
        <f>C112</f>
        <v>2.1666666666666665</v>
      </c>
      <c r="I113" s="11" t="s">
        <v>94</v>
      </c>
    </row>
    <row r="114">
      <c r="A114" s="3"/>
      <c r="B114" s="6" t="s">
        <v>81</v>
      </c>
      <c r="C114" s="12">
        <f>IFERROR(C112/C113-1,"n.a.")</f>
        <v>0.09983079526226724</v>
      </c>
      <c r="D114" s="12">
        <f>IFERROR(D112/D113-1,"n.a.")</f>
        <v>0.44048969559463025</v>
      </c>
      <c r="E114" s="12">
        <f>IFERROR(E112/E113-1,"n.a.")</f>
        <v>-2.197977118222517</v>
      </c>
      <c r="F114" s="12">
        <f>IFERROR(F112/F113-1,"n.a.")</f>
        <v>-0.2545290612829164</v>
      </c>
      <c r="G114" s="12">
        <f>IFERROR(G112/G113-1,"n.a.")</f>
        <v>0.43581711046468263</v>
      </c>
      <c r="H114" s="57">
        <f>IFERROR(H112/C112-1,"n.a.")</f>
        <v>-0.242650936528376</v>
      </c>
      <c r="I114" s="3"/>
    </row>
    <row r="115">
      <c r="A115" s="3"/>
      <c r="B115" s="6" t="s">
        <v>370</v>
      </c>
      <c r="C115" s="79">
        <v>2.17</v>
      </c>
      <c r="D115" s="79">
        <v>1.86</v>
      </c>
      <c r="E115" s="79">
        <v>-0.44</v>
      </c>
      <c r="F115" s="79">
        <v>2.44</v>
      </c>
      <c r="G115" s="79">
        <v>7.66</v>
      </c>
      <c r="H115" s="82" t="s">
        <v>38</v>
      </c>
      <c r="I115" s="11" t="s">
        <v>103</v>
      </c>
    </row>
    <row r="116">
      <c r="A116" s="3"/>
      <c r="B116" s="6" t="s">
        <v>371</v>
      </c>
      <c r="C116" s="28" t="b">
        <f>ABS(C112-C115)&lt;=0.01</f>
        <v>1</v>
      </c>
      <c r="D116" s="28" t="b">
        <f>ABS(D112-D115)&lt;=0.01</f>
        <v>1</v>
      </c>
      <c r="E116" s="28" t="b">
        <f>ABS(E112-E115)&lt;=0.01</f>
        <v>1</v>
      </c>
      <c r="F116" s="28" t="b">
        <f>ABS(F112-F115)&lt;=0.01</f>
        <v>1</v>
      </c>
      <c r="G116" s="28" t="b">
        <f>ABS(G112-G115)&lt;=0.01</f>
        <v>1</v>
      </c>
      <c r="H116" s="31" t="b">
        <f>ABS(H112-H101/H110)&lt;0.0001</f>
        <v>1</v>
      </c>
      <c r="I116" s="11" t="s">
        <v>372</v>
      </c>
    </row>
    <row r="117">
      <c r="A117" s="3"/>
      <c r="B117" s="3"/>
      <c r="C117" s="22"/>
      <c r="D117" s="22"/>
      <c r="E117" s="22"/>
      <c r="F117" s="22"/>
      <c r="G117" s="22"/>
      <c r="H117" s="39"/>
      <c r="I117" s="3"/>
    </row>
    <row r="118">
      <c r="A118" s="3"/>
      <c r="B118" s="15" t="s">
        <v>373</v>
      </c>
      <c r="C118" s="22"/>
      <c r="D118" s="22"/>
      <c r="E118" s="22"/>
      <c r="F118" s="22"/>
      <c r="G118" s="22"/>
      <c r="H118" s="39"/>
      <c r="I118" s="3"/>
    </row>
    <row r="119">
      <c r="A119" s="3"/>
      <c r="B119" s="3" t="s">
        <v>374</v>
      </c>
      <c r="C119" s="22">
        <f>C89</f>
        <v>1777</v>
      </c>
      <c r="D119" s="22">
        <f>D89</f>
        <v>1513</v>
      </c>
      <c r="E119" s="22">
        <f>E89</f>
        <v>-214</v>
      </c>
      <c r="F119" s="22">
        <f>F89</f>
        <v>2009</v>
      </c>
      <c r="G119" s="22">
        <f>G89</f>
        <v>6185</v>
      </c>
      <c r="H119" s="39">
        <f>H89</f>
        <v>1432.2758116471086</v>
      </c>
      <c r="I119" s="3"/>
    </row>
    <row r="120" ht="14.624267578125">
      <c r="A120" s="3"/>
      <c r="B120" s="3" t="s">
        <v>375</v>
      </c>
      <c r="C120" s="27">
        <v>-311</v>
      </c>
      <c r="D120" s="27">
        <v>-205</v>
      </c>
      <c r="E120" s="27">
        <v>550</v>
      </c>
      <c r="F120" s="27">
        <v>-349</v>
      </c>
      <c r="G120" s="27">
        <v>-1212</v>
      </c>
      <c r="H120" s="39">
        <f>-H82</f>
        <v>0</v>
      </c>
      <c r="I120" s="11" t="s">
        <v>376</v>
      </c>
    </row>
    <row r="121">
      <c r="A121" s="3"/>
      <c r="B121" s="3" t="s">
        <v>377</v>
      </c>
      <c r="C121" s="27">
        <v>5</v>
      </c>
      <c r="D121" s="27">
        <v>3</v>
      </c>
      <c r="E121" s="27">
        <v>151</v>
      </c>
      <c r="F121" s="27">
        <v>-301</v>
      </c>
      <c r="G121" s="27">
        <v>-21</v>
      </c>
      <c r="H121" s="30">
        <v>0</v>
      </c>
      <c r="I121" s="11" t="s">
        <v>378</v>
      </c>
    </row>
    <row r="122">
      <c r="A122" s="3"/>
      <c r="B122" s="3" t="s">
        <v>379</v>
      </c>
      <c r="C122" s="27">
        <v>6</v>
      </c>
      <c r="D122" s="27">
        <v>0</v>
      </c>
      <c r="E122" s="27">
        <v>4</v>
      </c>
      <c r="F122" s="27">
        <v>1</v>
      </c>
      <c r="G122" s="27">
        <v>26</v>
      </c>
      <c r="H122" s="39">
        <f>-H84</f>
        <v>0</v>
      </c>
      <c r="I122" s="11" t="s">
        <v>103</v>
      </c>
    </row>
    <row r="123">
      <c r="A123" s="3"/>
      <c r="B123" s="3" t="s">
        <v>380</v>
      </c>
      <c r="C123" s="27">
        <v>0</v>
      </c>
      <c r="D123" s="27">
        <v>0</v>
      </c>
      <c r="E123" s="27">
        <v>40</v>
      </c>
      <c r="F123" s="27">
        <v>0</v>
      </c>
      <c r="G123" s="27">
        <v>0</v>
      </c>
      <c r="H123" s="30">
        <v>0</v>
      </c>
      <c r="I123" s="11" t="s">
        <v>381</v>
      </c>
    </row>
    <row r="124">
      <c r="A124" s="3"/>
      <c r="B124" s="15" t="s">
        <v>382</v>
      </c>
      <c r="C124" s="26">
        <f>C119+SUM(C120:C123)</f>
        <v>1477</v>
      </c>
      <c r="D124" s="26">
        <f>D119+SUM(D120:D123)</f>
        <v>1311</v>
      </c>
      <c r="E124" s="26">
        <f>E119+SUM(E120:E123)</f>
        <v>531</v>
      </c>
      <c r="F124" s="26">
        <f>F119+SUM(F120:F123)</f>
        <v>1360</v>
      </c>
      <c r="G124" s="26">
        <f>G119+SUM(G120:G123)</f>
        <v>4978</v>
      </c>
      <c r="H124" s="40">
        <f>H119+SUM(H120:H123)</f>
        <v>1432.2758116471086</v>
      </c>
      <c r="I124" s="11" t="s">
        <v>383</v>
      </c>
    </row>
    <row r="125">
      <c r="A125" s="3"/>
      <c r="B125" s="3" t="s">
        <v>384</v>
      </c>
      <c r="C125" s="27">
        <v>-363</v>
      </c>
      <c r="D125" s="27">
        <v>-297</v>
      </c>
      <c r="E125" s="27">
        <v>-109</v>
      </c>
      <c r="F125" s="27">
        <v>-332</v>
      </c>
      <c r="G125" s="27">
        <v>-1179</v>
      </c>
      <c r="H125" s="39">
        <f>-H97*H124</f>
        <v>-350.90757385354163</v>
      </c>
      <c r="I125" s="11" t="s">
        <v>385</v>
      </c>
    </row>
    <row r="126">
      <c r="A126" s="3"/>
      <c r="B126" s="15" t="s">
        <v>386</v>
      </c>
      <c r="C126" s="26">
        <f>C124+C125</f>
        <v>1114</v>
      </c>
      <c r="D126" s="26">
        <f>D124+D125</f>
        <v>1014</v>
      </c>
      <c r="E126" s="26">
        <f>E124+E125</f>
        <v>422</v>
      </c>
      <c r="F126" s="26">
        <f>F124+F125</f>
        <v>1028</v>
      </c>
      <c r="G126" s="26">
        <f>G124+G125</f>
        <v>3799</v>
      </c>
      <c r="H126" s="40">
        <f>H124+H125</f>
        <v>1081.368237793567</v>
      </c>
      <c r="I126" s="3"/>
    </row>
    <row r="127">
      <c r="A127" s="3"/>
      <c r="B127" s="3" t="s">
        <v>387</v>
      </c>
      <c r="C127" s="23">
        <f>'Share Count'!C20</f>
        <v>654</v>
      </c>
      <c r="D127" s="23">
        <f>'Share Count'!D20</f>
        <v>656</v>
      </c>
      <c r="E127" s="23">
        <f>'Share Count'!E20</f>
        <v>657</v>
      </c>
      <c r="F127" s="23">
        <f>'Share Count'!F20</f>
        <v>658</v>
      </c>
      <c r="G127" s="23">
        <f>'Share Count'!G20</f>
        <v>654</v>
      </c>
      <c r="H127" s="47">
        <f>'Share Count'!H20</f>
        <v>659</v>
      </c>
      <c r="I127" s="3"/>
    </row>
    <row r="128">
      <c r="A128" s="3"/>
      <c r="B128" s="15" t="s">
        <v>388</v>
      </c>
      <c r="C128" s="81">
        <f>C126/C127</f>
        <v>1.7033639143730888</v>
      </c>
      <c r="D128" s="81">
        <f>D126/D127</f>
        <v>1.545731707317073</v>
      </c>
      <c r="E128" s="81">
        <f>E126/E127</f>
        <v>0.6423135464231354</v>
      </c>
      <c r="F128" s="81">
        <f>F126/F127</f>
        <v>1.5623100303951367</v>
      </c>
      <c r="G128" s="81">
        <f>G126/G127</f>
        <v>5.808868501529052</v>
      </c>
      <c r="H128" s="85">
        <f>H126/H127</f>
        <v>1.6409229708551851</v>
      </c>
      <c r="I128" s="11" t="s">
        <v>389</v>
      </c>
    </row>
    <row r="129">
      <c r="A129" s="3"/>
      <c r="B129" s="6" t="s">
        <v>80</v>
      </c>
      <c r="C129" s="79">
        <v>1.5</v>
      </c>
      <c r="D129" s="79">
        <v>1.85</v>
      </c>
      <c r="E129" s="79">
        <v>0.45</v>
      </c>
      <c r="F129" s="79">
        <v>2.12</v>
      </c>
      <c r="G129" s="79">
        <v>6.16</v>
      </c>
      <c r="H129" s="82">
        <f>C128</f>
        <v>1.7033639143730888</v>
      </c>
      <c r="I129" s="11" t="s">
        <v>390</v>
      </c>
    </row>
    <row r="130">
      <c r="A130" s="3"/>
      <c r="B130" s="6" t="s">
        <v>81</v>
      </c>
      <c r="C130" s="12">
        <f>IFERROR(C128/C129-1,"n.a.")</f>
        <v>0.13557594291539243</v>
      </c>
      <c r="D130" s="12">
        <f>IFERROR(D128/D129-1,"n.a.")</f>
        <v>-0.1644693473961767</v>
      </c>
      <c r="E130" s="12">
        <f>IFERROR(E128/E129-1,"n.a.")</f>
        <v>0.4273634364958565</v>
      </c>
      <c r="F130" s="12">
        <f>IFERROR(F128/F129-1,"n.a.")</f>
        <v>-0.26306130641738834</v>
      </c>
      <c r="G130" s="12">
        <f>IFERROR(G128/G129-1,"n.a.")</f>
        <v>-0.05700186663489415</v>
      </c>
      <c r="H130" s="57">
        <f>IFERROR(H128/C128-1,"n.a.")</f>
        <v>-0.03665743003654309</v>
      </c>
      <c r="I130" s="3"/>
    </row>
    <row r="131" ht="14.624267578125">
      <c r="A131" s="3"/>
      <c r="B131" s="6" t="s">
        <v>391</v>
      </c>
      <c r="C131" s="79">
        <v>1.7</v>
      </c>
      <c r="D131" s="79">
        <v>1.55</v>
      </c>
      <c r="E131" s="79">
        <v>0.64</v>
      </c>
      <c r="F131" s="79">
        <v>1.56</v>
      </c>
      <c r="G131" s="79">
        <v>5.81</v>
      </c>
      <c r="H131" s="82" t="s">
        <v>38</v>
      </c>
      <c r="I131" s="11" t="s">
        <v>392</v>
      </c>
    </row>
    <row r="132">
      <c r="A132" s="3"/>
      <c r="B132" s="6" t="s">
        <v>393</v>
      </c>
      <c r="C132" s="28" t="b">
        <f>ABS(C128-C131)&lt;=0.01</f>
        <v>1</v>
      </c>
      <c r="D132" s="28" t="b">
        <f>ABS(D128-D131)&lt;=0.01</f>
        <v>1</v>
      </c>
      <c r="E132" s="28" t="b">
        <f>ABS(E128-E131)&lt;=0.01</f>
        <v>1</v>
      </c>
      <c r="F132" s="28" t="b">
        <f>ABS(F128-F131)&lt;=0.01</f>
        <v>1</v>
      </c>
      <c r="G132" s="28" t="b">
        <f>ABS(G128-G131)&lt;=0.01</f>
        <v>1</v>
      </c>
      <c r="H132" s="31" t="s">
        <v>38</v>
      </c>
      <c r="I132" s="11" t="s">
        <v>394</v>
      </c>
    </row>
    <row r="133">
      <c r="A133" s="3"/>
      <c r="B133" s="3" t="s">
        <v>395</v>
      </c>
      <c r="C133" s="18">
        <f>C112-C128</f>
        <v>0.46330275229357776</v>
      </c>
      <c r="D133" s="18">
        <f>D112-D128</f>
        <v>0.3125</v>
      </c>
      <c r="E133" s="18">
        <f>E112-E128</f>
        <v>-1.0855650801654666</v>
      </c>
      <c r="F133" s="18">
        <f>F112-F128</f>
        <v>0.8753799392097266</v>
      </c>
      <c r="G133" s="18">
        <f>G112-G128</f>
        <v>1.8440366972477058</v>
      </c>
      <c r="H133" s="61">
        <f>H112-H128</f>
        <v>0</v>
      </c>
      <c r="I133" s="3"/>
    </row>
    <row r="134">
      <c r="A134" s="3"/>
      <c r="B134" s="3"/>
      <c r="C134" s="22"/>
      <c r="D134" s="22"/>
      <c r="E134" s="22"/>
      <c r="F134" s="22"/>
      <c r="G134" s="22"/>
      <c r="H134" s="39"/>
      <c r="I134" s="3"/>
    </row>
    <row r="135">
      <c r="A135" s="3"/>
      <c r="B135" s="15" t="s">
        <v>396</v>
      </c>
      <c r="C135" s="22"/>
      <c r="D135" s="22"/>
      <c r="E135" s="22"/>
      <c r="F135" s="22"/>
      <c r="G135" s="22"/>
      <c r="H135" s="39"/>
      <c r="I135" s="3"/>
    </row>
    <row r="136">
      <c r="A136" s="3"/>
      <c r="B136" s="3" t="s">
        <v>109</v>
      </c>
      <c r="C136" s="23">
        <f>'Revenue summary'!C89</f>
        <v>15197</v>
      </c>
      <c r="D136" s="23">
        <f>'Revenue summary'!D89</f>
        <v>14606</v>
      </c>
      <c r="E136" s="23">
        <f>'Revenue summary'!E89</f>
        <v>14200</v>
      </c>
      <c r="F136" s="23">
        <f>'Revenue summary'!F89</f>
        <v>17666</v>
      </c>
      <c r="G136" s="23">
        <f>'Revenue summary'!G89</f>
        <v>58287</v>
      </c>
      <c r="H136" s="47">
        <f>'Revenue summary'!H89</f>
        <v>17759.540874999995</v>
      </c>
      <c r="I136" s="3"/>
    </row>
    <row r="137">
      <c r="A137" s="3"/>
      <c r="B137" s="15" t="s">
        <v>397</v>
      </c>
      <c r="C137" s="26">
        <f>C72+C121</f>
        <v>1689</v>
      </c>
      <c r="D137" s="26">
        <f>D72+D121</f>
        <v>1470</v>
      </c>
      <c r="E137" s="26">
        <f>E72+E121</f>
        <v>652</v>
      </c>
      <c r="F137" s="26">
        <f>F72+F121</f>
        <v>1563</v>
      </c>
      <c r="G137" s="26">
        <f>G72+G121</f>
        <v>5801</v>
      </c>
      <c r="H137" s="40">
        <f>H72+H121</f>
        <v>1612.2758116471086</v>
      </c>
      <c r="I137" s="11" t="s">
        <v>398</v>
      </c>
    </row>
    <row r="138" ht="14.624267578125">
      <c r="A138" s="3"/>
      <c r="B138" s="6" t="s">
        <v>46</v>
      </c>
      <c r="C138" s="12">
        <f>C137/C136</f>
        <v>0.11114035664933869</v>
      </c>
      <c r="D138" s="12">
        <f>D137/D136</f>
        <v>0.10064357113514993</v>
      </c>
      <c r="E138" s="12">
        <f>E137/E136</f>
        <v>0.04591549295774648</v>
      </c>
      <c r="F138" s="12">
        <f>F137/F136</f>
        <v>0.08847503679384128</v>
      </c>
      <c r="G138" s="12">
        <f>G137/G136</f>
        <v>0.09952476538507729</v>
      </c>
      <c r="H138" s="57">
        <f>H137/H136</f>
        <v>0.09078364260625116</v>
      </c>
      <c r="I138" s="3"/>
    </row>
    <row r="139">
      <c r="A139" s="3"/>
      <c r="B139" s="6" t="s">
        <v>399</v>
      </c>
      <c r="C139" s="12"/>
      <c r="D139" s="12"/>
      <c r="E139" s="12"/>
      <c r="F139" s="12"/>
      <c r="G139" s="12"/>
      <c r="H139" s="67">
        <f>Guidance!G25</f>
        <v>0.12</v>
      </c>
      <c r="I139" s="11" t="s">
        <v>400</v>
      </c>
    </row>
    <row r="140">
      <c r="A140" s="3"/>
      <c r="B140" s="6" t="s">
        <v>401</v>
      </c>
      <c r="C140" s="36">
        <v>1373</v>
      </c>
      <c r="D140" s="25" t="s">
        <v>38</v>
      </c>
      <c r="E140" s="36">
        <v>584</v>
      </c>
      <c r="F140" s="36">
        <v>2064</v>
      </c>
      <c r="G140" s="25" t="s">
        <v>38</v>
      </c>
      <c r="H140" s="43">
        <f>C137</f>
        <v>1689</v>
      </c>
      <c r="I140" s="11" t="s">
        <v>402</v>
      </c>
    </row>
    <row r="141" ht="14.624267578125">
      <c r="A141" s="3"/>
      <c r="B141" s="6" t="s">
        <v>403</v>
      </c>
      <c r="C141" s="9">
        <f>IFERROR(C140/'Segment - Airline'!C163,"n.a.")</f>
        <v>0.09407975880498835</v>
      </c>
      <c r="D141" s="9" t="str">
        <f>IFERROR(D140/'Segment - Airline'!D163,"n.a.")</f>
        <v>n.a.</v>
      </c>
      <c r="E141" s="9">
        <f>IFERROR(E140/'Segment - Airline'!E163,"n.a.")</f>
        <v>0.04499922946524888</v>
      </c>
      <c r="F141" s="9">
        <f>IFERROR(F140/'Segment - Airline'!F163,"n.a.")</f>
        <v>0.1331011801122074</v>
      </c>
      <c r="G141" s="9" t="str">
        <f>IFERROR(G140/'Segment - Airline'!G163,"n.a.")</f>
        <v>n.a.</v>
      </c>
      <c r="H141" s="57">
        <f>C138</f>
        <v>0.11114035664933869</v>
      </c>
      <c r="I141" s="3"/>
    </row>
    <row r="142">
      <c r="A142" s="3"/>
      <c r="B142" s="6" t="s">
        <v>124</v>
      </c>
      <c r="C142" s="49">
        <f>IFERROR((C138-C141)*10000,"n.a.")</f>
        <v>170.60597844350337</v>
      </c>
      <c r="D142" s="49" t="str">
        <f>IFERROR((D138-D141)*10000,"n.a.")</f>
        <v>n.a.</v>
      </c>
      <c r="E142" s="49">
        <f>IFERROR((E138-E141)*10000,"n.a.")</f>
        <v>9.162634924975988</v>
      </c>
      <c r="F142" s="49">
        <f>IFERROR((F138-F141)*10000,"n.a.")</f>
        <v>-446.2614331836612</v>
      </c>
      <c r="G142" s="49" t="str">
        <f>IFERROR((G138-G141)*10000,"n.a.")</f>
        <v>n.a.</v>
      </c>
      <c r="H142" s="69">
        <f>IFERROR((H138-C138)*10000,"n.a.")</f>
        <v>-203.56714043087533</v>
      </c>
      <c r="I142" s="3"/>
    </row>
    <row r="143" ht="14.624267578125">
      <c r="A143" s="3"/>
      <c r="B143" s="6" t="s">
        <v>125</v>
      </c>
      <c r="C143" s="49">
        <f>IFERROR((C138-F141)*10000,"n.a.")</f>
        <v>-219.60823462868706</v>
      </c>
      <c r="D143" s="49">
        <f>(D138-C138)*10000</f>
        <v>-104.96785514188755</v>
      </c>
      <c r="E143" s="49">
        <f>(E138-D138)*10000</f>
        <v>-547.2807817740345</v>
      </c>
      <c r="F143" s="49">
        <f>(F138-E138)*10000</f>
        <v>425.595438360948</v>
      </c>
      <c r="G143" s="49" t="s">
        <v>38</v>
      </c>
      <c r="H143" s="69">
        <f>(H138-F138)*10000</f>
        <v>23.086058124098805</v>
      </c>
      <c r="I143" s="3"/>
    </row>
    <row r="144">
      <c r="A144" s="3"/>
      <c r="B144" s="3" t="s">
        <v>404</v>
      </c>
      <c r="C144" s="22" t="s">
        <v>38</v>
      </c>
      <c r="D144" s="22" t="s">
        <v>38</v>
      </c>
      <c r="E144" s="22">
        <f>E66-E23-E26-E53-E56</f>
        <v>10464</v>
      </c>
      <c r="F144" s="22">
        <f>F66-F23-F26-F53-F56</f>
        <v>11092</v>
      </c>
      <c r="G144" s="22" t="s">
        <v>38</v>
      </c>
      <c r="H144" s="39">
        <f>H66-H23-H26-H53-H56</f>
        <v>11141.856999999998</v>
      </c>
      <c r="I144" s="11" t="s">
        <v>405</v>
      </c>
    </row>
    <row r="145">
      <c r="A145" s="3"/>
      <c r="B145" s="15" t="s">
        <v>406</v>
      </c>
      <c r="C145" s="26">
        <f>C124+C56</f>
        <v>1869</v>
      </c>
      <c r="D145" s="26">
        <f>D124+D56</f>
        <v>1662</v>
      </c>
      <c r="E145" s="26">
        <f>E124+E56</f>
        <v>696</v>
      </c>
      <c r="F145" s="26">
        <f>F124+F56</f>
        <v>1688</v>
      </c>
      <c r="G145" s="26">
        <f>G124+G56</f>
        <v>6315</v>
      </c>
      <c r="H145" s="40">
        <f>H14-(H20+H23+H26+H32+H35+H38+H41+H44+H47+H50+H53+H59+H62)+H80+H86</f>
        <v>1801.604794524661</v>
      </c>
      <c r="I145" s="3"/>
    </row>
    <row r="146">
      <c r="A146" s="3"/>
      <c r="B146" s="6" t="s">
        <v>407</v>
      </c>
      <c r="C146" s="12">
        <f>C56/C145</f>
        <v>0.20973782771535582</v>
      </c>
      <c r="D146" s="12">
        <f>D56/D145</f>
        <v>0.2111913357400722</v>
      </c>
      <c r="E146" s="12">
        <f>E56/E145</f>
        <v>0.23706896551724138</v>
      </c>
      <c r="F146" s="12">
        <f>F56/F145</f>
        <v>0.1943127962085308</v>
      </c>
      <c r="G146" s="12">
        <f>G56/G145</f>
        <v>0.2117181314330958</v>
      </c>
      <c r="H146" s="63">
        <v>0.205</v>
      </c>
      <c r="I146" s="11" t="s">
        <v>408</v>
      </c>
    </row>
    <row r="147">
      <c r="A147" s="3"/>
      <c r="B147" s="6" t="s">
        <v>409</v>
      </c>
      <c r="C147" s="36">
        <v>1254</v>
      </c>
      <c r="D147" s="36">
        <v>1566</v>
      </c>
      <c r="E147" s="36">
        <v>375</v>
      </c>
      <c r="F147" s="36">
        <v>1820</v>
      </c>
      <c r="G147" s="36">
        <v>5201</v>
      </c>
      <c r="H147" s="43">
        <f>C124</f>
        <v>1477</v>
      </c>
      <c r="I147" s="11" t="s">
        <v>103</v>
      </c>
    </row>
    <row r="148">
      <c r="A148" s="3"/>
      <c r="B148" s="6" t="s">
        <v>410</v>
      </c>
      <c r="C148" s="12">
        <f>IFERROR(C57/(C147+C57),"n.a.")</f>
        <v>0.20330368487928843</v>
      </c>
      <c r="D148" s="12">
        <f>IFERROR(D57/(D147+D57),"n.a.")</f>
        <v>0.21346057257659468</v>
      </c>
      <c r="E148" s="12">
        <f>IFERROR(E57/(E147+E57),"n.a.")</f>
        <v>0.24849699398797595</v>
      </c>
      <c r="F148" s="12">
        <f>IFERROR(F57/(F147+F57),"n.a.")</f>
        <v>0.2052401746724891</v>
      </c>
      <c r="G148" s="12">
        <f>IFERROR(G57/(G147+G57),"n.a.")</f>
        <v>0.21077389984825493</v>
      </c>
      <c r="H148" s="57">
        <f>C146</f>
        <v>0.20973782771535582</v>
      </c>
      <c r="I148" s="3"/>
    </row>
    <row r="149">
      <c r="A149" s="3"/>
      <c r="B149" s="6" t="s">
        <v>124</v>
      </c>
      <c r="C149" s="49">
        <f>IFERROR((C146-C148)*10000,"n.a.")</f>
        <v>64.34142836067386</v>
      </c>
      <c r="D149" s="49">
        <f>IFERROR((D146-D148)*10000,"n.a.")</f>
        <v>-22.692368365224702</v>
      </c>
      <c r="E149" s="49">
        <f>IFERROR((E146-E148)*10000,"n.a.")</f>
        <v>-114.28028470734569</v>
      </c>
      <c r="F149" s="49">
        <f>IFERROR((F146-F148)*10000,"n.a.")</f>
        <v>-109.27378463958276</v>
      </c>
      <c r="G149" s="49">
        <f>IFERROR((G146-G148)*10000,"n.a.")</f>
        <v>9.442315848408878</v>
      </c>
      <c r="H149" s="69">
        <f>IFERROR((H146-C146)*10000,"n.a.")</f>
        <v>-47.3782771535583</v>
      </c>
      <c r="I149" s="3"/>
    </row>
    <row r="150">
      <c r="A150" s="3"/>
      <c r="B150" s="6" t="s">
        <v>125</v>
      </c>
      <c r="C150" s="49">
        <f>IFERROR((C146-F148)*10000,"n.a.")</f>
        <v>44.97653042866728</v>
      </c>
      <c r="D150" s="49">
        <f>IFERROR((D146-C146)*10000,"n.a.")</f>
        <v>14.53508024716388</v>
      </c>
      <c r="E150" s="49">
        <f>IFERROR((E146-D146)*10000,"n.a.")</f>
        <v>258.77629777169176</v>
      </c>
      <c r="F150" s="49">
        <f>IFERROR((F146-E146)*10000,"n.a.")</f>
        <v>-427.56169308710565</v>
      </c>
      <c r="G150" s="49" t="s">
        <v>38</v>
      </c>
      <c r="H150" s="69">
        <f>IFERROR((H146-F146)*10000,"n.a.")</f>
        <v>106.87203791469175</v>
      </c>
      <c r="I150" s="3"/>
    </row>
    <row r="151">
      <c r="A151" s="3"/>
      <c r="B151" s="6" t="s">
        <v>411</v>
      </c>
      <c r="C151" s="12" t="s">
        <v>38</v>
      </c>
      <c r="D151" s="12" t="s">
        <v>38</v>
      </c>
      <c r="E151" s="9">
        <f>1-E53/'Segment - Airline'!E112</f>
        <v>0.13684210526315788</v>
      </c>
      <c r="F151" s="9">
        <f>1-F53/'Segment - Airline'!F112</f>
        <v>0.1333333333333333</v>
      </c>
      <c r="G151" s="12" t="s">
        <v>38</v>
      </c>
      <c r="H151" s="63">
        <v>0.12</v>
      </c>
      <c r="I151" s="11" t="s">
        <v>412</v>
      </c>
    </row>
    <row r="152">
      <c r="A152" s="3"/>
      <c r="B152" s="6" t="s">
        <v>413</v>
      </c>
      <c r="C152" s="12" t="s">
        <v>38</v>
      </c>
      <c r="D152" s="12" t="s">
        <v>38</v>
      </c>
      <c r="E152" s="9">
        <f>1-E54/'Segment - Airline'!E113</f>
        <v>0.07284768211920534</v>
      </c>
      <c r="F152" s="9">
        <f>1-F54/'Segment - Airline'!F113</f>
        <v>0.04184100418410042</v>
      </c>
      <c r="G152" s="12" t="s">
        <v>38</v>
      </c>
      <c r="H152" s="57" t="str">
        <f>C151</f>
        <v>n.a.</v>
      </c>
      <c r="I152" s="3"/>
    </row>
    <row r="153">
      <c r="A153" s="3"/>
      <c r="B153" s="6" t="s">
        <v>124</v>
      </c>
      <c r="C153" s="49" t="str">
        <f>IFERROR((C151-C152)*10000,"n.a.")</f>
        <v>n.a.</v>
      </c>
      <c r="D153" s="49" t="str">
        <f>IFERROR((D151-D152)*10000,"n.a.")</f>
        <v>n.a.</v>
      </c>
      <c r="E153" s="49">
        <f>IFERROR((E151-E152)*10000,"n.a.")</f>
        <v>639.9442314395254</v>
      </c>
      <c r="F153" s="49">
        <f>IFERROR((F151-F152)*10000,"n.a.")</f>
        <v>914.9232914923289</v>
      </c>
      <c r="G153" s="49" t="str">
        <f>IFERROR((G151-G152)*10000,"n.a.")</f>
        <v>n.a.</v>
      </c>
      <c r="H153" s="69" t="str">
        <f>IFERROR((H151-C151)*10000,"n.a.")</f>
        <v>n.a.</v>
      </c>
      <c r="I153" s="3"/>
    </row>
    <row r="154">
      <c r="A154" s="3"/>
      <c r="B154" s="6" t="s">
        <v>125</v>
      </c>
      <c r="C154" s="49" t="s">
        <v>38</v>
      </c>
      <c r="D154" s="49" t="str">
        <f>IFERROR((D151-C151)*10000,"n.a.")</f>
        <v>n.a.</v>
      </c>
      <c r="E154" s="49" t="str">
        <f>IFERROR((E151-D151)*10000,"n.a.")</f>
        <v>n.a.</v>
      </c>
      <c r="F154" s="49">
        <f>IFERROR((F151-E151)*10000,"n.a.")</f>
        <v>-35.08771929824572</v>
      </c>
      <c r="G154" s="49" t="s">
        <v>38</v>
      </c>
      <c r="H154" s="69">
        <f>IFERROR((H151-F151)*10000,"n.a.")</f>
        <v>-133.3333333333331</v>
      </c>
      <c r="I154" s="3"/>
    </row>
    <row r="155">
      <c r="A155" s="3"/>
      <c r="B155" s="3"/>
      <c r="C155" s="22"/>
      <c r="D155" s="22"/>
      <c r="E155" s="22"/>
      <c r="F155" s="22"/>
      <c r="G155" s="22"/>
      <c r="H155" s="39"/>
      <c r="I155" s="3"/>
    </row>
    <row r="156">
      <c r="A156" s="3"/>
      <c r="B156" s="15" t="s">
        <v>414</v>
      </c>
      <c r="C156" s="22"/>
      <c r="D156" s="22"/>
      <c r="E156" s="22"/>
      <c r="F156" s="22"/>
      <c r="G156" s="22"/>
      <c r="H156" s="39"/>
      <c r="I156" s="3"/>
    </row>
    <row r="157">
      <c r="A157" s="3"/>
      <c r="B157" s="6" t="s">
        <v>415</v>
      </c>
      <c r="C157" s="25"/>
      <c r="D157" s="25"/>
      <c r="E157" s="25"/>
      <c r="F157" s="25"/>
      <c r="G157" s="36">
        <v>30688</v>
      </c>
      <c r="H157" s="43"/>
      <c r="I157" s="11" t="s">
        <v>416</v>
      </c>
    </row>
    <row r="158">
      <c r="A158" s="3"/>
      <c r="B158" s="6" t="s">
        <v>417</v>
      </c>
      <c r="C158" s="25"/>
      <c r="D158" s="25"/>
      <c r="E158" s="25"/>
      <c r="F158" s="25"/>
      <c r="G158" s="36">
        <v>2671</v>
      </c>
      <c r="H158" s="43"/>
      <c r="I158" s="11" t="s">
        <v>416</v>
      </c>
    </row>
    <row r="159">
      <c r="A159" s="3"/>
      <c r="B159" s="6" t="s">
        <v>418</v>
      </c>
      <c r="C159" s="25"/>
      <c r="D159" s="25"/>
      <c r="E159" s="25"/>
      <c r="F159" s="25"/>
      <c r="G159" s="36">
        <v>2370</v>
      </c>
      <c r="H159" s="43"/>
      <c r="I159" s="11" t="s">
        <v>416</v>
      </c>
    </row>
    <row r="160">
      <c r="A160" s="3"/>
      <c r="B160" s="6" t="s">
        <v>419</v>
      </c>
      <c r="C160" s="28"/>
      <c r="D160" s="28"/>
      <c r="E160" s="28"/>
      <c r="F160" s="28"/>
      <c r="G160" s="28" t="b">
        <f>ABS(G14-(G157+C14+D14))&lt;0.5</f>
        <v>1</v>
      </c>
      <c r="H160" s="31"/>
      <c r="I160" s="3"/>
    </row>
    <row r="161">
      <c r="A161" s="3"/>
      <c r="B161" s="6" t="s">
        <v>420</v>
      </c>
      <c r="C161" s="28"/>
      <c r="D161" s="28"/>
      <c r="E161" s="28"/>
      <c r="F161" s="28"/>
      <c r="G161" s="28" t="b">
        <f>ABS(G72-(G158+C72+D72))&lt;=2</f>
        <v>1</v>
      </c>
      <c r="H161" s="31"/>
      <c r="I161" s="11" t="s">
        <v>175</v>
      </c>
    </row>
    <row r="162">
      <c r="A162" s="3"/>
      <c r="B162" s="6" t="s">
        <v>421</v>
      </c>
      <c r="C162" s="28"/>
      <c r="D162" s="28"/>
      <c r="E162" s="28"/>
      <c r="F162" s="28"/>
      <c r="G162" s="28" t="b">
        <f>ABS(G101-(G159+C101+D101))&lt;=2</f>
        <v>1</v>
      </c>
      <c r="H162" s="31"/>
      <c r="I162" s="11" t="s">
        <v>175</v>
      </c>
    </row>
    <row r="163">
      <c r="A163" s="3"/>
      <c r="B163" s="3"/>
      <c r="C163" s="3"/>
      <c r="D163" s="3"/>
      <c r="E163" s="3"/>
      <c r="F163" s="3"/>
      <c r="G163" s="3"/>
      <c r="H163" s="3"/>
      <c r="I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422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423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424</v>
      </c>
      <c r="C11" s="27">
        <v>3791</v>
      </c>
      <c r="D11" s="27">
        <v>4310</v>
      </c>
      <c r="E11" s="27">
        <v>5053</v>
      </c>
      <c r="F11" s="27">
        <v>4665</v>
      </c>
      <c r="G11" s="22">
        <f>D11</f>
        <v>4310</v>
      </c>
      <c r="H11" s="47">
        <f>'Cash Flow Statement'!H48-H50-H51</f>
        <v>4410.010220671123</v>
      </c>
      <c r="I11" s="11" t="s">
        <v>425</v>
      </c>
    </row>
    <row r="12">
      <c r="A12" s="3"/>
      <c r="B12" s="3" t="s">
        <v>426</v>
      </c>
      <c r="C12" s="27">
        <v>3612</v>
      </c>
      <c r="D12" s="27">
        <v>2850</v>
      </c>
      <c r="E12" s="27">
        <v>4090</v>
      </c>
      <c r="F12" s="27">
        <v>4307</v>
      </c>
      <c r="G12" s="22">
        <f>D12</f>
        <v>2850</v>
      </c>
      <c r="H12" s="47">
        <f>F12-'Cash Flow Statement'!H14</f>
        <v>4307</v>
      </c>
      <c r="I12" s="11" t="s">
        <v>427</v>
      </c>
    </row>
    <row r="13" ht="14.624267578125">
      <c r="A13" s="3"/>
      <c r="B13" s="3" t="s">
        <v>428</v>
      </c>
      <c r="C13" s="27">
        <v>1543</v>
      </c>
      <c r="D13" s="27">
        <v>1601</v>
      </c>
      <c r="E13" s="27">
        <v>1767</v>
      </c>
      <c r="F13" s="27">
        <v>2558</v>
      </c>
      <c r="G13" s="22">
        <f>D13</f>
        <v>1601</v>
      </c>
      <c r="H13" s="39">
        <f>F13</f>
        <v>2558</v>
      </c>
      <c r="I13" s="11" t="s">
        <v>429</v>
      </c>
    </row>
    <row r="14">
      <c r="A14" s="3"/>
      <c r="B14" s="3" t="s">
        <v>430</v>
      </c>
      <c r="C14" s="27">
        <v>2284</v>
      </c>
      <c r="D14" s="27">
        <v>2207</v>
      </c>
      <c r="E14" s="27">
        <v>2753</v>
      </c>
      <c r="F14" s="27">
        <v>2706</v>
      </c>
      <c r="G14" s="22">
        <f>D14</f>
        <v>2207</v>
      </c>
      <c r="H14" s="39">
        <f>F14</f>
        <v>2706</v>
      </c>
      <c r="I14" s="11" t="s">
        <v>427</v>
      </c>
    </row>
    <row r="15">
      <c r="A15" s="3"/>
      <c r="B15" s="15" t="s">
        <v>431</v>
      </c>
      <c r="C15" s="26">
        <f>SUM(C11:C14)</f>
        <v>11230</v>
      </c>
      <c r="D15" s="26">
        <f>SUM(D11:D14)</f>
        <v>10968</v>
      </c>
      <c r="E15" s="26">
        <f>SUM(E11:E14)</f>
        <v>13663</v>
      </c>
      <c r="F15" s="26">
        <f>SUM(F11:F14)</f>
        <v>14236</v>
      </c>
      <c r="G15" s="26">
        <f>SUM(G11:G14)</f>
        <v>10968</v>
      </c>
      <c r="H15" s="40">
        <f>SUM(H11:H14)</f>
        <v>13981.010220671124</v>
      </c>
      <c r="I15" s="3"/>
    </row>
    <row r="16">
      <c r="A16" s="3"/>
      <c r="B16" s="3" t="s">
        <v>432</v>
      </c>
      <c r="C16" s="27">
        <v>39372</v>
      </c>
      <c r="D16" s="27">
        <v>39743</v>
      </c>
      <c r="E16" s="27">
        <v>40582</v>
      </c>
      <c r="F16" s="27">
        <v>41544</v>
      </c>
      <c r="G16" s="22">
        <f>D16</f>
        <v>39743</v>
      </c>
      <c r="H16" s="47">
        <f>F16-'Cash Flow Statement'!H29-'Cash Flow Statement'!H30-'Cash Flow Statement'!H12</f>
        <v>42208.862</v>
      </c>
      <c r="I16" s="11" t="s">
        <v>427</v>
      </c>
    </row>
    <row r="17">
      <c r="A17" s="3"/>
      <c r="B17" s="3" t="s">
        <v>433</v>
      </c>
      <c r="C17" s="27">
        <v>6198</v>
      </c>
      <c r="D17" s="27">
        <v>6244</v>
      </c>
      <c r="E17" s="27">
        <v>6300</v>
      </c>
      <c r="F17" s="27">
        <v>6162</v>
      </c>
      <c r="G17" s="22">
        <f>D17</f>
        <v>6244</v>
      </c>
      <c r="H17" s="39">
        <f>F17</f>
        <v>6162</v>
      </c>
      <c r="I17" s="11" t="s">
        <v>427</v>
      </c>
    </row>
    <row r="18">
      <c r="A18" s="3"/>
      <c r="B18" s="3" t="s">
        <v>434</v>
      </c>
      <c r="C18" s="27">
        <v>9753</v>
      </c>
      <c r="D18" s="27">
        <v>9753</v>
      </c>
      <c r="E18" s="27">
        <v>9753</v>
      </c>
      <c r="F18" s="27">
        <v>9753</v>
      </c>
      <c r="G18" s="22">
        <f>D18</f>
        <v>9753</v>
      </c>
      <c r="H18" s="39">
        <f>F18</f>
        <v>9753</v>
      </c>
      <c r="I18" s="11" t="s">
        <v>427</v>
      </c>
    </row>
    <row r="19">
      <c r="A19" s="3"/>
      <c r="B19" s="3" t="s">
        <v>435</v>
      </c>
      <c r="C19" s="27">
        <v>5968</v>
      </c>
      <c r="D19" s="27">
        <v>5966</v>
      </c>
      <c r="E19" s="27">
        <v>5964</v>
      </c>
      <c r="F19" s="27">
        <v>5962</v>
      </c>
      <c r="G19" s="22">
        <f>D19</f>
        <v>5966</v>
      </c>
      <c r="H19" s="39">
        <f>F19</f>
        <v>5962</v>
      </c>
      <c r="I19" s="11" t="s">
        <v>427</v>
      </c>
    </row>
    <row r="20">
      <c r="A20" s="3"/>
      <c r="B20" s="3" t="s">
        <v>436</v>
      </c>
      <c r="C20" s="27">
        <v>3883</v>
      </c>
      <c r="D20" s="27">
        <v>4222</v>
      </c>
      <c r="E20" s="27">
        <v>3696</v>
      </c>
      <c r="F20" s="27">
        <v>4041</v>
      </c>
      <c r="G20" s="22">
        <f>D20</f>
        <v>4222</v>
      </c>
      <c r="H20" s="47">
        <f>F20-'Cash Flow Statement'!H13-'Cash Flow Statement'!H32</f>
        <v>4041</v>
      </c>
      <c r="I20" s="11" t="s">
        <v>427</v>
      </c>
    </row>
    <row r="21">
      <c r="A21" s="3"/>
      <c r="B21" s="3" t="s">
        <v>437</v>
      </c>
      <c r="C21" s="27">
        <v>3219</v>
      </c>
      <c r="D21" s="27">
        <v>4421</v>
      </c>
      <c r="E21" s="27">
        <v>4473</v>
      </c>
      <c r="F21" s="27">
        <v>4623</v>
      </c>
      <c r="G21" s="22">
        <f>D21</f>
        <v>4421</v>
      </c>
      <c r="H21" s="47">
        <f>F21-'Cash Flow Statement'!H33-'Cash Flow Statement'!H31</f>
        <v>4623</v>
      </c>
      <c r="I21" s="11" t="s">
        <v>427</v>
      </c>
    </row>
    <row r="22">
      <c r="A22" s="3"/>
      <c r="B22" s="15" t="s">
        <v>438</v>
      </c>
      <c r="C22" s="26">
        <f>SUM(C16:C21)</f>
        <v>68393</v>
      </c>
      <c r="D22" s="26">
        <f>SUM(D16:D21)</f>
        <v>70349</v>
      </c>
      <c r="E22" s="26">
        <f>SUM(E16:E21)</f>
        <v>70768</v>
      </c>
      <c r="F22" s="26">
        <f>SUM(F16:F21)</f>
        <v>72085</v>
      </c>
      <c r="G22" s="26">
        <f>SUM(G16:G21)</f>
        <v>70349</v>
      </c>
      <c r="H22" s="40">
        <f>SUM(H16:H21)</f>
        <v>72749.862</v>
      </c>
      <c r="I22" s="3"/>
    </row>
    <row r="23">
      <c r="A23" s="3"/>
      <c r="B23" s="15" t="s">
        <v>439</v>
      </c>
      <c r="C23" s="26">
        <f>C15+C22</f>
        <v>79623</v>
      </c>
      <c r="D23" s="26">
        <f>D15+D22</f>
        <v>81317</v>
      </c>
      <c r="E23" s="26">
        <f>E15+E22</f>
        <v>84431</v>
      </c>
      <c r="F23" s="26">
        <f>F15+F22</f>
        <v>86321</v>
      </c>
      <c r="G23" s="26">
        <f>G15+G22</f>
        <v>81317</v>
      </c>
      <c r="H23" s="40">
        <f>H15+H22</f>
        <v>86730.87222067112</v>
      </c>
      <c r="I23" s="3"/>
    </row>
    <row r="24">
      <c r="A24" s="3"/>
      <c r="B24" s="6" t="s">
        <v>440</v>
      </c>
      <c r="C24" s="36">
        <v>79623</v>
      </c>
      <c r="D24" s="36">
        <v>81317</v>
      </c>
      <c r="E24" s="36">
        <v>84431</v>
      </c>
      <c r="F24" s="36">
        <v>86321</v>
      </c>
      <c r="G24" s="25">
        <f>D24</f>
        <v>81317</v>
      </c>
      <c r="H24" s="43" t="s">
        <v>38</v>
      </c>
      <c r="I24" s="11" t="s">
        <v>441</v>
      </c>
    </row>
    <row r="25">
      <c r="A25" s="3"/>
      <c r="B25" s="3"/>
      <c r="C25" s="22"/>
      <c r="D25" s="22"/>
      <c r="E25" s="22"/>
      <c r="F25" s="22"/>
      <c r="G25" s="22"/>
      <c r="H25" s="39"/>
      <c r="I25" s="3"/>
    </row>
    <row r="26">
      <c r="A26" s="3"/>
      <c r="B26" s="15" t="s">
        <v>442</v>
      </c>
      <c r="C26" s="22"/>
      <c r="D26" s="22"/>
      <c r="E26" s="22"/>
      <c r="F26" s="22"/>
      <c r="G26" s="22"/>
      <c r="H26" s="39"/>
      <c r="I26" s="3"/>
    </row>
    <row r="27" ht="14.624267578125">
      <c r="A27" s="3"/>
      <c r="B27" s="3" t="s">
        <v>443</v>
      </c>
      <c r="C27" s="27">
        <v>2106</v>
      </c>
      <c r="D27" s="27">
        <v>1605</v>
      </c>
      <c r="E27" s="27">
        <v>3088</v>
      </c>
      <c r="F27" s="27">
        <v>3442</v>
      </c>
      <c r="G27" s="22">
        <f>D27</f>
        <v>1605</v>
      </c>
      <c r="H27" s="39">
        <f>F27</f>
        <v>3442</v>
      </c>
      <c r="I27" s="11" t="s">
        <v>444</v>
      </c>
    </row>
    <row r="28">
      <c r="A28" s="3"/>
      <c r="B28" s="3" t="s">
        <v>445</v>
      </c>
      <c r="C28" s="27">
        <v>743</v>
      </c>
      <c r="D28" s="27">
        <v>809</v>
      </c>
      <c r="E28" s="27">
        <v>837</v>
      </c>
      <c r="F28" s="27">
        <v>869</v>
      </c>
      <c r="G28" s="22">
        <f>D28</f>
        <v>809</v>
      </c>
      <c r="H28" s="39">
        <f>F28</f>
        <v>869</v>
      </c>
      <c r="I28" s="11" t="s">
        <v>427</v>
      </c>
    </row>
    <row r="29">
      <c r="A29" s="3"/>
      <c r="B29" s="3" t="s">
        <v>446</v>
      </c>
      <c r="C29" s="27">
        <v>8165</v>
      </c>
      <c r="D29" s="27">
        <v>7157</v>
      </c>
      <c r="E29" s="27">
        <v>10742</v>
      </c>
      <c r="F29" s="27">
        <v>10020</v>
      </c>
      <c r="G29" s="22">
        <f>D29</f>
        <v>7157</v>
      </c>
      <c r="H29" s="47">
        <f>F29+'Cash Flow Statement'!H15</f>
        <v>9320</v>
      </c>
      <c r="I29" s="11" t="s">
        <v>427</v>
      </c>
    </row>
    <row r="30">
      <c r="A30" s="3"/>
      <c r="B30" s="3" t="s">
        <v>447</v>
      </c>
      <c r="C30" s="27">
        <v>5022</v>
      </c>
      <c r="D30" s="27">
        <v>5226</v>
      </c>
      <c r="E30" s="27">
        <v>5969</v>
      </c>
      <c r="F30" s="27">
        <v>6738</v>
      </c>
      <c r="G30" s="22">
        <f>D30</f>
        <v>5226</v>
      </c>
      <c r="H30" s="39">
        <f>F30</f>
        <v>6738</v>
      </c>
      <c r="I30" s="11" t="s">
        <v>427</v>
      </c>
    </row>
    <row r="31">
      <c r="A31" s="3"/>
      <c r="B31" s="3" t="s">
        <v>448</v>
      </c>
      <c r="C31" s="27">
        <v>4434</v>
      </c>
      <c r="D31" s="27">
        <v>4906</v>
      </c>
      <c r="E31" s="27">
        <v>3634</v>
      </c>
      <c r="F31" s="27">
        <v>3935</v>
      </c>
      <c r="G31" s="22">
        <f>D31</f>
        <v>4906</v>
      </c>
      <c r="H31" s="47">
        <f>F31+'Cash Flow Statement'!H16</f>
        <v>4304.328982877555</v>
      </c>
      <c r="I31" s="11" t="s">
        <v>427</v>
      </c>
    </row>
    <row r="32" ht="14.624267578125">
      <c r="A32" s="3"/>
      <c r="B32" s="3" t="s">
        <v>449</v>
      </c>
      <c r="C32" s="27">
        <v>4654</v>
      </c>
      <c r="D32" s="27">
        <v>4876</v>
      </c>
      <c r="E32" s="27">
        <v>5010</v>
      </c>
      <c r="F32" s="27">
        <v>5243</v>
      </c>
      <c r="G32" s="22">
        <f>D32</f>
        <v>4876</v>
      </c>
      <c r="H32" s="39">
        <f>F32</f>
        <v>5243</v>
      </c>
      <c r="I32" s="11" t="s">
        <v>427</v>
      </c>
    </row>
    <row r="33">
      <c r="A33" s="3"/>
      <c r="B33" s="3" t="s">
        <v>450</v>
      </c>
      <c r="C33" s="27">
        <v>1100</v>
      </c>
      <c r="D33" s="27">
        <v>1100</v>
      </c>
      <c r="E33" s="27">
        <v>1100</v>
      </c>
      <c r="F33" s="27">
        <v>1100</v>
      </c>
      <c r="G33" s="22">
        <f>D33</f>
        <v>1100</v>
      </c>
      <c r="H33" s="39">
        <f>F33</f>
        <v>1100</v>
      </c>
      <c r="I33" s="11" t="s">
        <v>427</v>
      </c>
    </row>
    <row r="34">
      <c r="A34" s="3"/>
      <c r="B34" s="3" t="s">
        <v>451</v>
      </c>
      <c r="C34" s="27">
        <v>2025</v>
      </c>
      <c r="D34" s="27">
        <v>1945</v>
      </c>
      <c r="E34" s="27">
        <v>2319</v>
      </c>
      <c r="F34" s="27">
        <v>2257</v>
      </c>
      <c r="G34" s="22">
        <f>D34</f>
        <v>1945</v>
      </c>
      <c r="H34" s="47">
        <f>F34+'Cash Flow Statement'!H17</f>
        <v>2557</v>
      </c>
      <c r="I34" s="11" t="s">
        <v>427</v>
      </c>
    </row>
    <row r="35">
      <c r="A35" s="3"/>
      <c r="B35" s="15" t="s">
        <v>452</v>
      </c>
      <c r="C35" s="26">
        <f>SUM(C27:C34)</f>
        <v>28249</v>
      </c>
      <c r="D35" s="26">
        <f>SUM(D27:D34)</f>
        <v>27624</v>
      </c>
      <c r="E35" s="26">
        <f>SUM(E27:E34)</f>
        <v>32699</v>
      </c>
      <c r="F35" s="26">
        <f>SUM(F27:F34)</f>
        <v>33604</v>
      </c>
      <c r="G35" s="26">
        <f>SUM(G27:G34)</f>
        <v>27624</v>
      </c>
      <c r="H35" s="40">
        <f>SUM(H27:H34)</f>
        <v>33573.32898287755</v>
      </c>
      <c r="I35" s="3"/>
    </row>
    <row r="36">
      <c r="A36" s="3"/>
      <c r="B36" s="3" t="s">
        <v>453</v>
      </c>
      <c r="C36" s="27">
        <v>12773</v>
      </c>
      <c r="D36" s="27">
        <v>12507</v>
      </c>
      <c r="E36" s="27">
        <v>11076</v>
      </c>
      <c r="F36" s="27">
        <v>10510</v>
      </c>
      <c r="G36" s="22">
        <f>D36</f>
        <v>12507</v>
      </c>
      <c r="H36" s="47">
        <f>F36+'Cash Flow Statement'!H39+'Cash Flow Statement'!H40+'Cash Flow Statement'!H41</f>
        <v>10010</v>
      </c>
      <c r="I36" s="11" t="s">
        <v>427</v>
      </c>
    </row>
    <row r="37">
      <c r="A37" s="3"/>
      <c r="B37" s="3" t="s">
        <v>454</v>
      </c>
      <c r="C37" s="27">
        <v>5356</v>
      </c>
      <c r="D37" s="27">
        <v>5353</v>
      </c>
      <c r="E37" s="27">
        <v>5298</v>
      </c>
      <c r="F37" s="27">
        <v>5163</v>
      </c>
      <c r="G37" s="22">
        <f>D37</f>
        <v>5353</v>
      </c>
      <c r="H37" s="39">
        <f>F37</f>
        <v>5163</v>
      </c>
      <c r="I37" s="11" t="s">
        <v>427</v>
      </c>
    </row>
    <row r="38" ht="14.624267578125">
      <c r="A38" s="3"/>
      <c r="B38" s="3" t="s">
        <v>455</v>
      </c>
      <c r="C38" s="27">
        <v>3051</v>
      </c>
      <c r="D38" s="27">
        <v>3156</v>
      </c>
      <c r="E38" s="27">
        <v>3115</v>
      </c>
      <c r="F38" s="27">
        <v>3066</v>
      </c>
      <c r="G38" s="22">
        <f>D38</f>
        <v>3156</v>
      </c>
      <c r="H38" s="39">
        <f>F38</f>
        <v>3066</v>
      </c>
      <c r="I38" s="11" t="s">
        <v>456</v>
      </c>
    </row>
    <row r="39" ht="14.624267578125">
      <c r="A39" s="3"/>
      <c r="B39" s="3" t="s">
        <v>457</v>
      </c>
      <c r="C39" s="27">
        <v>4468</v>
      </c>
      <c r="D39" s="27">
        <v>4386</v>
      </c>
      <c r="E39" s="27">
        <v>4448</v>
      </c>
      <c r="F39" s="27">
        <v>4327</v>
      </c>
      <c r="G39" s="22">
        <f>D39</f>
        <v>4386</v>
      </c>
      <c r="H39" s="39">
        <f>F39</f>
        <v>4327</v>
      </c>
      <c r="I39" s="11" t="s">
        <v>427</v>
      </c>
    </row>
    <row r="40">
      <c r="A40" s="3"/>
      <c r="B40" s="3" t="s">
        <v>458</v>
      </c>
      <c r="C40" s="27">
        <v>2961</v>
      </c>
      <c r="D40" s="27">
        <v>3444</v>
      </c>
      <c r="E40" s="27">
        <v>3496</v>
      </c>
      <c r="F40" s="27">
        <v>3916</v>
      </c>
      <c r="G40" s="22">
        <f>D40</f>
        <v>3444</v>
      </c>
      <c r="H40" s="39">
        <f>F40</f>
        <v>3916</v>
      </c>
      <c r="I40" s="11" t="s">
        <v>427</v>
      </c>
    </row>
    <row r="41">
      <c r="A41" s="3"/>
      <c r="B41" s="3" t="s">
        <v>459</v>
      </c>
      <c r="C41" s="27">
        <v>3943</v>
      </c>
      <c r="D41" s="27">
        <v>3994</v>
      </c>
      <c r="E41" s="27">
        <v>3923</v>
      </c>
      <c r="F41" s="27">
        <v>3920</v>
      </c>
      <c r="G41" s="22">
        <f>D41</f>
        <v>3994</v>
      </c>
      <c r="H41" s="39">
        <f>F41</f>
        <v>3920</v>
      </c>
      <c r="I41" s="11" t="s">
        <v>427</v>
      </c>
    </row>
    <row r="42">
      <c r="A42" s="3"/>
      <c r="B42" s="15" t="s">
        <v>460</v>
      </c>
      <c r="C42" s="26">
        <f>SUM(C36:C41)</f>
        <v>32552</v>
      </c>
      <c r="D42" s="26">
        <f>SUM(D36:D41)</f>
        <v>32840</v>
      </c>
      <c r="E42" s="26">
        <f>SUM(E36:E41)</f>
        <v>31356</v>
      </c>
      <c r="F42" s="26">
        <f>SUM(F36:F41)</f>
        <v>30902</v>
      </c>
      <c r="G42" s="26">
        <f>SUM(G36:G41)</f>
        <v>32840</v>
      </c>
      <c r="H42" s="40">
        <f>SUM(H36:H41)</f>
        <v>30402</v>
      </c>
      <c r="I42" s="3"/>
    </row>
    <row r="43">
      <c r="A43" s="3"/>
      <c r="B43" s="15" t="s">
        <v>461</v>
      </c>
      <c r="C43" s="26">
        <f>C35+C42</f>
        <v>60801</v>
      </c>
      <c r="D43" s="26">
        <f>D35+D42</f>
        <v>60464</v>
      </c>
      <c r="E43" s="26">
        <f>E35+E42</f>
        <v>64055</v>
      </c>
      <c r="F43" s="26">
        <f>F35+F42</f>
        <v>64506</v>
      </c>
      <c r="G43" s="26">
        <f>G35+G42</f>
        <v>60464</v>
      </c>
      <c r="H43" s="40">
        <f>H35+H42</f>
        <v>63975.32898287755</v>
      </c>
      <c r="I43" s="3"/>
    </row>
    <row r="44">
      <c r="A44" s="3"/>
      <c r="B44" s="3" t="s">
        <v>462</v>
      </c>
      <c r="C44" s="27">
        <v>18822</v>
      </c>
      <c r="D44" s="27">
        <v>20853</v>
      </c>
      <c r="E44" s="27">
        <v>20376</v>
      </c>
      <c r="F44" s="27">
        <v>21815</v>
      </c>
      <c r="G44" s="22">
        <f>D44</f>
        <v>20853</v>
      </c>
      <c r="H44" s="47">
        <f>F44+'Income Statement'!H101+'Cash Flow Statement'!H42+'Cash Flow Statement'!H43</f>
        <v>22755.543237793565</v>
      </c>
      <c r="I44" s="11" t="s">
        <v>427</v>
      </c>
    </row>
    <row r="45" ht="14.624267578125">
      <c r="A45" s="3"/>
      <c r="B45" s="15" t="s">
        <v>463</v>
      </c>
      <c r="C45" s="26">
        <f>C43+C44</f>
        <v>79623</v>
      </c>
      <c r="D45" s="26">
        <f>D43+D44</f>
        <v>81317</v>
      </c>
      <c r="E45" s="26">
        <f>E43+E44</f>
        <v>84431</v>
      </c>
      <c r="F45" s="26">
        <f>F43+F44</f>
        <v>86321</v>
      </c>
      <c r="G45" s="26">
        <f>G43+G44</f>
        <v>81317</v>
      </c>
      <c r="H45" s="40">
        <f>H43+H44</f>
        <v>86730.87222067112</v>
      </c>
      <c r="I45" s="3"/>
    </row>
    <row r="46">
      <c r="A46" s="3"/>
      <c r="B46" s="6" t="s">
        <v>464</v>
      </c>
      <c r="C46" s="25">
        <f>C23-C43-C44</f>
        <v>0</v>
      </c>
      <c r="D46" s="25">
        <f>D23-D43-D44</f>
        <v>0</v>
      </c>
      <c r="E46" s="25">
        <f>E23-E43-E44</f>
        <v>0</v>
      </c>
      <c r="F46" s="25">
        <f>F23-F43-F44</f>
        <v>0</v>
      </c>
      <c r="G46" s="25">
        <f>G23-G43-G44</f>
        <v>0</v>
      </c>
      <c r="H46" s="43">
        <f>H23-H43-H44</f>
        <v>0</v>
      </c>
      <c r="I46" s="3"/>
    </row>
    <row r="47">
      <c r="A47" s="3"/>
      <c r="B47" s="6" t="s">
        <v>465</v>
      </c>
      <c r="C47" s="28" t="b">
        <f>ABS(C23-C24)&lt;0.5</f>
        <v>1</v>
      </c>
      <c r="D47" s="28" t="b">
        <f>ABS(D23-D24)&lt;0.5</f>
        <v>1</v>
      </c>
      <c r="E47" s="28" t="b">
        <f>ABS(E23-E24)&lt;0.5</f>
        <v>1</v>
      </c>
      <c r="F47" s="28" t="b">
        <f>ABS(F23-F24)&lt;0.5</f>
        <v>1</v>
      </c>
      <c r="G47" s="28" t="b">
        <f>ABS(G23-G24)&lt;0.5</f>
        <v>1</v>
      </c>
      <c r="H47" s="31" t="s">
        <v>38</v>
      </c>
      <c r="I47" s="3"/>
    </row>
    <row r="48">
      <c r="A48" s="3"/>
      <c r="B48" s="3"/>
      <c r="C48" s="22"/>
      <c r="D48" s="22"/>
      <c r="E48" s="22"/>
      <c r="F48" s="22"/>
      <c r="G48" s="22"/>
      <c r="H48" s="39"/>
      <c r="I48" s="3"/>
    </row>
    <row r="49">
      <c r="A49" s="3"/>
      <c r="B49" s="15" t="s">
        <v>466</v>
      </c>
      <c r="C49" s="22"/>
      <c r="D49" s="22"/>
      <c r="E49" s="22"/>
      <c r="F49" s="22"/>
      <c r="G49" s="22"/>
      <c r="H49" s="39"/>
      <c r="I49" s="3"/>
    </row>
    <row r="50" ht="14.624267578125">
      <c r="A50" s="3"/>
      <c r="B50" s="3" t="s">
        <v>467</v>
      </c>
      <c r="C50" s="27">
        <v>97</v>
      </c>
      <c r="D50" s="27">
        <v>135</v>
      </c>
      <c r="E50" s="27">
        <v>144</v>
      </c>
      <c r="F50" s="27">
        <v>86</v>
      </c>
      <c r="G50" s="22">
        <f>D50</f>
        <v>135</v>
      </c>
      <c r="H50" s="39">
        <f>F50</f>
        <v>86</v>
      </c>
      <c r="I50" s="11" t="s">
        <v>468</v>
      </c>
    </row>
    <row r="51" ht="14.624267578125">
      <c r="A51" s="3"/>
      <c r="B51" s="3" t="s">
        <v>469</v>
      </c>
      <c r="C51" s="27">
        <v>83</v>
      </c>
      <c r="D51" s="27">
        <v>56</v>
      </c>
      <c r="E51" s="27">
        <v>38</v>
      </c>
      <c r="F51" s="27">
        <v>22</v>
      </c>
      <c r="G51" s="22">
        <f>D51</f>
        <v>56</v>
      </c>
      <c r="H51" s="39">
        <f>F51</f>
        <v>22</v>
      </c>
      <c r="I51" s="11" t="s">
        <v>103</v>
      </c>
    </row>
    <row r="52" ht="14.624267578125">
      <c r="A52" s="3"/>
      <c r="B52" s="15" t="s">
        <v>470</v>
      </c>
      <c r="C52" s="26">
        <f>C11+C50+C51</f>
        <v>3971</v>
      </c>
      <c r="D52" s="26">
        <f>D11+D50+D51</f>
        <v>4501</v>
      </c>
      <c r="E52" s="26">
        <f>E11+E50+E51</f>
        <v>5235</v>
      </c>
      <c r="F52" s="26">
        <f>F11+F50+F51</f>
        <v>4773</v>
      </c>
      <c r="G52" s="26">
        <f>G11+G50+G51</f>
        <v>4501</v>
      </c>
      <c r="H52" s="40">
        <f>H11+H50+H51</f>
        <v>4518.010220671123</v>
      </c>
      <c r="I52" s="3"/>
    </row>
    <row r="53">
      <c r="A53" s="3"/>
      <c r="B53" s="3"/>
      <c r="C53" s="22"/>
      <c r="D53" s="22"/>
      <c r="E53" s="22"/>
      <c r="F53" s="22"/>
      <c r="G53" s="22"/>
      <c r="H53" s="39"/>
      <c r="I53" s="3"/>
    </row>
    <row r="54">
      <c r="A54" s="3"/>
      <c r="B54" s="15" t="s">
        <v>471</v>
      </c>
      <c r="C54" s="22"/>
      <c r="D54" s="22"/>
      <c r="E54" s="22"/>
      <c r="F54" s="22"/>
      <c r="G54" s="22"/>
      <c r="H54" s="39"/>
      <c r="I54" s="3"/>
    </row>
    <row r="55">
      <c r="A55" s="3"/>
      <c r="B55" s="3" t="s">
        <v>472</v>
      </c>
      <c r="C55" s="22">
        <f>C27+C36-C11</f>
        <v>11088</v>
      </c>
      <c r="D55" s="22">
        <f>D27+D36-D11</f>
        <v>9802</v>
      </c>
      <c r="E55" s="22">
        <f>E27+E36-E11</f>
        <v>9111</v>
      </c>
      <c r="F55" s="22">
        <f>F27+F36-F11</f>
        <v>9287</v>
      </c>
      <c r="G55" s="22">
        <f>G27+G36-G11</f>
        <v>9802</v>
      </c>
      <c r="H55" s="39">
        <f>H27+H36-H11</f>
        <v>9041.989779328876</v>
      </c>
      <c r="I55" s="11" t="s">
        <v>473</v>
      </c>
    </row>
    <row r="56" ht="14.624267578125">
      <c r="A56" s="3"/>
      <c r="B56" s="3" t="s">
        <v>474</v>
      </c>
      <c r="C56" s="58">
        <f>C29/'Income Statement'!C11</f>
        <v>0.6045461276469717</v>
      </c>
      <c r="D56" s="58">
        <f>D29/'Income Statement'!D11</f>
        <v>0.5541189222669557</v>
      </c>
      <c r="E56" s="58">
        <f>E29/'Income Statement'!E11</f>
        <v>0.8731913509998375</v>
      </c>
      <c r="F56" s="58">
        <f>F29/'Income Statement'!F11</f>
        <v>0.642019606586788</v>
      </c>
      <c r="G56" s="55" t="s">
        <v>38</v>
      </c>
      <c r="H56" s="74">
        <f>H29/'Income Statement'!H11</f>
        <v>0.593564832162578</v>
      </c>
      <c r="I56" s="3"/>
    </row>
    <row r="57">
      <c r="A57" s="3"/>
      <c r="B57" s="3" t="s">
        <v>475</v>
      </c>
      <c r="C57" s="55">
        <f>(C27+C36)/C44</f>
        <v>0.7905111040272023</v>
      </c>
      <c r="D57" s="55">
        <f>(D27+D36)/D44</f>
        <v>0.676737160120846</v>
      </c>
      <c r="E57" s="55">
        <f>(E27+E36)/E44</f>
        <v>0.6951315272870043</v>
      </c>
      <c r="F57" s="55">
        <f>(F27+F36)/F44</f>
        <v>0.6395599358239743</v>
      </c>
      <c r="G57" s="55">
        <f>(G27+G36)/G44</f>
        <v>0.676737160120846</v>
      </c>
      <c r="H57" s="77">
        <f>(H27+H36)/H44</f>
        <v>0.5911526637456069</v>
      </c>
      <c r="I57" s="3"/>
    </row>
    <row r="58">
      <c r="A58" s="3"/>
      <c r="B58" s="3"/>
      <c r="C58" s="3"/>
      <c r="D58" s="3"/>
      <c r="E58" s="3"/>
      <c r="F58" s="3"/>
      <c r="G58" s="3"/>
      <c r="H58" s="3"/>
      <c r="I58" s="3"/>
    </row>
    <row r="59">
      <c r="A59" s="3"/>
      <c r="B59" s="3"/>
      <c r="C59" s="3"/>
      <c r="D59" s="3"/>
      <c r="E59" s="3"/>
      <c r="F59" s="3"/>
      <c r="G59" s="3"/>
      <c r="H59" s="3"/>
      <c r="I59" s="3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5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476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477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362</v>
      </c>
      <c r="C11" s="23">
        <f>'Income Statement'!C101</f>
        <v>1417</v>
      </c>
      <c r="D11" s="23">
        <f>'Income Statement'!D101</f>
        <v>1219</v>
      </c>
      <c r="E11" s="23">
        <f>'Income Statement'!E101</f>
        <v>-289</v>
      </c>
      <c r="F11" s="23">
        <f>'Income Statement'!F101</f>
        <v>1604</v>
      </c>
      <c r="G11" s="23">
        <f>'Income Statement'!G101</f>
        <v>5005</v>
      </c>
      <c r="H11" s="47">
        <f>'Income Statement'!H101</f>
        <v>1081.368237793567</v>
      </c>
      <c r="I11" s="3"/>
    </row>
    <row r="12">
      <c r="A12" s="3"/>
      <c r="B12" s="3" t="s">
        <v>223</v>
      </c>
      <c r="C12" s="23">
        <f>'Income Statement'!C47</f>
        <v>614</v>
      </c>
      <c r="D12" s="23">
        <f>'Income Statement'!D47</f>
        <v>620</v>
      </c>
      <c r="E12" s="23">
        <f>'Income Statement'!E47</f>
        <v>635</v>
      </c>
      <c r="F12" s="23">
        <f>'Income Statement'!F47</f>
        <v>656</v>
      </c>
      <c r="G12" s="23">
        <f>'Income Statement'!G47</f>
        <v>2443</v>
      </c>
      <c r="H12" s="47">
        <f>'Income Statement'!H47</f>
        <v>655.1379999999999</v>
      </c>
      <c r="I12" s="3"/>
    </row>
    <row r="13">
      <c r="A13" s="3"/>
      <c r="B13" s="3" t="s">
        <v>478</v>
      </c>
      <c r="C13" s="27">
        <v>-307</v>
      </c>
      <c r="D13" s="27">
        <v>-216</v>
      </c>
      <c r="E13" s="27">
        <v>555</v>
      </c>
      <c r="F13" s="27">
        <v>-337</v>
      </c>
      <c r="G13" s="27">
        <v>-1209</v>
      </c>
      <c r="H13" s="47">
        <f>-'Income Statement'!H82</f>
        <v>0</v>
      </c>
      <c r="I13" s="11" t="s">
        <v>479</v>
      </c>
    </row>
    <row r="14">
      <c r="A14" s="3"/>
      <c r="B14" s="3" t="s">
        <v>480</v>
      </c>
      <c r="C14" s="27" t="s">
        <v>38</v>
      </c>
      <c r="D14" s="27">
        <v>810</v>
      </c>
      <c r="E14" s="27">
        <v>-1254</v>
      </c>
      <c r="F14" s="27" t="s">
        <v>38</v>
      </c>
      <c r="G14" s="27">
        <v>432</v>
      </c>
      <c r="H14" s="30">
        <v>0</v>
      </c>
      <c r="I14" s="11" t="s">
        <v>481</v>
      </c>
    </row>
    <row r="15">
      <c r="A15" s="3"/>
      <c r="B15" s="3" t="s">
        <v>482</v>
      </c>
      <c r="C15" s="27">
        <v>-728</v>
      </c>
      <c r="D15" s="27">
        <v>-1008</v>
      </c>
      <c r="E15" s="27">
        <v>3584</v>
      </c>
      <c r="F15" s="27">
        <v>-721</v>
      </c>
      <c r="G15" s="27">
        <v>63</v>
      </c>
      <c r="H15" s="30">
        <v>-700</v>
      </c>
      <c r="I15" s="11" t="s">
        <v>483</v>
      </c>
    </row>
    <row r="16">
      <c r="A16" s="3"/>
      <c r="B16" s="3" t="s">
        <v>484</v>
      </c>
      <c r="C16" s="27">
        <v>392</v>
      </c>
      <c r="D16" s="27">
        <v>351</v>
      </c>
      <c r="E16" s="27">
        <v>-1166</v>
      </c>
      <c r="F16" s="27">
        <v>325</v>
      </c>
      <c r="G16" s="27">
        <v>-53</v>
      </c>
      <c r="H16" s="47">
        <f>'Income Statement'!H56</f>
        <v>369.32898287755546</v>
      </c>
      <c r="I16" s="11" t="s">
        <v>485</v>
      </c>
    </row>
    <row r="17">
      <c r="A17" s="3"/>
      <c r="B17" s="3" t="s">
        <v>486</v>
      </c>
      <c r="C17" s="27">
        <v>459</v>
      </c>
      <c r="D17" s="27">
        <v>484</v>
      </c>
      <c r="E17" s="27">
        <v>367</v>
      </c>
      <c r="F17" s="27">
        <v>69</v>
      </c>
      <c r="G17" s="22">
        <f>SUM(G18:G23)</f>
        <v>1661</v>
      </c>
      <c r="H17" s="30">
        <v>300</v>
      </c>
      <c r="I17" s="11" t="s">
        <v>487</v>
      </c>
    </row>
    <row r="18" ht="14.624267578125">
      <c r="A18" s="3"/>
      <c r="B18" s="6" t="s">
        <v>488</v>
      </c>
      <c r="C18" s="25"/>
      <c r="D18" s="25"/>
      <c r="E18" s="25"/>
      <c r="F18" s="25"/>
      <c r="G18" s="36">
        <v>1109</v>
      </c>
      <c r="H18" s="43"/>
      <c r="I18" s="11" t="s">
        <v>489</v>
      </c>
    </row>
    <row r="19">
      <c r="A19" s="3"/>
      <c r="B19" s="6" t="s">
        <v>490</v>
      </c>
      <c r="C19" s="25"/>
      <c r="D19" s="25"/>
      <c r="E19" s="25"/>
      <c r="F19" s="25"/>
      <c r="G19" s="36">
        <v>-210</v>
      </c>
      <c r="H19" s="43"/>
      <c r="I19" s="11" t="s">
        <v>489</v>
      </c>
    </row>
    <row r="20">
      <c r="A20" s="3"/>
      <c r="B20" s="6" t="s">
        <v>491</v>
      </c>
      <c r="C20" s="25"/>
      <c r="D20" s="25"/>
      <c r="E20" s="25"/>
      <c r="F20" s="25"/>
      <c r="G20" s="36">
        <v>-183</v>
      </c>
      <c r="H20" s="43"/>
      <c r="I20" s="11" t="s">
        <v>489</v>
      </c>
    </row>
    <row r="21">
      <c r="A21" s="3"/>
      <c r="B21" s="6" t="s">
        <v>492</v>
      </c>
      <c r="C21" s="25"/>
      <c r="D21" s="25"/>
      <c r="E21" s="25"/>
      <c r="F21" s="25"/>
      <c r="G21" s="36">
        <v>842</v>
      </c>
      <c r="H21" s="43"/>
      <c r="I21" s="11" t="s">
        <v>493</v>
      </c>
    </row>
    <row r="22">
      <c r="A22" s="3"/>
      <c r="B22" s="6" t="s">
        <v>494</v>
      </c>
      <c r="C22" s="25"/>
      <c r="D22" s="25"/>
      <c r="E22" s="25"/>
      <c r="F22" s="25"/>
      <c r="G22" s="36">
        <v>-332</v>
      </c>
      <c r="H22" s="43"/>
      <c r="I22" s="11" t="s">
        <v>489</v>
      </c>
    </row>
    <row r="23" ht="14.624267578125">
      <c r="A23" s="3"/>
      <c r="B23" s="6" t="s">
        <v>495</v>
      </c>
      <c r="C23" s="25"/>
      <c r="D23" s="25"/>
      <c r="E23" s="25"/>
      <c r="F23" s="25"/>
      <c r="G23" s="36">
        <v>435</v>
      </c>
      <c r="H23" s="43"/>
      <c r="I23" s="11" t="s">
        <v>489</v>
      </c>
    </row>
    <row r="24" ht="14.624267578125">
      <c r="A24" s="3"/>
      <c r="B24" s="15" t="s">
        <v>496</v>
      </c>
      <c r="C24" s="26">
        <f>SUM(C11:C17)</f>
        <v>1847</v>
      </c>
      <c r="D24" s="26">
        <f>SUM(D11:D17)</f>
        <v>2260</v>
      </c>
      <c r="E24" s="26">
        <f>SUM(E11:E17)</f>
        <v>2432</v>
      </c>
      <c r="F24" s="26">
        <f>SUM(F11:F17)</f>
        <v>1596</v>
      </c>
      <c r="G24" s="26">
        <f>SUM(G11:G17)</f>
        <v>8342</v>
      </c>
      <c r="H24" s="40">
        <f>SUM(H11:H17)</f>
        <v>1705.8352206711224</v>
      </c>
      <c r="I24" s="11" t="s">
        <v>497</v>
      </c>
    </row>
    <row r="25">
      <c r="A25" s="3"/>
      <c r="B25" s="6" t="s">
        <v>498</v>
      </c>
      <c r="C25" s="36">
        <v>1847</v>
      </c>
      <c r="D25" s="36">
        <v>2260</v>
      </c>
      <c r="E25" s="36">
        <v>2432</v>
      </c>
      <c r="F25" s="36">
        <v>1596</v>
      </c>
      <c r="G25" s="36">
        <v>8342</v>
      </c>
      <c r="H25" s="43" t="s">
        <v>38</v>
      </c>
      <c r="I25" s="11" t="s">
        <v>479</v>
      </c>
    </row>
    <row r="26">
      <c r="A26" s="3"/>
      <c r="B26" s="6" t="s">
        <v>499</v>
      </c>
      <c r="C26" s="28" t="b">
        <f>ABS(C24-C25)&lt;0.5</f>
        <v>1</v>
      </c>
      <c r="D26" s="28" t="b">
        <f>ABS(D24-D25)&lt;0.5</f>
        <v>1</v>
      </c>
      <c r="E26" s="28" t="b">
        <f>ABS(E24-E25)&lt;0.5</f>
        <v>1</v>
      </c>
      <c r="F26" s="28" t="b">
        <f>ABS(F24-F25)&lt;0.5</f>
        <v>1</v>
      </c>
      <c r="G26" s="28" t="b">
        <f>ABS(G24-G25)&lt;0.5</f>
        <v>1</v>
      </c>
      <c r="H26" s="31" t="s">
        <v>38</v>
      </c>
      <c r="I26" s="3"/>
    </row>
    <row r="27">
      <c r="A27" s="3"/>
      <c r="B27" s="3"/>
      <c r="C27" s="22"/>
      <c r="D27" s="22"/>
      <c r="E27" s="22"/>
      <c r="F27" s="22"/>
      <c r="G27" s="22"/>
      <c r="H27" s="39"/>
      <c r="I27" s="3"/>
    </row>
    <row r="28">
      <c r="A28" s="3"/>
      <c r="B28" s="15" t="s">
        <v>500</v>
      </c>
      <c r="C28" s="22"/>
      <c r="D28" s="22"/>
      <c r="E28" s="22"/>
      <c r="F28" s="22"/>
      <c r="G28" s="22"/>
      <c r="H28" s="39"/>
      <c r="I28" s="3"/>
    </row>
    <row r="29" ht="14.624267578125">
      <c r="A29" s="3"/>
      <c r="B29" s="3" t="s">
        <v>501</v>
      </c>
      <c r="C29" s="27">
        <v>-930</v>
      </c>
      <c r="D29" s="27">
        <v>-609</v>
      </c>
      <c r="E29" s="27">
        <v>-1000</v>
      </c>
      <c r="F29" s="27">
        <v>-1244</v>
      </c>
      <c r="G29" s="27">
        <v>-3521</v>
      </c>
      <c r="H29" s="30">
        <v>-1100</v>
      </c>
      <c r="I29" s="11" t="s">
        <v>502</v>
      </c>
    </row>
    <row r="30">
      <c r="A30" s="3"/>
      <c r="B30" s="3" t="s">
        <v>503</v>
      </c>
      <c r="C30" s="27">
        <v>-230</v>
      </c>
      <c r="D30" s="27">
        <v>-299</v>
      </c>
      <c r="E30" s="27">
        <v>-200</v>
      </c>
      <c r="F30" s="27">
        <v>-214</v>
      </c>
      <c r="G30" s="27">
        <v>-978</v>
      </c>
      <c r="H30" s="30">
        <v>-220</v>
      </c>
      <c r="I30" s="11" t="s">
        <v>504</v>
      </c>
    </row>
    <row r="31">
      <c r="A31" s="3"/>
      <c r="B31" s="3" t="s">
        <v>505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30">
        <v>0</v>
      </c>
      <c r="I31" s="11" t="s">
        <v>506</v>
      </c>
    </row>
    <row r="32" ht="14.624267578125">
      <c r="A32" s="3"/>
      <c r="B32" s="3" t="s">
        <v>507</v>
      </c>
      <c r="C32" s="27">
        <v>0</v>
      </c>
      <c r="D32" s="27">
        <v>-276</v>
      </c>
      <c r="E32" s="27">
        <v>-54</v>
      </c>
      <c r="F32" s="27">
        <v>-51</v>
      </c>
      <c r="G32" s="27">
        <v>-276</v>
      </c>
      <c r="H32" s="30">
        <v>0</v>
      </c>
      <c r="I32" s="11" t="s">
        <v>508</v>
      </c>
    </row>
    <row r="33">
      <c r="A33" s="3"/>
      <c r="B33" s="3" t="s">
        <v>509</v>
      </c>
      <c r="C33" s="27">
        <v>125</v>
      </c>
      <c r="D33" s="27">
        <v>456</v>
      </c>
      <c r="E33" s="27">
        <v>-9</v>
      </c>
      <c r="F33" s="27">
        <v>-3</v>
      </c>
      <c r="G33" s="27">
        <v>589</v>
      </c>
      <c r="H33" s="30">
        <v>0</v>
      </c>
      <c r="I33" s="11" t="s">
        <v>479</v>
      </c>
    </row>
    <row r="34">
      <c r="A34" s="3"/>
      <c r="B34" s="15" t="s">
        <v>510</v>
      </c>
      <c r="C34" s="26">
        <f>SUM(C29:C33)</f>
        <v>-1035</v>
      </c>
      <c r="D34" s="26">
        <f>SUM(D29:D33)</f>
        <v>-728</v>
      </c>
      <c r="E34" s="26">
        <f>SUM(E29:E33)</f>
        <v>-1263</v>
      </c>
      <c r="F34" s="26">
        <f>SUM(F29:F33)</f>
        <v>-1512</v>
      </c>
      <c r="G34" s="26">
        <f>SUM(G29:G33)</f>
        <v>-4186</v>
      </c>
      <c r="H34" s="40">
        <f>SUM(H29:H33)</f>
        <v>-1320</v>
      </c>
      <c r="I34" s="3"/>
    </row>
    <row r="35" ht="14.624267578125">
      <c r="A35" s="3"/>
      <c r="B35" s="6" t="s">
        <v>511</v>
      </c>
      <c r="C35" s="25">
        <f>-(C29+C30)</f>
        <v>1160</v>
      </c>
      <c r="D35" s="25">
        <f>-(D29+D30)</f>
        <v>908</v>
      </c>
      <c r="E35" s="25">
        <f>-(E29+E30)</f>
        <v>1200</v>
      </c>
      <c r="F35" s="25">
        <f>-(F29+F30)</f>
        <v>1458</v>
      </c>
      <c r="G35" s="25">
        <f>-(G29+G30)</f>
        <v>4499</v>
      </c>
      <c r="H35" s="43">
        <f>-(H29+H30)</f>
        <v>1320</v>
      </c>
      <c r="I35" s="3"/>
    </row>
    <row r="36">
      <c r="A36" s="3"/>
      <c r="B36" s="6" t="s">
        <v>512</v>
      </c>
      <c r="C36" s="25">
        <f>C24-C35</f>
        <v>687</v>
      </c>
      <c r="D36" s="25">
        <f>D24-D35</f>
        <v>1352</v>
      </c>
      <c r="E36" s="25">
        <f>E24-E35</f>
        <v>1232</v>
      </c>
      <c r="F36" s="25">
        <f>F24-F35</f>
        <v>138</v>
      </c>
      <c r="G36" s="25">
        <f>G24-G35</f>
        <v>3843</v>
      </c>
      <c r="H36" s="43">
        <f>H24-H35</f>
        <v>385.83522067112244</v>
      </c>
      <c r="I36" s="3"/>
    </row>
    <row r="37">
      <c r="A37" s="3"/>
      <c r="B37" s="3"/>
      <c r="C37" s="22"/>
      <c r="D37" s="22"/>
      <c r="E37" s="22"/>
      <c r="F37" s="22"/>
      <c r="G37" s="22"/>
      <c r="H37" s="39"/>
      <c r="I37" s="3"/>
    </row>
    <row r="38">
      <c r="A38" s="3"/>
      <c r="B38" s="15" t="s">
        <v>513</v>
      </c>
      <c r="C38" s="22"/>
      <c r="D38" s="22"/>
      <c r="E38" s="22"/>
      <c r="F38" s="22"/>
      <c r="G38" s="22"/>
      <c r="H38" s="39"/>
      <c r="I38" s="3"/>
    </row>
    <row r="39">
      <c r="A39" s="3"/>
      <c r="B39" s="3" t="s">
        <v>514</v>
      </c>
      <c r="C39" s="27">
        <v>0</v>
      </c>
      <c r="D39" s="27">
        <v>0</v>
      </c>
      <c r="E39" s="27">
        <v>1250</v>
      </c>
      <c r="F39" s="27">
        <v>0</v>
      </c>
      <c r="G39" s="27">
        <v>0</v>
      </c>
      <c r="H39" s="30">
        <v>0</v>
      </c>
      <c r="I39" s="11" t="s">
        <v>381</v>
      </c>
    </row>
    <row r="40">
      <c r="A40" s="3"/>
      <c r="B40" s="3" t="s">
        <v>515</v>
      </c>
      <c r="C40" s="27">
        <v>217</v>
      </c>
      <c r="D40" s="27">
        <v>0</v>
      </c>
      <c r="E40" s="27">
        <v>0</v>
      </c>
      <c r="F40" s="27">
        <v>103</v>
      </c>
      <c r="G40" s="27">
        <v>2215</v>
      </c>
      <c r="H40" s="30">
        <v>0</v>
      </c>
      <c r="I40" s="11" t="s">
        <v>516</v>
      </c>
    </row>
    <row r="41" ht="14.624267578125">
      <c r="A41" s="3"/>
      <c r="B41" s="3" t="s">
        <v>517</v>
      </c>
      <c r="C41" s="27">
        <v>-459</v>
      </c>
      <c r="D41" s="27">
        <v>-895</v>
      </c>
      <c r="E41" s="27">
        <v>-1564</v>
      </c>
      <c r="F41" s="27">
        <v>-536</v>
      </c>
      <c r="G41" s="27">
        <v>-4827</v>
      </c>
      <c r="H41" s="30">
        <v>-500</v>
      </c>
      <c r="I41" s="11" t="s">
        <v>479</v>
      </c>
    </row>
    <row r="42">
      <c r="A42" s="3"/>
      <c r="B42" s="3" t="s">
        <v>518</v>
      </c>
      <c r="C42" s="27">
        <v>-122</v>
      </c>
      <c r="D42" s="27">
        <v>-122</v>
      </c>
      <c r="E42" s="27">
        <v>-129</v>
      </c>
      <c r="F42" s="27">
        <v>-123</v>
      </c>
      <c r="G42" s="27">
        <v>-440</v>
      </c>
      <c r="H42" s="47">
        <f>-'Share Count'!H27*'Share Count'!H11</f>
        <v>-140.825</v>
      </c>
      <c r="I42" s="11" t="s">
        <v>479</v>
      </c>
    </row>
    <row r="43">
      <c r="A43" s="3"/>
      <c r="B43" s="3" t="s">
        <v>519</v>
      </c>
      <c r="C43" s="27">
        <v>-6</v>
      </c>
      <c r="D43" s="27">
        <v>16</v>
      </c>
      <c r="E43" s="27">
        <v>8</v>
      </c>
      <c r="F43" s="27">
        <v>10</v>
      </c>
      <c r="G43" s="27">
        <v>-24</v>
      </c>
      <c r="H43" s="30">
        <v>0</v>
      </c>
      <c r="I43" s="11" t="s">
        <v>479</v>
      </c>
    </row>
    <row r="44">
      <c r="A44" s="3"/>
      <c r="B44" s="15" t="s">
        <v>520</v>
      </c>
      <c r="C44" s="26">
        <f>SUM(C39:C43)</f>
        <v>-370</v>
      </c>
      <c r="D44" s="26">
        <f>SUM(D39:D43)</f>
        <v>-1001</v>
      </c>
      <c r="E44" s="26">
        <f>SUM(E39:E43)</f>
        <v>-435</v>
      </c>
      <c r="F44" s="26">
        <f>SUM(F39:F43)</f>
        <v>-546</v>
      </c>
      <c r="G44" s="26">
        <f>SUM(G39:G43)</f>
        <v>-3076</v>
      </c>
      <c r="H44" s="40">
        <f>SUM(H39:H43)</f>
        <v>-640.825</v>
      </c>
      <c r="I44" s="3"/>
    </row>
    <row r="45">
      <c r="A45" s="3"/>
      <c r="B45" s="3"/>
      <c r="C45" s="22"/>
      <c r="D45" s="22"/>
      <c r="E45" s="22"/>
      <c r="F45" s="22"/>
      <c r="G45" s="22"/>
      <c r="H45" s="39"/>
      <c r="I45" s="3"/>
    </row>
    <row r="46">
      <c r="A46" s="3"/>
      <c r="B46" s="15" t="s">
        <v>521</v>
      </c>
      <c r="C46" s="26">
        <f>C24+C34+C44</f>
        <v>442</v>
      </c>
      <c r="D46" s="26">
        <f>D24+D34+D44</f>
        <v>531</v>
      </c>
      <c r="E46" s="26">
        <f>E24+E34+E44</f>
        <v>734</v>
      </c>
      <c r="F46" s="26">
        <f>F24+F34+F44</f>
        <v>-462</v>
      </c>
      <c r="G46" s="26">
        <f>G24+G34+G44</f>
        <v>1080</v>
      </c>
      <c r="H46" s="40">
        <f>H24+H34+H44</f>
        <v>-254.9897793288776</v>
      </c>
      <c r="I46" s="3"/>
    </row>
    <row r="47" ht="14.624267578125">
      <c r="A47" s="3"/>
      <c r="B47" s="3" t="s">
        <v>522</v>
      </c>
      <c r="C47" s="27">
        <v>3529</v>
      </c>
      <c r="D47" s="27">
        <v>3970</v>
      </c>
      <c r="E47" s="27">
        <v>4501</v>
      </c>
      <c r="F47" s="27">
        <v>5235</v>
      </c>
      <c r="G47" s="27">
        <v>3421</v>
      </c>
      <c r="H47" s="39">
        <f>F48</f>
        <v>4773</v>
      </c>
      <c r="I47" s="11" t="s">
        <v>523</v>
      </c>
    </row>
    <row r="48">
      <c r="A48" s="3"/>
      <c r="B48" s="15" t="s">
        <v>524</v>
      </c>
      <c r="C48" s="26">
        <f>C47+C46</f>
        <v>3971</v>
      </c>
      <c r="D48" s="26">
        <f>D47+D46</f>
        <v>4501</v>
      </c>
      <c r="E48" s="26">
        <f>E47+E46</f>
        <v>5235</v>
      </c>
      <c r="F48" s="26">
        <f>F47+F46</f>
        <v>4773</v>
      </c>
      <c r="G48" s="26">
        <f>G47+G46</f>
        <v>4501</v>
      </c>
      <c r="H48" s="40">
        <f>H47+H46</f>
        <v>4518.010220671123</v>
      </c>
      <c r="I48" s="3"/>
    </row>
    <row r="49">
      <c r="A49" s="3"/>
      <c r="B49" s="6" t="s">
        <v>525</v>
      </c>
      <c r="C49" s="33">
        <f>C48-'Balance Sheet'!C52</f>
        <v>0</v>
      </c>
      <c r="D49" s="33">
        <f>D48-'Balance Sheet'!D52</f>
        <v>0</v>
      </c>
      <c r="E49" s="33">
        <f>E48-'Balance Sheet'!E52</f>
        <v>0</v>
      </c>
      <c r="F49" s="33">
        <f>F48-'Balance Sheet'!F52</f>
        <v>0</v>
      </c>
      <c r="G49" s="33">
        <f>G48-'Balance Sheet'!G52</f>
        <v>0</v>
      </c>
      <c r="H49" s="53">
        <f>H48-'Balance Sheet'!H52</f>
        <v>0</v>
      </c>
      <c r="I49" s="11" t="s">
        <v>526</v>
      </c>
    </row>
    <row r="50">
      <c r="A50" s="3"/>
      <c r="B50" s="6" t="s">
        <v>527</v>
      </c>
      <c r="C50" s="25" t="s">
        <v>38</v>
      </c>
      <c r="D50" s="33">
        <f>D46-('Balance Sheet'!D52-'Balance Sheet'!C52)</f>
        <v>1</v>
      </c>
      <c r="E50" s="33">
        <f>E46-('Balance Sheet'!E52-'Balance Sheet'!D52)</f>
        <v>0</v>
      </c>
      <c r="F50" s="33">
        <f>F46-('Balance Sheet'!F52-'Balance Sheet'!E52)</f>
        <v>0</v>
      </c>
      <c r="G50" s="25" t="s">
        <v>38</v>
      </c>
      <c r="H50" s="53">
        <f>H46-('Balance Sheet'!H52-'Balance Sheet'!F52)</f>
        <v>0</v>
      </c>
      <c r="I50" s="11" t="s">
        <v>528</v>
      </c>
    </row>
    <row r="51">
      <c r="A51" s="3"/>
      <c r="B51" s="3"/>
      <c r="C51" s="3"/>
      <c r="D51" s="3"/>
      <c r="E51" s="3"/>
      <c r="F51" s="3"/>
      <c r="G51" s="3"/>
      <c r="H51" s="3"/>
      <c r="I51" s="3"/>
    </row>
    <row r="52">
      <c r="A52" s="3"/>
      <c r="B52" s="3"/>
      <c r="C52" s="3"/>
      <c r="D52" s="3"/>
      <c r="E52" s="3"/>
      <c r="F52" s="3"/>
      <c r="G52" s="3"/>
      <c r="H52" s="3"/>
      <c r="I52" s="3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1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529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530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531</v>
      </c>
      <c r="C11" s="27">
        <v>9103</v>
      </c>
      <c r="D11" s="27">
        <v>9210</v>
      </c>
      <c r="E11" s="27">
        <v>8717</v>
      </c>
      <c r="F11" s="27">
        <v>10673</v>
      </c>
      <c r="G11" s="27">
        <v>35731</v>
      </c>
      <c r="H11" s="39">
        <f>H12*(1+H17)*(1+H18)</f>
        <v>10810.267649999998</v>
      </c>
      <c r="I11" s="11" t="s">
        <v>532</v>
      </c>
    </row>
    <row r="12">
      <c r="A12" s="3"/>
      <c r="B12" s="6" t="s">
        <v>80</v>
      </c>
      <c r="C12" s="36">
        <v>8652</v>
      </c>
      <c r="D12" s="25">
        <f>G12-D13</f>
        <v>9193</v>
      </c>
      <c r="E12" s="36">
        <v>8101</v>
      </c>
      <c r="F12" s="36">
        <v>9318</v>
      </c>
      <c r="G12" s="36">
        <v>35226</v>
      </c>
      <c r="H12" s="43">
        <f>C11</f>
        <v>9103</v>
      </c>
      <c r="I12" s="11" t="s">
        <v>270</v>
      </c>
    </row>
    <row r="13">
      <c r="A13" s="3"/>
      <c r="B13" s="6" t="s">
        <v>533</v>
      </c>
      <c r="C13" s="25"/>
      <c r="D13" s="36">
        <v>26033</v>
      </c>
      <c r="E13" s="25"/>
      <c r="F13" s="25"/>
      <c r="G13" s="25"/>
      <c r="H13" s="43"/>
      <c r="I13" s="11" t="s">
        <v>173</v>
      </c>
    </row>
    <row r="14">
      <c r="A14" s="3"/>
      <c r="B14" s="6" t="s">
        <v>81</v>
      </c>
      <c r="C14" s="12">
        <f>IFERROR(C11/C12-1,"n.a.")</f>
        <v>0.05212667591308362</v>
      </c>
      <c r="D14" s="12">
        <f>IFERROR(D11/D12-1,"n.a.")</f>
        <v>0.0018492331121504613</v>
      </c>
      <c r="E14" s="12">
        <f>IFERROR(E11/E12-1,"n.a.")</f>
        <v>0.07603999506233805</v>
      </c>
      <c r="F14" s="12">
        <f>IFERROR(F11/F12-1,"n.a.")</f>
        <v>0.14541747156042062</v>
      </c>
      <c r="G14" s="12">
        <f>IFERROR(G11/G12-1,"n.a.")</f>
        <v>0.014336001816839916</v>
      </c>
      <c r="H14" s="57">
        <f>IFERROR(H11/C11-1,"n.a.")</f>
        <v>0.18754999999999988</v>
      </c>
      <c r="I14" s="3"/>
    </row>
    <row r="15">
      <c r="A15" s="3"/>
      <c r="B15" s="6" t="s">
        <v>82</v>
      </c>
      <c r="C15" s="12">
        <f>IFERROR(C11/F12-1,"n.a.")</f>
        <v>-0.023073620948701468</v>
      </c>
      <c r="D15" s="12">
        <f>IFERROR(D11/C11-1,"n.a.")</f>
        <v>0.011754366692299234</v>
      </c>
      <c r="E15" s="12">
        <f>IFERROR(E11/D11-1,"n.a.")</f>
        <v>-0.05352877307274706</v>
      </c>
      <c r="F15" s="12">
        <f>IFERROR(F11/E11-1,"n.a.")</f>
        <v>0.2243891246988643</v>
      </c>
      <c r="G15" s="12" t="s">
        <v>38</v>
      </c>
      <c r="H15" s="57">
        <f>IFERROR(H11/F11-1,"n.a.")</f>
        <v>0.0128612058465285</v>
      </c>
      <c r="I15" s="3"/>
    </row>
    <row r="16">
      <c r="A16" s="3"/>
      <c r="B16" s="3" t="s">
        <v>95</v>
      </c>
      <c r="C16" s="22">
        <f>IFERROR(C11-F12,"n.a.")</f>
        <v>-215</v>
      </c>
      <c r="D16" s="22">
        <f>IFERROR(D11-C11,"n.a.")</f>
        <v>107</v>
      </c>
      <c r="E16" s="22">
        <f>IFERROR(E11-D11,"n.a.")</f>
        <v>-493</v>
      </c>
      <c r="F16" s="22">
        <f>IFERROR(F11-E11,"n.a.")</f>
        <v>1956</v>
      </c>
      <c r="G16" s="22" t="s">
        <v>38</v>
      </c>
      <c r="H16" s="39">
        <f>IFERROR(H11-F11,"n.a.")</f>
        <v>137.26764999999796</v>
      </c>
      <c r="I16" s="3"/>
    </row>
    <row r="17" ht="14.624267578125">
      <c r="A17" s="3"/>
      <c r="B17" s="6" t="s">
        <v>534</v>
      </c>
      <c r="C17" s="4">
        <v>0.04</v>
      </c>
      <c r="D17" s="4">
        <v>0.01</v>
      </c>
      <c r="E17" s="4">
        <v>0.01</v>
      </c>
      <c r="F17" s="4">
        <v>0.02</v>
      </c>
      <c r="G17" s="12" t="s">
        <v>38</v>
      </c>
      <c r="H17" s="63">
        <v>0.015</v>
      </c>
      <c r="I17" s="11" t="s">
        <v>535</v>
      </c>
    </row>
    <row r="18">
      <c r="A18" s="3"/>
      <c r="B18" s="6" t="s">
        <v>536</v>
      </c>
      <c r="C18" s="4">
        <v>0.02</v>
      </c>
      <c r="D18" s="4">
        <v>0</v>
      </c>
      <c r="E18" s="4">
        <v>0.06</v>
      </c>
      <c r="F18" s="4">
        <v>0.12</v>
      </c>
      <c r="G18" s="12" t="s">
        <v>38</v>
      </c>
      <c r="H18" s="63">
        <v>0.17</v>
      </c>
      <c r="I18" s="11" t="s">
        <v>537</v>
      </c>
    </row>
    <row r="19">
      <c r="A19" s="3"/>
      <c r="B19" s="6" t="s">
        <v>538</v>
      </c>
      <c r="C19" s="4">
        <v>0.04</v>
      </c>
      <c r="D19" s="4">
        <v>0.02</v>
      </c>
      <c r="E19" s="4">
        <v>0.06</v>
      </c>
      <c r="F19" s="4">
        <v>0.13</v>
      </c>
      <c r="G19" s="12" t="s">
        <v>38</v>
      </c>
      <c r="H19" s="57" t="s">
        <v>38</v>
      </c>
      <c r="I19" s="11" t="s">
        <v>539</v>
      </c>
    </row>
    <row r="20">
      <c r="A20" s="3"/>
      <c r="B20" s="6" t="s">
        <v>540</v>
      </c>
      <c r="C20" s="12">
        <f>C11/C67</f>
        <v>0.6739967421886569</v>
      </c>
      <c r="D20" s="12">
        <f>D11/D67</f>
        <v>0.7131242740998839</v>
      </c>
      <c r="E20" s="12">
        <f>E11/E67</f>
        <v>0.7085839700861648</v>
      </c>
      <c r="F20" s="12">
        <f>F11/F67</f>
        <v>0.6838598064970847</v>
      </c>
      <c r="G20" s="12">
        <f>G11/G67</f>
        <v>0.6902140318343378</v>
      </c>
      <c r="H20" s="57">
        <f>H11/H67</f>
        <v>0.6884758265348493</v>
      </c>
      <c r="I20" s="3"/>
    </row>
    <row r="21">
      <c r="A21" s="3"/>
      <c r="B21" s="6" t="s">
        <v>84</v>
      </c>
      <c r="C21" s="12" t="s">
        <v>38</v>
      </c>
      <c r="D21" s="12" t="s">
        <v>38</v>
      </c>
      <c r="E21" s="12" t="s">
        <v>38</v>
      </c>
      <c r="F21" s="12" t="s">
        <v>38</v>
      </c>
      <c r="G21" s="12" t="s">
        <v>38</v>
      </c>
      <c r="H21" s="57" t="s">
        <v>38</v>
      </c>
      <c r="I21" s="11" t="s">
        <v>85</v>
      </c>
    </row>
    <row r="22" ht="14.624267578125">
      <c r="A22" s="3"/>
      <c r="B22" s="6" t="s">
        <v>86</v>
      </c>
      <c r="C22" s="12" t="s">
        <v>38</v>
      </c>
      <c r="D22" s="12" t="s">
        <v>38</v>
      </c>
      <c r="E22" s="12" t="s">
        <v>38</v>
      </c>
      <c r="F22" s="12" t="s">
        <v>38</v>
      </c>
      <c r="G22" s="12" t="s">
        <v>38</v>
      </c>
      <c r="H22" s="57" t="s">
        <v>38</v>
      </c>
      <c r="I22" s="11" t="s">
        <v>87</v>
      </c>
    </row>
    <row r="23">
      <c r="A23" s="3"/>
      <c r="B23" s="6" t="s">
        <v>88</v>
      </c>
      <c r="C23" s="12" t="str">
        <f>IF(AND(ISNUMBER(C14),ISNUMBER(C21),ISNUMBER(C22)),(1+C14)/((1+C21)*(1+C22))-1,"n.a.")</f>
        <v>n.a.</v>
      </c>
      <c r="D23" s="12" t="str">
        <f>IF(AND(ISNUMBER(D14),ISNUMBER(D21),ISNUMBER(D22)),(1+D14)/((1+D21)*(1+D22))-1,"n.a.")</f>
        <v>n.a.</v>
      </c>
      <c r="E23" s="12" t="str">
        <f>IF(AND(ISNUMBER(E14),ISNUMBER(E21),ISNUMBER(E22)),(1+E14)/((1+E21)*(1+E22))-1,"n.a.")</f>
        <v>n.a.</v>
      </c>
      <c r="F23" s="12" t="str">
        <f>IF(AND(ISNUMBER(F14),ISNUMBER(F21),ISNUMBER(F22)),(1+F14)/((1+F21)*(1+F22))-1,"n.a.")</f>
        <v>n.a.</v>
      </c>
      <c r="G23" s="12" t="str">
        <f>IF(AND(ISNUMBER(G14),ISNUMBER(G21),ISNUMBER(G22)),(1+G14)/((1+G21)*(1+G22))-1,"n.a.")</f>
        <v>n.a.</v>
      </c>
      <c r="H23" s="57" t="str">
        <f>IF(AND(ISNUMBER(H14),ISNUMBER(H21),ISNUMBER(H22)),(1+H14)/((1+H21)*(1+H22))-1,"n.a.")</f>
        <v>n.a.</v>
      </c>
      <c r="I23" s="11" t="s">
        <v>89</v>
      </c>
    </row>
    <row r="24">
      <c r="A24" s="3"/>
      <c r="B24" s="6" t="s">
        <v>90</v>
      </c>
      <c r="C24" s="12">
        <f>C14</f>
        <v>0.05212667591308362</v>
      </c>
      <c r="D24" s="12">
        <f>D14</f>
        <v>0.0018492331121504613</v>
      </c>
      <c r="E24" s="12">
        <f>E14</f>
        <v>0.07603999506233805</v>
      </c>
      <c r="F24" s="12">
        <f>F14</f>
        <v>0.14541747156042062</v>
      </c>
      <c r="G24" s="12">
        <f>G14</f>
        <v>0.014336001816839916</v>
      </c>
      <c r="H24" s="57">
        <f>H14</f>
        <v>0.18754999999999988</v>
      </c>
      <c r="I24" s="3"/>
    </row>
    <row r="25">
      <c r="A25" s="3"/>
      <c r="B25" s="3" t="s">
        <v>541</v>
      </c>
      <c r="C25" s="27">
        <v>2977</v>
      </c>
      <c r="D25" s="27">
        <v>2048</v>
      </c>
      <c r="E25" s="27">
        <v>1517</v>
      </c>
      <c r="F25" s="27">
        <v>3112</v>
      </c>
      <c r="G25" s="27">
        <v>9270</v>
      </c>
      <c r="H25" s="39">
        <f>H26*(1+H31)*(1+H32)</f>
        <v>3306.0329249999995</v>
      </c>
      <c r="I25" s="11" t="s">
        <v>532</v>
      </c>
    </row>
    <row r="26">
      <c r="A26" s="3"/>
      <c r="B26" s="6" t="s">
        <v>80</v>
      </c>
      <c r="C26" s="36">
        <v>3029</v>
      </c>
      <c r="D26" s="25">
        <f>G26-D27</f>
        <v>1974</v>
      </c>
      <c r="E26" s="36">
        <v>1372</v>
      </c>
      <c r="F26" s="36">
        <v>2872</v>
      </c>
      <c r="G26" s="36">
        <v>9133</v>
      </c>
      <c r="H26" s="43">
        <f>C25</f>
        <v>2977</v>
      </c>
      <c r="I26" s="11" t="s">
        <v>270</v>
      </c>
    </row>
    <row r="27">
      <c r="A27" s="3"/>
      <c r="B27" s="6" t="s">
        <v>542</v>
      </c>
      <c r="C27" s="25"/>
      <c r="D27" s="36">
        <v>7159</v>
      </c>
      <c r="E27" s="25"/>
      <c r="F27" s="25"/>
      <c r="G27" s="25"/>
      <c r="H27" s="43"/>
      <c r="I27" s="11" t="s">
        <v>173</v>
      </c>
    </row>
    <row r="28">
      <c r="A28" s="3"/>
      <c r="B28" s="6" t="s">
        <v>81</v>
      </c>
      <c r="C28" s="12">
        <f>IFERROR(C25/C26-1,"n.a.")</f>
        <v>-0.01716738197424894</v>
      </c>
      <c r="D28" s="12">
        <f>IFERROR(D25/D26-1,"n.a.")</f>
        <v>0.037487335359675855</v>
      </c>
      <c r="E28" s="12">
        <f>IFERROR(E25/E26-1,"n.a.")</f>
        <v>0.10568513119533529</v>
      </c>
      <c r="F28" s="12">
        <f>IFERROR(F25/F26-1,"n.a.")</f>
        <v>0.08356545961002793</v>
      </c>
      <c r="G28" s="12">
        <f>IFERROR(G25/G26-1,"n.a.")</f>
        <v>0.015000547465235936</v>
      </c>
      <c r="H28" s="57">
        <f>IFERROR(H25/C25-1,"n.a.")</f>
        <v>0.11052499999999976</v>
      </c>
      <c r="I28" s="3"/>
    </row>
    <row r="29">
      <c r="A29" s="3"/>
      <c r="B29" s="6" t="s">
        <v>82</v>
      </c>
      <c r="C29" s="12">
        <f>IFERROR(C25/F26-1,"n.a.")</f>
        <v>0.03655988857938719</v>
      </c>
      <c r="D29" s="12">
        <f>IFERROR(D25/C25-1,"n.a.")</f>
        <v>-0.31205911991938196</v>
      </c>
      <c r="E29" s="12">
        <f>IFERROR(E25/D25-1,"n.a.")</f>
        <v>-0.25927734375</v>
      </c>
      <c r="F29" s="12">
        <f>IFERROR(F25/E25-1,"n.a.")</f>
        <v>1.0514172709294662</v>
      </c>
      <c r="G29" s="12" t="s">
        <v>38</v>
      </c>
      <c r="H29" s="57">
        <f>IFERROR(H25/F25-1,"n.a.")</f>
        <v>0.062349911632390675</v>
      </c>
      <c r="I29" s="3"/>
    </row>
    <row r="30" ht="14.624267578125">
      <c r="A30" s="3"/>
      <c r="B30" s="3" t="s">
        <v>95</v>
      </c>
      <c r="C30" s="22">
        <f>IFERROR(C25-F26,"n.a.")</f>
        <v>105</v>
      </c>
      <c r="D30" s="22">
        <f>IFERROR(D25-C25,"n.a.")</f>
        <v>-929</v>
      </c>
      <c r="E30" s="22">
        <f>IFERROR(E25-D25,"n.a.")</f>
        <v>-531</v>
      </c>
      <c r="F30" s="22">
        <f>IFERROR(F25-E25,"n.a.")</f>
        <v>1595</v>
      </c>
      <c r="G30" s="22" t="s">
        <v>38</v>
      </c>
      <c r="H30" s="39">
        <f>IFERROR(H25-F25,"n.a.")</f>
        <v>194.03292499999952</v>
      </c>
      <c r="I30" s="3"/>
    </row>
    <row r="31">
      <c r="A31" s="3"/>
      <c r="B31" s="6" t="s">
        <v>534</v>
      </c>
      <c r="C31" s="4">
        <v>0.05</v>
      </c>
      <c r="D31" s="4">
        <v>0.04</v>
      </c>
      <c r="E31" s="4">
        <v>0.03</v>
      </c>
      <c r="F31" s="4">
        <v>0.01</v>
      </c>
      <c r="G31" s="12" t="s">
        <v>38</v>
      </c>
      <c r="H31" s="63">
        <v>0.005</v>
      </c>
      <c r="I31" s="11" t="s">
        <v>535</v>
      </c>
    </row>
    <row r="32">
      <c r="A32" s="3"/>
      <c r="B32" s="6" t="s">
        <v>536</v>
      </c>
      <c r="C32" s="4">
        <v>-0.07</v>
      </c>
      <c r="D32" s="4">
        <v>0</v>
      </c>
      <c r="E32" s="4">
        <v>0.07</v>
      </c>
      <c r="F32" s="4">
        <v>0.07</v>
      </c>
      <c r="G32" s="12" t="s">
        <v>38</v>
      </c>
      <c r="H32" s="63">
        <v>0.105</v>
      </c>
      <c r="I32" s="11" t="s">
        <v>537</v>
      </c>
    </row>
    <row r="33">
      <c r="A33" s="3"/>
      <c r="B33" s="6" t="s">
        <v>538</v>
      </c>
      <c r="C33" s="4">
        <v>-0.05</v>
      </c>
      <c r="D33" s="4">
        <v>0.02</v>
      </c>
      <c r="E33" s="4">
        <v>0.06</v>
      </c>
      <c r="F33" s="4">
        <v>0.09</v>
      </c>
      <c r="G33" s="12" t="s">
        <v>38</v>
      </c>
      <c r="H33" s="57" t="s">
        <v>38</v>
      </c>
      <c r="I33" s="11" t="s">
        <v>539</v>
      </c>
    </row>
    <row r="34">
      <c r="A34" s="3"/>
      <c r="B34" s="6" t="s">
        <v>540</v>
      </c>
      <c r="C34" s="12">
        <f>C25/C67</f>
        <v>0.22042055382792833</v>
      </c>
      <c r="D34" s="12">
        <f>D25/D67</f>
        <v>0.15857530003871467</v>
      </c>
      <c r="E34" s="12">
        <f>E25/E67</f>
        <v>0.12331328239310681</v>
      </c>
      <c r="F34" s="12">
        <f>F25/F67</f>
        <v>0.19939770615749344</v>
      </c>
      <c r="G34" s="12">
        <f>G25/G67</f>
        <v>0.1790681502086231</v>
      </c>
      <c r="H34" s="57">
        <f>H25/H67</f>
        <v>0.2105520255634744</v>
      </c>
      <c r="I34" s="3"/>
    </row>
    <row r="35" ht="14.624267578125">
      <c r="A35" s="3"/>
      <c r="B35" s="6" t="s">
        <v>84</v>
      </c>
      <c r="C35" s="12" t="s">
        <v>38</v>
      </c>
      <c r="D35" s="12" t="s">
        <v>38</v>
      </c>
      <c r="E35" s="12" t="s">
        <v>38</v>
      </c>
      <c r="F35" s="12" t="s">
        <v>38</v>
      </c>
      <c r="G35" s="12" t="s">
        <v>38</v>
      </c>
      <c r="H35" s="57" t="s">
        <v>38</v>
      </c>
      <c r="I35" s="11" t="s">
        <v>85</v>
      </c>
    </row>
    <row r="36">
      <c r="A36" s="3"/>
      <c r="B36" s="6" t="s">
        <v>86</v>
      </c>
      <c r="C36" s="12" t="s">
        <v>38</v>
      </c>
      <c r="D36" s="12" t="s">
        <v>38</v>
      </c>
      <c r="E36" s="12" t="s">
        <v>38</v>
      </c>
      <c r="F36" s="12" t="s">
        <v>38</v>
      </c>
      <c r="G36" s="12" t="s">
        <v>38</v>
      </c>
      <c r="H36" s="57" t="s">
        <v>38</v>
      </c>
      <c r="I36" s="11" t="s">
        <v>87</v>
      </c>
    </row>
    <row r="37">
      <c r="A37" s="3"/>
      <c r="B37" s="6" t="s">
        <v>88</v>
      </c>
      <c r="C37" s="12" t="str">
        <f>IF(AND(ISNUMBER(C28),ISNUMBER(C35),ISNUMBER(C36)),(1+C28)/((1+C35)*(1+C36))-1,"n.a.")</f>
        <v>n.a.</v>
      </c>
      <c r="D37" s="12" t="str">
        <f>IF(AND(ISNUMBER(D28),ISNUMBER(D35),ISNUMBER(D36)),(1+D28)/((1+D35)*(1+D36))-1,"n.a.")</f>
        <v>n.a.</v>
      </c>
      <c r="E37" s="12" t="str">
        <f>IF(AND(ISNUMBER(E28),ISNUMBER(E35),ISNUMBER(E36)),(1+E28)/((1+E35)*(1+E36))-1,"n.a.")</f>
        <v>n.a.</v>
      </c>
      <c r="F37" s="12" t="str">
        <f>IF(AND(ISNUMBER(F28),ISNUMBER(F35),ISNUMBER(F36)),(1+F28)/((1+F35)*(1+F36))-1,"n.a.")</f>
        <v>n.a.</v>
      </c>
      <c r="G37" s="12" t="str">
        <f>IF(AND(ISNUMBER(G28),ISNUMBER(G35),ISNUMBER(G36)),(1+G28)/((1+G35)*(1+G36))-1,"n.a.")</f>
        <v>n.a.</v>
      </c>
      <c r="H37" s="57" t="str">
        <f>IF(AND(ISNUMBER(H28),ISNUMBER(H35),ISNUMBER(H36)),(1+H28)/((1+H35)*(1+H36))-1,"n.a.")</f>
        <v>n.a.</v>
      </c>
      <c r="I37" s="11" t="s">
        <v>89</v>
      </c>
    </row>
    <row r="38">
      <c r="A38" s="3"/>
      <c r="B38" s="6" t="s">
        <v>90</v>
      </c>
      <c r="C38" s="12">
        <f>C28</f>
        <v>-0.01716738197424894</v>
      </c>
      <c r="D38" s="12">
        <f>D28</f>
        <v>0.037487335359675855</v>
      </c>
      <c r="E38" s="12">
        <f>E28</f>
        <v>0.10568513119533529</v>
      </c>
      <c r="F38" s="12">
        <f>F28</f>
        <v>0.08356545961002793</v>
      </c>
      <c r="G38" s="12">
        <f>G28</f>
        <v>0.015000547465235936</v>
      </c>
      <c r="H38" s="57">
        <f>H28</f>
        <v>0.11052499999999976</v>
      </c>
      <c r="I38" s="3"/>
    </row>
    <row r="39">
      <c r="A39" s="3"/>
      <c r="B39" s="3" t="s">
        <v>543</v>
      </c>
      <c r="C39" s="27">
        <v>759</v>
      </c>
      <c r="D39" s="27">
        <v>933</v>
      </c>
      <c r="E39" s="27">
        <v>1328</v>
      </c>
      <c r="F39" s="27">
        <v>990</v>
      </c>
      <c r="G39" s="27">
        <v>3980</v>
      </c>
      <c r="H39" s="39">
        <f>H40*(1+H45)*(1+H46)</f>
        <v>814.7864999999998</v>
      </c>
      <c r="I39" s="11" t="s">
        <v>532</v>
      </c>
    </row>
    <row r="40">
      <c r="A40" s="3"/>
      <c r="B40" s="6" t="s">
        <v>80</v>
      </c>
      <c r="C40" s="36">
        <v>779</v>
      </c>
      <c r="D40" s="25">
        <f>G40-D41</f>
        <v>987</v>
      </c>
      <c r="E40" s="36">
        <v>1334</v>
      </c>
      <c r="F40" s="36">
        <v>954</v>
      </c>
      <c r="G40" s="36">
        <v>3995</v>
      </c>
      <c r="H40" s="43">
        <f>C39</f>
        <v>759</v>
      </c>
      <c r="I40" s="11" t="s">
        <v>270</v>
      </c>
    </row>
    <row r="41">
      <c r="A41" s="3"/>
      <c r="B41" s="6" t="s">
        <v>544</v>
      </c>
      <c r="C41" s="25"/>
      <c r="D41" s="36">
        <v>3008</v>
      </c>
      <c r="E41" s="25"/>
      <c r="F41" s="25"/>
      <c r="G41" s="25"/>
      <c r="H41" s="43"/>
      <c r="I41" s="11" t="s">
        <v>173</v>
      </c>
    </row>
    <row r="42">
      <c r="A42" s="3"/>
      <c r="B42" s="6" t="s">
        <v>81</v>
      </c>
      <c r="C42" s="12">
        <f>IFERROR(C39/C40-1,"n.a.")</f>
        <v>-0.025673940949935803</v>
      </c>
      <c r="D42" s="12">
        <f>IFERROR(D39/D40-1,"n.a.")</f>
        <v>-0.054711246200607855</v>
      </c>
      <c r="E42" s="12">
        <f>IFERROR(E39/E40-1,"n.a.")</f>
        <v>-0.004497751124437732</v>
      </c>
      <c r="F42" s="12">
        <f>IFERROR(F39/F40-1,"n.a.")</f>
        <v>0.037735849056603765</v>
      </c>
      <c r="G42" s="12">
        <f>IFERROR(G39/G40-1,"n.a.")</f>
        <v>-0.003754693366708417</v>
      </c>
      <c r="H42" s="57">
        <f>IFERROR(H39/C39-1,"n.a.")</f>
        <v>0.07349999999999968</v>
      </c>
      <c r="I42" s="3"/>
    </row>
    <row r="43" ht="14.624267578125">
      <c r="A43" s="3"/>
      <c r="B43" s="6" t="s">
        <v>82</v>
      </c>
      <c r="C43" s="12">
        <f>IFERROR(C39/F40-1,"n.a.")</f>
        <v>-0.2044025157232704</v>
      </c>
      <c r="D43" s="12">
        <f>IFERROR(D39/C39-1,"n.a.")</f>
        <v>0.22924901185770752</v>
      </c>
      <c r="E43" s="12">
        <f>IFERROR(E39/D39-1,"n.a.")</f>
        <v>0.42336548767416926</v>
      </c>
      <c r="F43" s="12">
        <f>IFERROR(F39/E39-1,"n.a.")</f>
        <v>-0.25451807228915657</v>
      </c>
      <c r="G43" s="12" t="s">
        <v>38</v>
      </c>
      <c r="H43" s="57">
        <f>IFERROR(H39/F39-1,"n.a.")</f>
        <v>-0.1769833333333335</v>
      </c>
      <c r="I43" s="3"/>
    </row>
    <row r="44">
      <c r="A44" s="3"/>
      <c r="B44" s="3" t="s">
        <v>95</v>
      </c>
      <c r="C44" s="22">
        <f>IFERROR(C39-F40,"n.a.")</f>
        <v>-195</v>
      </c>
      <c r="D44" s="22">
        <f>IFERROR(D39-C39,"n.a.")</f>
        <v>174</v>
      </c>
      <c r="E44" s="22">
        <f>IFERROR(E39-D39,"n.a.")</f>
        <v>395</v>
      </c>
      <c r="F44" s="22">
        <f>IFERROR(F39-E39,"n.a.")</f>
        <v>-338</v>
      </c>
      <c r="G44" s="22" t="s">
        <v>38</v>
      </c>
      <c r="H44" s="39">
        <f>IFERROR(H39-F39,"n.a.")</f>
        <v>-175.21350000000018</v>
      </c>
      <c r="I44" s="3"/>
    </row>
    <row r="45">
      <c r="A45" s="3"/>
      <c r="B45" s="6" t="s">
        <v>534</v>
      </c>
      <c r="C45" s="4">
        <v>-0.02</v>
      </c>
      <c r="D45" s="4">
        <v>-0.03</v>
      </c>
      <c r="E45" s="4">
        <v>-0.03</v>
      </c>
      <c r="F45" s="4">
        <v>-0.07</v>
      </c>
      <c r="G45" s="12" t="s">
        <v>38</v>
      </c>
      <c r="H45" s="63">
        <v>-0.05</v>
      </c>
      <c r="I45" s="11" t="s">
        <v>535</v>
      </c>
    </row>
    <row r="46">
      <c r="A46" s="3"/>
      <c r="B46" s="6" t="s">
        <v>536</v>
      </c>
      <c r="C46" s="4">
        <v>0</v>
      </c>
      <c r="D46" s="4">
        <v>-0.02</v>
      </c>
      <c r="E46" s="4">
        <v>0.03</v>
      </c>
      <c r="F46" s="4">
        <v>0.12</v>
      </c>
      <c r="G46" s="12" t="s">
        <v>38</v>
      </c>
      <c r="H46" s="63">
        <v>0.13</v>
      </c>
      <c r="I46" s="11" t="s">
        <v>537</v>
      </c>
    </row>
    <row r="47">
      <c r="A47" s="3"/>
      <c r="B47" s="6" t="s">
        <v>538</v>
      </c>
      <c r="C47" s="4">
        <v>0.01</v>
      </c>
      <c r="D47" s="4">
        <v>0</v>
      </c>
      <c r="E47" s="4">
        <v>0.04</v>
      </c>
      <c r="F47" s="4">
        <v>0.13</v>
      </c>
      <c r="G47" s="12" t="s">
        <v>38</v>
      </c>
      <c r="H47" s="57" t="s">
        <v>38</v>
      </c>
      <c r="I47" s="11" t="s">
        <v>539</v>
      </c>
    </row>
    <row r="48" ht="14.624267578125">
      <c r="A48" s="3"/>
      <c r="B48" s="6" t="s">
        <v>540</v>
      </c>
      <c r="C48" s="12">
        <f>C39/C67</f>
        <v>0.05619724566859174</v>
      </c>
      <c r="D48" s="12">
        <f>D39/D67</f>
        <v>0.07224157955865274</v>
      </c>
      <c r="E48" s="12">
        <f>E39/E67</f>
        <v>0.10794992684116404</v>
      </c>
      <c r="F48" s="12">
        <f>F39/F67</f>
        <v>0.06343307490228743</v>
      </c>
      <c r="G48" s="12">
        <f>G39/G67</f>
        <v>0.07688147117910678</v>
      </c>
      <c r="H48" s="57">
        <f>H39/H67</f>
        <v>0.05189148198721398</v>
      </c>
      <c r="I48" s="3"/>
    </row>
    <row r="49">
      <c r="A49" s="3"/>
      <c r="B49" s="6" t="s">
        <v>84</v>
      </c>
      <c r="C49" s="12" t="s">
        <v>38</v>
      </c>
      <c r="D49" s="12" t="s">
        <v>38</v>
      </c>
      <c r="E49" s="12" t="s">
        <v>38</v>
      </c>
      <c r="F49" s="12" t="s">
        <v>38</v>
      </c>
      <c r="G49" s="12" t="s">
        <v>38</v>
      </c>
      <c r="H49" s="57" t="s">
        <v>38</v>
      </c>
      <c r="I49" s="11" t="s">
        <v>85</v>
      </c>
    </row>
    <row r="50">
      <c r="A50" s="3"/>
      <c r="B50" s="6" t="s">
        <v>86</v>
      </c>
      <c r="C50" s="12" t="s">
        <v>38</v>
      </c>
      <c r="D50" s="12" t="s">
        <v>38</v>
      </c>
      <c r="E50" s="12" t="s">
        <v>38</v>
      </c>
      <c r="F50" s="12" t="s">
        <v>38</v>
      </c>
      <c r="G50" s="12" t="s">
        <v>38</v>
      </c>
      <c r="H50" s="57" t="s">
        <v>38</v>
      </c>
      <c r="I50" s="11" t="s">
        <v>87</v>
      </c>
    </row>
    <row r="51">
      <c r="A51" s="3"/>
      <c r="B51" s="6" t="s">
        <v>88</v>
      </c>
      <c r="C51" s="12" t="str">
        <f>IF(AND(ISNUMBER(C42),ISNUMBER(C49),ISNUMBER(C50)),(1+C42)/((1+C49)*(1+C50))-1,"n.a.")</f>
        <v>n.a.</v>
      </c>
      <c r="D51" s="12" t="str">
        <f>IF(AND(ISNUMBER(D42),ISNUMBER(D49),ISNUMBER(D50)),(1+D42)/((1+D49)*(1+D50))-1,"n.a.")</f>
        <v>n.a.</v>
      </c>
      <c r="E51" s="12" t="str">
        <f>IF(AND(ISNUMBER(E42),ISNUMBER(E49),ISNUMBER(E50)),(1+E42)/((1+E49)*(1+E50))-1,"n.a.")</f>
        <v>n.a.</v>
      </c>
      <c r="F51" s="12" t="str">
        <f>IF(AND(ISNUMBER(F42),ISNUMBER(F49),ISNUMBER(F50)),(1+F42)/((1+F49)*(1+F50))-1,"n.a.")</f>
        <v>n.a.</v>
      </c>
      <c r="G51" s="12" t="str">
        <f>IF(AND(ISNUMBER(G42),ISNUMBER(G49),ISNUMBER(G50)),(1+G42)/((1+G49)*(1+G50))-1,"n.a.")</f>
        <v>n.a.</v>
      </c>
      <c r="H51" s="57" t="str">
        <f>IF(AND(ISNUMBER(H42),ISNUMBER(H49),ISNUMBER(H50)),(1+H42)/((1+H49)*(1+H50))-1,"n.a.")</f>
        <v>n.a.</v>
      </c>
      <c r="I51" s="11" t="s">
        <v>89</v>
      </c>
    </row>
    <row r="52">
      <c r="A52" s="3"/>
      <c r="B52" s="6" t="s">
        <v>90</v>
      </c>
      <c r="C52" s="12">
        <f>C42</f>
        <v>-0.025673940949935803</v>
      </c>
      <c r="D52" s="12">
        <f>D42</f>
        <v>-0.054711246200607855</v>
      </c>
      <c r="E52" s="12">
        <f>E42</f>
        <v>-0.004497751124437732</v>
      </c>
      <c r="F52" s="12">
        <f>F42</f>
        <v>0.037735849056603765</v>
      </c>
      <c r="G52" s="12">
        <f>G42</f>
        <v>-0.003754693366708417</v>
      </c>
      <c r="H52" s="57">
        <f>H42</f>
        <v>0.07349999999999968</v>
      </c>
      <c r="I52" s="3"/>
    </row>
    <row r="53">
      <c r="A53" s="3"/>
      <c r="B53" s="3" t="s">
        <v>545</v>
      </c>
      <c r="C53" s="27">
        <v>667</v>
      </c>
      <c r="D53" s="27">
        <v>724</v>
      </c>
      <c r="E53" s="27">
        <v>740</v>
      </c>
      <c r="F53" s="27">
        <v>832</v>
      </c>
      <c r="G53" s="27">
        <v>2787</v>
      </c>
      <c r="H53" s="39">
        <f>H54*(1+H59)*(1+H60)</f>
        <v>770.6518</v>
      </c>
      <c r="I53" s="11" t="s">
        <v>532</v>
      </c>
    </row>
    <row r="54">
      <c r="A54" s="3"/>
      <c r="B54" s="6" t="s">
        <v>80</v>
      </c>
      <c r="C54" s="36">
        <v>647</v>
      </c>
      <c r="D54" s="25">
        <f>G54-D55</f>
        <v>661</v>
      </c>
      <c r="E54" s="36">
        <v>673</v>
      </c>
      <c r="F54" s="36">
        <v>723</v>
      </c>
      <c r="G54" s="36">
        <v>2540</v>
      </c>
      <c r="H54" s="43">
        <f>C53</f>
        <v>667</v>
      </c>
      <c r="I54" s="11" t="s">
        <v>270</v>
      </c>
    </row>
    <row r="55">
      <c r="A55" s="3"/>
      <c r="B55" s="6" t="s">
        <v>546</v>
      </c>
      <c r="C55" s="25"/>
      <c r="D55" s="36">
        <v>1879</v>
      </c>
      <c r="E55" s="25"/>
      <c r="F55" s="25"/>
      <c r="G55" s="25"/>
      <c r="H55" s="43"/>
      <c r="I55" s="11" t="s">
        <v>173</v>
      </c>
    </row>
    <row r="56" ht="14.624267578125">
      <c r="A56" s="3"/>
      <c r="B56" s="6" t="s">
        <v>81</v>
      </c>
      <c r="C56" s="12">
        <f>IFERROR(C53/C54-1,"n.a.")</f>
        <v>0.03091190108191655</v>
      </c>
      <c r="D56" s="12">
        <f>IFERROR(D53/D54-1,"n.a.")</f>
        <v>0.09531013615733741</v>
      </c>
      <c r="E56" s="12">
        <f>IFERROR(E53/E54-1,"n.a.")</f>
        <v>0.09955423476968805</v>
      </c>
      <c r="F56" s="12">
        <f>IFERROR(F53/F54-1,"n.a.")</f>
        <v>0.15076071922544942</v>
      </c>
      <c r="G56" s="12">
        <f>IFERROR(G53/G54-1,"n.a.")</f>
        <v>0.09724409448818894</v>
      </c>
      <c r="H56" s="57">
        <f>IFERROR(H53/C53-1,"n.a.")</f>
        <v>0.15539999999999998</v>
      </c>
      <c r="I56" s="3"/>
    </row>
    <row r="57">
      <c r="A57" s="3"/>
      <c r="B57" s="6" t="s">
        <v>82</v>
      </c>
      <c r="C57" s="12">
        <f>IFERROR(C53/F54-1,"n.a.")</f>
        <v>-0.0774550484094052</v>
      </c>
      <c r="D57" s="12">
        <f>IFERROR(D53/C53-1,"n.a.")</f>
        <v>0.0854572713643178</v>
      </c>
      <c r="E57" s="12">
        <f>IFERROR(E53/D53-1,"n.a.")</f>
        <v>0.022099447513812098</v>
      </c>
      <c r="F57" s="12">
        <f>IFERROR(F53/E53-1,"n.a.")</f>
        <v>0.12432432432432439</v>
      </c>
      <c r="G57" s="12" t="s">
        <v>38</v>
      </c>
      <c r="H57" s="57">
        <f>IFERROR(H53/F53-1,"n.a.")</f>
        <v>-0.0737358173076923</v>
      </c>
      <c r="I57" s="3"/>
    </row>
    <row r="58">
      <c r="A58" s="3"/>
      <c r="B58" s="3" t="s">
        <v>95</v>
      </c>
      <c r="C58" s="22">
        <f>IFERROR(C53-F54,"n.a.")</f>
        <v>-56</v>
      </c>
      <c r="D58" s="22">
        <f>IFERROR(D53-C53,"n.a.")</f>
        <v>57</v>
      </c>
      <c r="E58" s="22">
        <f>IFERROR(E53-D53,"n.a.")</f>
        <v>16</v>
      </c>
      <c r="F58" s="22">
        <f>IFERROR(F53-E53,"n.a.")</f>
        <v>92</v>
      </c>
      <c r="G58" s="22" t="s">
        <v>38</v>
      </c>
      <c r="H58" s="39">
        <f>IFERROR(H53-F53,"n.a.")</f>
        <v>-61.34820000000002</v>
      </c>
      <c r="I58" s="3"/>
    </row>
    <row r="59">
      <c r="A59" s="3"/>
      <c r="B59" s="6" t="s">
        <v>534</v>
      </c>
      <c r="C59" s="4">
        <v>0.07</v>
      </c>
      <c r="D59" s="4">
        <v>0.05</v>
      </c>
      <c r="E59" s="4">
        <v>0.03</v>
      </c>
      <c r="F59" s="4">
        <v>0.08</v>
      </c>
      <c r="G59" s="12" t="s">
        <v>38</v>
      </c>
      <c r="H59" s="63">
        <v>0.06</v>
      </c>
      <c r="I59" s="11" t="s">
        <v>535</v>
      </c>
    </row>
    <row r="60">
      <c r="A60" s="3"/>
      <c r="B60" s="6" t="s">
        <v>536</v>
      </c>
      <c r="C60" s="4">
        <v>-0.04</v>
      </c>
      <c r="D60" s="4">
        <v>0.04</v>
      </c>
      <c r="E60" s="4">
        <v>0.06</v>
      </c>
      <c r="F60" s="4">
        <v>0.07</v>
      </c>
      <c r="G60" s="12" t="s">
        <v>38</v>
      </c>
      <c r="H60" s="63">
        <v>0.09</v>
      </c>
      <c r="I60" s="11" t="s">
        <v>537</v>
      </c>
    </row>
    <row r="61" ht="14.624267578125">
      <c r="A61" s="3"/>
      <c r="B61" s="6" t="s">
        <v>538</v>
      </c>
      <c r="C61" s="4">
        <v>-0.06</v>
      </c>
      <c r="D61" s="4">
        <v>-0.01</v>
      </c>
      <c r="E61" s="4">
        <v>0.04</v>
      </c>
      <c r="F61" s="4">
        <v>0.07</v>
      </c>
      <c r="G61" s="12" t="s">
        <v>38</v>
      </c>
      <c r="H61" s="57" t="s">
        <v>38</v>
      </c>
      <c r="I61" s="11" t="s">
        <v>539</v>
      </c>
    </row>
    <row r="62">
      <c r="A62" s="3"/>
      <c r="B62" s="6" t="s">
        <v>540</v>
      </c>
      <c r="C62" s="12">
        <f>C53/C67</f>
        <v>0.04938545831482304</v>
      </c>
      <c r="D62" s="12">
        <f>D53/D67</f>
        <v>0.056058846302748745</v>
      </c>
      <c r="E62" s="12">
        <f>E53/E67</f>
        <v>0.060152820679564296</v>
      </c>
      <c r="F62" s="12">
        <f>F53/F67</f>
        <v>0.05330941244313449</v>
      </c>
      <c r="G62" s="12">
        <f>G53/G67</f>
        <v>0.053836346777932316</v>
      </c>
      <c r="H62" s="57">
        <f>H53/H67</f>
        <v>0.0490806659144623</v>
      </c>
      <c r="I62" s="3"/>
    </row>
    <row r="63">
      <c r="A63" s="3"/>
      <c r="B63" s="6" t="s">
        <v>84</v>
      </c>
      <c r="C63" s="12" t="s">
        <v>38</v>
      </c>
      <c r="D63" s="12" t="s">
        <v>38</v>
      </c>
      <c r="E63" s="12" t="s">
        <v>38</v>
      </c>
      <c r="F63" s="12" t="s">
        <v>38</v>
      </c>
      <c r="G63" s="12" t="s">
        <v>38</v>
      </c>
      <c r="H63" s="57" t="s">
        <v>38</v>
      </c>
      <c r="I63" s="11" t="s">
        <v>85</v>
      </c>
    </row>
    <row r="64">
      <c r="A64" s="3"/>
      <c r="B64" s="6" t="s">
        <v>86</v>
      </c>
      <c r="C64" s="12" t="s">
        <v>38</v>
      </c>
      <c r="D64" s="12" t="s">
        <v>38</v>
      </c>
      <c r="E64" s="12" t="s">
        <v>38</v>
      </c>
      <c r="F64" s="12" t="s">
        <v>38</v>
      </c>
      <c r="G64" s="12" t="s">
        <v>38</v>
      </c>
      <c r="H64" s="57" t="s">
        <v>38</v>
      </c>
      <c r="I64" s="11" t="s">
        <v>87</v>
      </c>
    </row>
    <row r="65">
      <c r="A65" s="3"/>
      <c r="B65" s="6" t="s">
        <v>88</v>
      </c>
      <c r="C65" s="12" t="str">
        <f>IF(AND(ISNUMBER(C56),ISNUMBER(C63),ISNUMBER(C64)),(1+C56)/((1+C63)*(1+C64))-1,"n.a.")</f>
        <v>n.a.</v>
      </c>
      <c r="D65" s="12" t="str">
        <f>IF(AND(ISNUMBER(D56),ISNUMBER(D63),ISNUMBER(D64)),(1+D56)/((1+D63)*(1+D64))-1,"n.a.")</f>
        <v>n.a.</v>
      </c>
      <c r="E65" s="12" t="str">
        <f>IF(AND(ISNUMBER(E56),ISNUMBER(E63),ISNUMBER(E64)),(1+E56)/((1+E63)*(1+E64))-1,"n.a.")</f>
        <v>n.a.</v>
      </c>
      <c r="F65" s="12" t="str">
        <f>IF(AND(ISNUMBER(F56),ISNUMBER(F63),ISNUMBER(F64)),(1+F56)/((1+F63)*(1+F64))-1,"n.a.")</f>
        <v>n.a.</v>
      </c>
      <c r="G65" s="12" t="str">
        <f>IF(AND(ISNUMBER(G56),ISNUMBER(G63),ISNUMBER(G64)),(1+G56)/((1+G63)*(1+G64))-1,"n.a.")</f>
        <v>n.a.</v>
      </c>
      <c r="H65" s="57" t="str">
        <f>IF(AND(ISNUMBER(H56),ISNUMBER(H63),ISNUMBER(H64)),(1+H56)/((1+H63)*(1+H64))-1,"n.a.")</f>
        <v>n.a.</v>
      </c>
      <c r="I65" s="11" t="s">
        <v>89</v>
      </c>
    </row>
    <row r="66">
      <c r="A66" s="3"/>
      <c r="B66" s="6" t="s">
        <v>90</v>
      </c>
      <c r="C66" s="12">
        <f>C56</f>
        <v>0.03091190108191655</v>
      </c>
      <c r="D66" s="12">
        <f>D56</f>
        <v>0.09531013615733741</v>
      </c>
      <c r="E66" s="12">
        <f>E56</f>
        <v>0.09955423476968805</v>
      </c>
      <c r="F66" s="12">
        <f>F56</f>
        <v>0.15076071922544942</v>
      </c>
      <c r="G66" s="12">
        <f>G56</f>
        <v>0.09724409448818894</v>
      </c>
      <c r="H66" s="57">
        <f>H56</f>
        <v>0.15539999999999998</v>
      </c>
      <c r="I66" s="3"/>
    </row>
    <row r="67" ht="14.624267578125">
      <c r="A67" s="3"/>
      <c r="B67" s="15" t="s">
        <v>547</v>
      </c>
      <c r="C67" s="26">
        <f>SUM(C11,C25,C39,C53)</f>
        <v>13506</v>
      </c>
      <c r="D67" s="26">
        <f>SUM(D11,D25,D39,D53)</f>
        <v>12915</v>
      </c>
      <c r="E67" s="26">
        <f>SUM(E11,E25,E39,E53)</f>
        <v>12302</v>
      </c>
      <c r="F67" s="26">
        <f>SUM(F11,F25,F39,F53)</f>
        <v>15607</v>
      </c>
      <c r="G67" s="26">
        <f>SUM(G11,G25,G39,G53)</f>
        <v>51768</v>
      </c>
      <c r="H67" s="40">
        <f>SUM(H11,H25,H39,H53)</f>
        <v>15701.738874999997</v>
      </c>
      <c r="I67" s="3"/>
    </row>
    <row r="68" ht="14.624267578125">
      <c r="A68" s="3"/>
      <c r="B68" s="6" t="s">
        <v>80</v>
      </c>
      <c r="C68" s="25">
        <f>SUM(C12,C26,C40,C54)</f>
        <v>13107</v>
      </c>
      <c r="D68" s="25">
        <f>SUM(D12,D26,D40,D54)</f>
        <v>12815</v>
      </c>
      <c r="E68" s="25">
        <f>SUM(E12,E26,E40,E54)</f>
        <v>11480</v>
      </c>
      <c r="F68" s="25">
        <f>SUM(F12,F26,F40,F54)</f>
        <v>13867</v>
      </c>
      <c r="G68" s="25">
        <f>SUM(G12,G26,G40,G54)</f>
        <v>50894</v>
      </c>
      <c r="H68" s="43">
        <f>C67</f>
        <v>13506</v>
      </c>
      <c r="I68" s="11" t="s">
        <v>146</v>
      </c>
    </row>
    <row r="69" ht="14.624267578125">
      <c r="A69" s="3"/>
      <c r="B69" s="6" t="s">
        <v>81</v>
      </c>
      <c r="C69" s="12">
        <f>IFERROR(C67/C68-1,"n.a.")</f>
        <v>0.030441748683909253</v>
      </c>
      <c r="D69" s="12">
        <f>IFERROR(D67/D68-1,"n.a.")</f>
        <v>0.007803355442840498</v>
      </c>
      <c r="E69" s="12">
        <f>IFERROR(E67/E68-1,"n.a.")</f>
        <v>0.071602787456446</v>
      </c>
      <c r="F69" s="12">
        <f>IFERROR(F67/F68-1,"n.a.")</f>
        <v>0.12547775293863128</v>
      </c>
      <c r="G69" s="12">
        <f>IFERROR(G67/G68-1,"n.a.")</f>
        <v>0.017172947695209606</v>
      </c>
      <c r="H69" s="57">
        <f>IFERROR(H67/C67-1,"n.a.")</f>
        <v>0.16257506848807912</v>
      </c>
      <c r="I69" s="3"/>
    </row>
    <row r="70">
      <c r="A70" s="3"/>
      <c r="B70" s="6" t="s">
        <v>548</v>
      </c>
      <c r="C70" s="72" t="b">
        <f>ABS(C67-'Segment - Airline'!C81)&lt;=2</f>
        <v>1</v>
      </c>
      <c r="D70" s="72" t="b">
        <f>ABS(D67-'Segment - Airline'!D81)&lt;=2</f>
        <v>1</v>
      </c>
      <c r="E70" s="72" t="b">
        <f>ABS(E67-'Segment - Airline'!E81)&lt;=2</f>
        <v>1</v>
      </c>
      <c r="F70" s="72" t="b">
        <f>ABS(F67-'Segment - Airline'!F81)&lt;=2</f>
        <v>1</v>
      </c>
      <c r="G70" s="72" t="b">
        <f>ABS(G67-'Segment - Airline'!G81)&lt;=2</f>
        <v>1</v>
      </c>
      <c r="H70" s="71" t="b">
        <f>ABS(H67-'Segment - Airline'!H81)&lt;=2</f>
        <v>1</v>
      </c>
      <c r="I70" s="11" t="s">
        <v>549</v>
      </c>
    </row>
    <row r="71">
      <c r="A71" s="3"/>
      <c r="B71" s="3" t="s">
        <v>550</v>
      </c>
      <c r="C71" s="23">
        <f>'Segment - Airline'!C94</f>
        <v>233</v>
      </c>
      <c r="D71" s="23">
        <f>'Segment - Airline'!D94</f>
        <v>246</v>
      </c>
      <c r="E71" s="23">
        <f>'Segment - Airline'!E94</f>
        <v>226</v>
      </c>
      <c r="F71" s="23">
        <f>'Segment - Airline'!F94</f>
        <v>294</v>
      </c>
      <c r="G71" s="23">
        <f>'Segment - Airline'!G94</f>
        <v>900</v>
      </c>
      <c r="H71" s="47">
        <f>'Segment - Airline'!H94</f>
        <v>302.90000000000003</v>
      </c>
      <c r="I71" s="3"/>
    </row>
    <row r="72">
      <c r="A72" s="3"/>
      <c r="B72" s="3" t="s">
        <v>166</v>
      </c>
      <c r="C72" s="23">
        <f>'Segment - Airline'!C151</f>
        <v>1458</v>
      </c>
      <c r="D72" s="23">
        <f>'Segment - Airline'!D151</f>
        <v>1444</v>
      </c>
      <c r="E72" s="23">
        <f>'Segment - Airline'!E151</f>
        <v>1672</v>
      </c>
      <c r="F72" s="23">
        <f>'Segment - Airline'!F151</f>
        <v>1765</v>
      </c>
      <c r="G72" s="23">
        <f>'Segment - Airline'!G151</f>
        <v>5619</v>
      </c>
      <c r="H72" s="47">
        <f>'Segment - Airline'!H151</f>
        <v>1754.9019999999998</v>
      </c>
      <c r="I72" s="11" t="s">
        <v>551</v>
      </c>
    </row>
    <row r="73">
      <c r="A73" s="3"/>
      <c r="B73" s="3" t="s">
        <v>552</v>
      </c>
      <c r="C73" s="23">
        <f>'Segment - Refinery'!C28</f>
        <v>1476</v>
      </c>
      <c r="D73" s="23">
        <f>'Segment - Refinery'!D28</f>
        <v>1397</v>
      </c>
      <c r="E73" s="23">
        <f>'Segment - Refinery'!E28</f>
        <v>1654</v>
      </c>
      <c r="F73" s="23">
        <f>'Segment - Refinery'!F28</f>
        <v>2091</v>
      </c>
      <c r="G73" s="23">
        <f>'Segment - Refinery'!G28</f>
        <v>5077</v>
      </c>
      <c r="H73" s="47">
        <f>'Segment - Refinery'!H28</f>
        <v>2230.980012748179</v>
      </c>
      <c r="I73" s="11" t="s">
        <v>553</v>
      </c>
    </row>
    <row r="74">
      <c r="A74" s="3"/>
      <c r="B74" s="15" t="s">
        <v>314</v>
      </c>
      <c r="C74" s="26">
        <f>C67+C71+C72+C73</f>
        <v>16673</v>
      </c>
      <c r="D74" s="26">
        <f>D67+D71+D72+D73</f>
        <v>16002</v>
      </c>
      <c r="E74" s="26">
        <f>E67+E71+E72+E73</f>
        <v>15854</v>
      </c>
      <c r="F74" s="26">
        <f>F67+F71+F72+F73</f>
        <v>19757</v>
      </c>
      <c r="G74" s="26">
        <f>G67+G71+G72+G73</f>
        <v>63364</v>
      </c>
      <c r="H74" s="40">
        <f>H67+H71+H72+H73</f>
        <v>19990.520887748175</v>
      </c>
      <c r="I74" s="3"/>
    </row>
    <row r="75">
      <c r="A75" s="3"/>
      <c r="B75" s="6" t="s">
        <v>554</v>
      </c>
      <c r="C75" s="72" t="b">
        <f>ABS(C74-'Income Statement'!C14)&lt;=2</f>
        <v>1</v>
      </c>
      <c r="D75" s="72" t="b">
        <f>ABS(D74-'Income Statement'!D14)&lt;=2</f>
        <v>1</v>
      </c>
      <c r="E75" s="72" t="b">
        <f>ABS(E74-'Income Statement'!E14)&lt;=2</f>
        <v>1</v>
      </c>
      <c r="F75" s="72" t="b">
        <f>ABS(F74-'Income Statement'!F14)&lt;=2</f>
        <v>1</v>
      </c>
      <c r="G75" s="72" t="b">
        <f>ABS(G74-'Income Statement'!G14)&lt;=2</f>
        <v>1</v>
      </c>
      <c r="H75" s="71" t="b">
        <f>ABS(H74-'Income Statement'!H14)&lt;=2</f>
        <v>1</v>
      </c>
      <c r="I75" s="11" t="s">
        <v>549</v>
      </c>
    </row>
    <row r="76">
      <c r="A76" s="3"/>
      <c r="B76" s="3"/>
      <c r="C76" s="22"/>
      <c r="D76" s="22"/>
      <c r="E76" s="22"/>
      <c r="F76" s="22"/>
      <c r="G76" s="22"/>
      <c r="H76" s="39"/>
      <c r="I76" s="3"/>
    </row>
    <row r="77">
      <c r="A77" s="3"/>
      <c r="B77" s="15" t="s">
        <v>555</v>
      </c>
      <c r="C77" s="22"/>
      <c r="D77" s="22"/>
      <c r="E77" s="22"/>
      <c r="F77" s="22"/>
      <c r="G77" s="22"/>
      <c r="H77" s="39"/>
      <c r="I77" s="3"/>
    </row>
    <row r="78">
      <c r="A78" s="3"/>
      <c r="B78" s="3" t="s">
        <v>556</v>
      </c>
      <c r="C78" s="27">
        <v>11561</v>
      </c>
      <c r="D78" s="22">
        <f>G78-D79</f>
        <v>11623</v>
      </c>
      <c r="E78" s="27">
        <v>11502</v>
      </c>
      <c r="F78" s="27">
        <v>13957</v>
      </c>
      <c r="G78" s="27">
        <v>44655</v>
      </c>
      <c r="H78" s="39">
        <f>H110-H86-H94-H102</f>
        <v>14309.959012748175</v>
      </c>
      <c r="I78" s="11" t="s">
        <v>557</v>
      </c>
    </row>
    <row r="79">
      <c r="A79" s="3"/>
      <c r="B79" s="6" t="s">
        <v>558</v>
      </c>
      <c r="C79" s="25"/>
      <c r="D79" s="36">
        <v>33032</v>
      </c>
      <c r="E79" s="25"/>
      <c r="F79" s="25"/>
      <c r="G79" s="25"/>
      <c r="H79" s="43"/>
      <c r="I79" s="11" t="s">
        <v>173</v>
      </c>
    </row>
    <row r="80">
      <c r="A80" s="3"/>
      <c r="B80" s="6" t="s">
        <v>81</v>
      </c>
      <c r="C80" s="12" t="s">
        <v>38</v>
      </c>
      <c r="D80" s="12" t="s">
        <v>38</v>
      </c>
      <c r="E80" s="12" t="s">
        <v>38</v>
      </c>
      <c r="F80" s="12" t="s">
        <v>38</v>
      </c>
      <c r="G80" s="12" t="s">
        <v>38</v>
      </c>
      <c r="H80" s="57">
        <f>IFERROR(H78/C78-1,"n.a.")</f>
        <v>0.23777865346840033</v>
      </c>
      <c r="I80" s="11" t="s">
        <v>559</v>
      </c>
    </row>
    <row r="81">
      <c r="A81" s="3"/>
      <c r="B81" s="6" t="s">
        <v>560</v>
      </c>
      <c r="C81" s="12">
        <f>C78/C111</f>
        <v>0.6933965093264559</v>
      </c>
      <c r="D81" s="12">
        <f>D78/D111</f>
        <v>0.7263013185027807</v>
      </c>
      <c r="E81" s="12">
        <f>E78/E111</f>
        <v>0.7254951431815315</v>
      </c>
      <c r="F81" s="12">
        <f>F78/F111</f>
        <v>0.7064331629295946</v>
      </c>
      <c r="G81" s="12">
        <f>G78/G111</f>
        <v>0.704737705952907</v>
      </c>
      <c r="H81" s="57">
        <f>H78/H111</f>
        <v>0.7158372257082349</v>
      </c>
      <c r="I81" s="3"/>
    </row>
    <row r="82">
      <c r="A82" s="3"/>
      <c r="B82" s="6" t="s">
        <v>84</v>
      </c>
      <c r="C82" s="12" t="s">
        <v>38</v>
      </c>
      <c r="D82" s="12" t="s">
        <v>38</v>
      </c>
      <c r="E82" s="12" t="s">
        <v>38</v>
      </c>
      <c r="F82" s="12" t="s">
        <v>38</v>
      </c>
      <c r="G82" s="12" t="s">
        <v>38</v>
      </c>
      <c r="H82" s="57" t="s">
        <v>38</v>
      </c>
      <c r="I82" s="11" t="s">
        <v>85</v>
      </c>
    </row>
    <row r="83">
      <c r="A83" s="3"/>
      <c r="B83" s="6" t="s">
        <v>86</v>
      </c>
      <c r="C83" s="12" t="s">
        <v>38</v>
      </c>
      <c r="D83" s="12" t="s">
        <v>38</v>
      </c>
      <c r="E83" s="12" t="s">
        <v>38</v>
      </c>
      <c r="F83" s="12" t="s">
        <v>38</v>
      </c>
      <c r="G83" s="12" t="s">
        <v>38</v>
      </c>
      <c r="H83" s="57" t="s">
        <v>38</v>
      </c>
      <c r="I83" s="11" t="s">
        <v>87</v>
      </c>
    </row>
    <row r="84">
      <c r="A84" s="3"/>
      <c r="B84" s="6" t="s">
        <v>88</v>
      </c>
      <c r="C84" s="12" t="str">
        <f>IF(AND(ISNUMBER(C80),ISNUMBER(C82),ISNUMBER(C83)),(1+C80)/((1+C82)*(1+C83))-1,"n.a.")</f>
        <v>n.a.</v>
      </c>
      <c r="D84" s="12" t="str">
        <f>IF(AND(ISNUMBER(D80),ISNUMBER(D82),ISNUMBER(D83)),(1+D80)/((1+D82)*(1+D83))-1,"n.a.")</f>
        <v>n.a.</v>
      </c>
      <c r="E84" s="12" t="str">
        <f>IF(AND(ISNUMBER(E80),ISNUMBER(E82),ISNUMBER(E83)),(1+E80)/((1+E82)*(1+E83))-1,"n.a.")</f>
        <v>n.a.</v>
      </c>
      <c r="F84" s="12" t="str">
        <f>IF(AND(ISNUMBER(F80),ISNUMBER(F82),ISNUMBER(F83)),(1+F80)/((1+F82)*(1+F83))-1,"n.a.")</f>
        <v>n.a.</v>
      </c>
      <c r="G84" s="12" t="str">
        <f>IF(AND(ISNUMBER(G80),ISNUMBER(G82),ISNUMBER(G83)),(1+G80)/((1+G82)*(1+G83))-1,"n.a.")</f>
        <v>n.a.</v>
      </c>
      <c r="H84" s="57" t="str">
        <f>IF(AND(ISNUMBER(H80),ISNUMBER(H82),ISNUMBER(H83)),(1+H80)/((1+H82)*(1+H83))-1,"n.a.")</f>
        <v>n.a.</v>
      </c>
      <c r="I84" s="11" t="s">
        <v>89</v>
      </c>
    </row>
    <row r="85">
      <c r="A85" s="3"/>
      <c r="B85" s="6" t="s">
        <v>90</v>
      </c>
      <c r="C85" s="12" t="str">
        <f>C80</f>
        <v>n.a.</v>
      </c>
      <c r="D85" s="12" t="str">
        <f>D80</f>
        <v>n.a.</v>
      </c>
      <c r="E85" s="12" t="str">
        <f>E80</f>
        <v>n.a.</v>
      </c>
      <c r="F85" s="12" t="str">
        <f>F80</f>
        <v>n.a.</v>
      </c>
      <c r="G85" s="12" t="str">
        <f>G80</f>
        <v>n.a.</v>
      </c>
      <c r="H85" s="57">
        <f>H80</f>
        <v>0.23777865346840033</v>
      </c>
      <c r="I85" s="3"/>
    </row>
    <row r="86">
      <c r="A86" s="3"/>
      <c r="B86" s="3" t="s">
        <v>561</v>
      </c>
      <c r="C86" s="27">
        <v>3423</v>
      </c>
      <c r="D86" s="22">
        <f>G86-D87</f>
        <v>2413</v>
      </c>
      <c r="E86" s="27">
        <v>1867</v>
      </c>
      <c r="F86" s="27">
        <v>3620</v>
      </c>
      <c r="G86" s="27">
        <v>10766</v>
      </c>
      <c r="H86" s="39">
        <f>H25*(C86/C25)</f>
        <v>3801.3270749999992</v>
      </c>
      <c r="I86" s="11" t="s">
        <v>557</v>
      </c>
    </row>
    <row r="87">
      <c r="A87" s="3"/>
      <c r="B87" s="6" t="s">
        <v>562</v>
      </c>
      <c r="C87" s="25"/>
      <c r="D87" s="36">
        <v>8353</v>
      </c>
      <c r="E87" s="25"/>
      <c r="F87" s="25"/>
      <c r="G87" s="25"/>
      <c r="H87" s="43"/>
      <c r="I87" s="11" t="s">
        <v>173</v>
      </c>
    </row>
    <row r="88">
      <c r="A88" s="3"/>
      <c r="B88" s="6" t="s">
        <v>81</v>
      </c>
      <c r="C88" s="12" t="s">
        <v>38</v>
      </c>
      <c r="D88" s="12" t="s">
        <v>38</v>
      </c>
      <c r="E88" s="12" t="s">
        <v>38</v>
      </c>
      <c r="F88" s="12" t="s">
        <v>38</v>
      </c>
      <c r="G88" s="12" t="s">
        <v>38</v>
      </c>
      <c r="H88" s="57">
        <f>IFERROR(H86/C86-1,"n.a.")</f>
        <v>0.11052499999999976</v>
      </c>
      <c r="I88" s="11" t="s">
        <v>559</v>
      </c>
    </row>
    <row r="89">
      <c r="A89" s="3"/>
      <c r="B89" s="6" t="s">
        <v>560</v>
      </c>
      <c r="C89" s="12">
        <f>C86/C111</f>
        <v>0.20530198524560667</v>
      </c>
      <c r="D89" s="12">
        <f>D86/D111</f>
        <v>0.15078422795725802</v>
      </c>
      <c r="E89" s="12">
        <f>E86/E111</f>
        <v>0.11776207897060678</v>
      </c>
      <c r="F89" s="12">
        <f>F86/F111</f>
        <v>0.18322619830945994</v>
      </c>
      <c r="G89" s="12">
        <f>G86/G111</f>
        <v>0.1699072028281043</v>
      </c>
      <c r="H89" s="57">
        <f>H86/H111</f>
        <v>0.19015647948072045</v>
      </c>
      <c r="I89" s="3"/>
    </row>
    <row r="90" ht="14.624267578125">
      <c r="A90" s="3"/>
      <c r="B90" s="6" t="s">
        <v>84</v>
      </c>
      <c r="C90" s="12" t="s">
        <v>38</v>
      </c>
      <c r="D90" s="12" t="s">
        <v>38</v>
      </c>
      <c r="E90" s="12" t="s">
        <v>38</v>
      </c>
      <c r="F90" s="12" t="s">
        <v>38</v>
      </c>
      <c r="G90" s="12" t="s">
        <v>38</v>
      </c>
      <c r="H90" s="57" t="s">
        <v>38</v>
      </c>
      <c r="I90" s="11" t="s">
        <v>85</v>
      </c>
    </row>
    <row r="91">
      <c r="A91" s="3"/>
      <c r="B91" s="6" t="s">
        <v>86</v>
      </c>
      <c r="C91" s="12" t="s">
        <v>38</v>
      </c>
      <c r="D91" s="12" t="s">
        <v>38</v>
      </c>
      <c r="E91" s="12" t="s">
        <v>38</v>
      </c>
      <c r="F91" s="12" t="s">
        <v>38</v>
      </c>
      <c r="G91" s="12" t="s">
        <v>38</v>
      </c>
      <c r="H91" s="57" t="s">
        <v>38</v>
      </c>
      <c r="I91" s="11" t="s">
        <v>87</v>
      </c>
    </row>
    <row r="92">
      <c r="A92" s="3"/>
      <c r="B92" s="6" t="s">
        <v>88</v>
      </c>
      <c r="C92" s="12" t="str">
        <f>IF(AND(ISNUMBER(C88),ISNUMBER(C90),ISNUMBER(C91)),(1+C88)/((1+C90)*(1+C91))-1,"n.a.")</f>
        <v>n.a.</v>
      </c>
      <c r="D92" s="12" t="str">
        <f>IF(AND(ISNUMBER(D88),ISNUMBER(D90),ISNUMBER(D91)),(1+D88)/((1+D90)*(1+D91))-1,"n.a.")</f>
        <v>n.a.</v>
      </c>
      <c r="E92" s="12" t="str">
        <f>IF(AND(ISNUMBER(E88),ISNUMBER(E90),ISNUMBER(E91)),(1+E88)/((1+E90)*(1+E91))-1,"n.a.")</f>
        <v>n.a.</v>
      </c>
      <c r="F92" s="12" t="str">
        <f>IF(AND(ISNUMBER(F88),ISNUMBER(F90),ISNUMBER(F91)),(1+F88)/((1+F90)*(1+F91))-1,"n.a.")</f>
        <v>n.a.</v>
      </c>
      <c r="G92" s="12" t="str">
        <f>IF(AND(ISNUMBER(G88),ISNUMBER(G90),ISNUMBER(G91)),(1+G88)/((1+G90)*(1+G91))-1,"n.a.")</f>
        <v>n.a.</v>
      </c>
      <c r="H92" s="57" t="str">
        <f>IF(AND(ISNUMBER(H88),ISNUMBER(H90),ISNUMBER(H91)),(1+H88)/((1+H90)*(1+H91))-1,"n.a.")</f>
        <v>n.a.</v>
      </c>
      <c r="I92" s="11" t="s">
        <v>89</v>
      </c>
    </row>
    <row r="93">
      <c r="A93" s="3"/>
      <c r="B93" s="6" t="s">
        <v>90</v>
      </c>
      <c r="C93" s="12" t="str">
        <f>C88</f>
        <v>n.a.</v>
      </c>
      <c r="D93" s="12" t="str">
        <f>D88</f>
        <v>n.a.</v>
      </c>
      <c r="E93" s="12" t="str">
        <f>E88</f>
        <v>n.a.</v>
      </c>
      <c r="F93" s="12" t="str">
        <f>F88</f>
        <v>n.a.</v>
      </c>
      <c r="G93" s="12" t="str">
        <f>G88</f>
        <v>n.a.</v>
      </c>
      <c r="H93" s="57">
        <f>H88</f>
        <v>0.11052499999999976</v>
      </c>
      <c r="I93" s="3"/>
    </row>
    <row r="94">
      <c r="A94" s="3"/>
      <c r="B94" s="3" t="s">
        <v>563</v>
      </c>
      <c r="C94" s="27">
        <v>882</v>
      </c>
      <c r="D94" s="22">
        <f>G94-D95</f>
        <v>1082</v>
      </c>
      <c r="E94" s="27">
        <v>1560</v>
      </c>
      <c r="F94" s="27">
        <v>1146</v>
      </c>
      <c r="G94" s="27">
        <v>4579</v>
      </c>
      <c r="H94" s="39">
        <f>H39*(C94/C39)</f>
        <v>946.8269999999998</v>
      </c>
      <c r="I94" s="11" t="s">
        <v>557</v>
      </c>
    </row>
    <row r="95">
      <c r="A95" s="3"/>
      <c r="B95" s="6" t="s">
        <v>564</v>
      </c>
      <c r="C95" s="25"/>
      <c r="D95" s="36">
        <v>3497</v>
      </c>
      <c r="E95" s="25"/>
      <c r="F95" s="25"/>
      <c r="G95" s="25"/>
      <c r="H95" s="43"/>
      <c r="I95" s="11" t="s">
        <v>173</v>
      </c>
    </row>
    <row r="96">
      <c r="A96" s="3"/>
      <c r="B96" s="6" t="s">
        <v>81</v>
      </c>
      <c r="C96" s="12" t="s">
        <v>38</v>
      </c>
      <c r="D96" s="12" t="s">
        <v>38</v>
      </c>
      <c r="E96" s="12" t="s">
        <v>38</v>
      </c>
      <c r="F96" s="12" t="s">
        <v>38</v>
      </c>
      <c r="G96" s="12" t="s">
        <v>38</v>
      </c>
      <c r="H96" s="57">
        <f>IFERROR(H94/C94-1,"n.a.")</f>
        <v>0.07349999999999968</v>
      </c>
      <c r="I96" s="11" t="s">
        <v>559</v>
      </c>
    </row>
    <row r="97">
      <c r="A97" s="3"/>
      <c r="B97" s="6" t="s">
        <v>560</v>
      </c>
      <c r="C97" s="12">
        <f>C94/C111</f>
        <v>0.05289989803874528</v>
      </c>
      <c r="D97" s="12">
        <f>D94/D111</f>
        <v>0.06761232268949571</v>
      </c>
      <c r="E97" s="12">
        <f>E94/E111</f>
        <v>0.09839788066103192</v>
      </c>
      <c r="F97" s="12">
        <f>F94/F111</f>
        <v>0.05800475780735942</v>
      </c>
      <c r="G97" s="12">
        <f>G94/G111</f>
        <v>0.07226500852218926</v>
      </c>
      <c r="H97" s="57">
        <f>H94/H111</f>
        <v>0.04736379833805595</v>
      </c>
      <c r="I97" s="3"/>
    </row>
    <row r="98">
      <c r="A98" s="3"/>
      <c r="B98" s="6" t="s">
        <v>84</v>
      </c>
      <c r="C98" s="12" t="s">
        <v>38</v>
      </c>
      <c r="D98" s="12" t="s">
        <v>38</v>
      </c>
      <c r="E98" s="12" t="s">
        <v>38</v>
      </c>
      <c r="F98" s="12" t="s">
        <v>38</v>
      </c>
      <c r="G98" s="12" t="s">
        <v>38</v>
      </c>
      <c r="H98" s="57" t="s">
        <v>38</v>
      </c>
      <c r="I98" s="11" t="s">
        <v>85</v>
      </c>
    </row>
    <row r="99">
      <c r="A99" s="3"/>
      <c r="B99" s="6" t="s">
        <v>86</v>
      </c>
      <c r="C99" s="12" t="s">
        <v>38</v>
      </c>
      <c r="D99" s="12" t="s">
        <v>38</v>
      </c>
      <c r="E99" s="12" t="s">
        <v>38</v>
      </c>
      <c r="F99" s="12" t="s">
        <v>38</v>
      </c>
      <c r="G99" s="12" t="s">
        <v>38</v>
      </c>
      <c r="H99" s="57" t="s">
        <v>38</v>
      </c>
      <c r="I99" s="11" t="s">
        <v>87</v>
      </c>
    </row>
    <row r="100">
      <c r="A100" s="3"/>
      <c r="B100" s="6" t="s">
        <v>88</v>
      </c>
      <c r="C100" s="12" t="str">
        <f>IF(AND(ISNUMBER(C96),ISNUMBER(C98),ISNUMBER(C99)),(1+C96)/((1+C98)*(1+C99))-1,"n.a.")</f>
        <v>n.a.</v>
      </c>
      <c r="D100" s="12" t="str">
        <f>IF(AND(ISNUMBER(D96),ISNUMBER(D98),ISNUMBER(D99)),(1+D96)/((1+D98)*(1+D99))-1,"n.a.")</f>
        <v>n.a.</v>
      </c>
      <c r="E100" s="12" t="str">
        <f>IF(AND(ISNUMBER(E96),ISNUMBER(E98),ISNUMBER(E99)),(1+E96)/((1+E98)*(1+E99))-1,"n.a.")</f>
        <v>n.a.</v>
      </c>
      <c r="F100" s="12" t="str">
        <f>IF(AND(ISNUMBER(F96),ISNUMBER(F98),ISNUMBER(F99)),(1+F96)/((1+F98)*(1+F99))-1,"n.a.")</f>
        <v>n.a.</v>
      </c>
      <c r="G100" s="12" t="str">
        <f>IF(AND(ISNUMBER(G96),ISNUMBER(G98),ISNUMBER(G99)),(1+G96)/((1+G98)*(1+G99))-1,"n.a.")</f>
        <v>n.a.</v>
      </c>
      <c r="H100" s="57" t="str">
        <f>IF(AND(ISNUMBER(H96),ISNUMBER(H98),ISNUMBER(H99)),(1+H96)/((1+H98)*(1+H99))-1,"n.a.")</f>
        <v>n.a.</v>
      </c>
      <c r="I100" s="11" t="s">
        <v>89</v>
      </c>
    </row>
    <row r="101">
      <c r="A101" s="3"/>
      <c r="B101" s="6" t="s">
        <v>90</v>
      </c>
      <c r="C101" s="12" t="str">
        <f>C96</f>
        <v>n.a.</v>
      </c>
      <c r="D101" s="12" t="str">
        <f>D96</f>
        <v>n.a.</v>
      </c>
      <c r="E101" s="12" t="str">
        <f>E96</f>
        <v>n.a.</v>
      </c>
      <c r="F101" s="12" t="str">
        <f>F96</f>
        <v>n.a.</v>
      </c>
      <c r="G101" s="12" t="str">
        <f>G96</f>
        <v>n.a.</v>
      </c>
      <c r="H101" s="57">
        <f>H96</f>
        <v>0.07349999999999968</v>
      </c>
      <c r="I101" s="3"/>
    </row>
    <row r="102">
      <c r="A102" s="3"/>
      <c r="B102" s="3" t="s">
        <v>565</v>
      </c>
      <c r="C102" s="27">
        <v>807</v>
      </c>
      <c r="D102" s="22">
        <f>G102-D103</f>
        <v>885</v>
      </c>
      <c r="E102" s="27">
        <v>925</v>
      </c>
      <c r="F102" s="27">
        <v>1034</v>
      </c>
      <c r="G102" s="27">
        <v>3364</v>
      </c>
      <c r="H102" s="39">
        <f>H53*(C102/C53)</f>
        <v>932.4078</v>
      </c>
      <c r="I102" s="11" t="s">
        <v>557</v>
      </c>
    </row>
    <row r="103">
      <c r="A103" s="3"/>
      <c r="B103" s="6" t="s">
        <v>566</v>
      </c>
      <c r="C103" s="25"/>
      <c r="D103" s="36">
        <v>2479</v>
      </c>
      <c r="E103" s="25"/>
      <c r="F103" s="25"/>
      <c r="G103" s="25"/>
      <c r="H103" s="43"/>
      <c r="I103" s="11" t="s">
        <v>173</v>
      </c>
    </row>
    <row r="104">
      <c r="A104" s="3"/>
      <c r="B104" s="6" t="s">
        <v>81</v>
      </c>
      <c r="C104" s="12" t="s">
        <v>38</v>
      </c>
      <c r="D104" s="12" t="s">
        <v>38</v>
      </c>
      <c r="E104" s="12" t="s">
        <v>38</v>
      </c>
      <c r="F104" s="12" t="s">
        <v>38</v>
      </c>
      <c r="G104" s="12" t="s">
        <v>38</v>
      </c>
      <c r="H104" s="57">
        <f>IFERROR(H102/C102-1,"n.a.")</f>
        <v>0.15539999999999998</v>
      </c>
      <c r="I104" s="11" t="s">
        <v>559</v>
      </c>
    </row>
    <row r="105">
      <c r="A105" s="3"/>
      <c r="B105" s="6" t="s">
        <v>560</v>
      </c>
      <c r="C105" s="12">
        <f>C102/C111</f>
        <v>0.04840160738919211</v>
      </c>
      <c r="D105" s="12">
        <f>D102/D111</f>
        <v>0.055302130850465536</v>
      </c>
      <c r="E105" s="12">
        <f>E102/E111</f>
        <v>0.05834489718682982</v>
      </c>
      <c r="F105" s="12">
        <f>F102/F111</f>
        <v>0.05233588095358607</v>
      </c>
      <c r="G105" s="12">
        <f>G102/G111</f>
        <v>0.05309008269679944</v>
      </c>
      <c r="H105" s="57">
        <f>H102/H111</f>
        <v>0.04664249647298864</v>
      </c>
      <c r="I105" s="3"/>
    </row>
    <row r="106">
      <c r="A106" s="3"/>
      <c r="B106" s="6" t="s">
        <v>84</v>
      </c>
      <c r="C106" s="12" t="s">
        <v>38</v>
      </c>
      <c r="D106" s="12" t="s">
        <v>38</v>
      </c>
      <c r="E106" s="12" t="s">
        <v>38</v>
      </c>
      <c r="F106" s="12" t="s">
        <v>38</v>
      </c>
      <c r="G106" s="12" t="s">
        <v>38</v>
      </c>
      <c r="H106" s="57" t="s">
        <v>38</v>
      </c>
      <c r="I106" s="11" t="s">
        <v>85</v>
      </c>
    </row>
    <row r="107">
      <c r="A107" s="3"/>
      <c r="B107" s="6" t="s">
        <v>86</v>
      </c>
      <c r="C107" s="12" t="s">
        <v>38</v>
      </c>
      <c r="D107" s="12" t="s">
        <v>38</v>
      </c>
      <c r="E107" s="12" t="s">
        <v>38</v>
      </c>
      <c r="F107" s="12" t="s">
        <v>38</v>
      </c>
      <c r="G107" s="12" t="s">
        <v>38</v>
      </c>
      <c r="H107" s="57" t="s">
        <v>38</v>
      </c>
      <c r="I107" s="11" t="s">
        <v>87</v>
      </c>
    </row>
    <row r="108">
      <c r="A108" s="3"/>
      <c r="B108" s="6" t="s">
        <v>88</v>
      </c>
      <c r="C108" s="12" t="str">
        <f>IF(AND(ISNUMBER(C104),ISNUMBER(C106),ISNUMBER(C107)),(1+C104)/((1+C106)*(1+C107))-1,"n.a.")</f>
        <v>n.a.</v>
      </c>
      <c r="D108" s="12" t="str">
        <f>IF(AND(ISNUMBER(D104),ISNUMBER(D106),ISNUMBER(D107)),(1+D104)/((1+D106)*(1+D107))-1,"n.a.")</f>
        <v>n.a.</v>
      </c>
      <c r="E108" s="12" t="str">
        <f>IF(AND(ISNUMBER(E104),ISNUMBER(E106),ISNUMBER(E107)),(1+E104)/((1+E106)*(1+E107))-1,"n.a.")</f>
        <v>n.a.</v>
      </c>
      <c r="F108" s="12" t="str">
        <f>IF(AND(ISNUMBER(F104),ISNUMBER(F106),ISNUMBER(F107)),(1+F104)/((1+F106)*(1+F107))-1,"n.a.")</f>
        <v>n.a.</v>
      </c>
      <c r="G108" s="12" t="str">
        <f>IF(AND(ISNUMBER(G104),ISNUMBER(G106),ISNUMBER(G107)),(1+G104)/((1+G106)*(1+G107))-1,"n.a.")</f>
        <v>n.a.</v>
      </c>
      <c r="H108" s="57" t="str">
        <f>IF(AND(ISNUMBER(H104),ISNUMBER(H106),ISNUMBER(H107)),(1+H104)/((1+H106)*(1+H107))-1,"n.a.")</f>
        <v>n.a.</v>
      </c>
      <c r="I108" s="11" t="s">
        <v>89</v>
      </c>
    </row>
    <row r="109">
      <c r="A109" s="3"/>
      <c r="B109" s="6" t="s">
        <v>90</v>
      </c>
      <c r="C109" s="12" t="str">
        <f>C104</f>
        <v>n.a.</v>
      </c>
      <c r="D109" s="12" t="str">
        <f>D104</f>
        <v>n.a.</v>
      </c>
      <c r="E109" s="12" t="str">
        <f>E104</f>
        <v>n.a.</v>
      </c>
      <c r="F109" s="12" t="str">
        <f>F104</f>
        <v>n.a.</v>
      </c>
      <c r="G109" s="12" t="str">
        <f>G104</f>
        <v>n.a.</v>
      </c>
      <c r="H109" s="57">
        <f>H104</f>
        <v>0.15539999999999998</v>
      </c>
      <c r="I109" s="3"/>
    </row>
    <row r="110">
      <c r="A110" s="3"/>
      <c r="B110" s="6" t="s">
        <v>567</v>
      </c>
      <c r="C110" s="33">
        <f>'Income Statement'!C14</f>
        <v>16673</v>
      </c>
      <c r="D110" s="33">
        <f>'Income Statement'!D14</f>
        <v>16003</v>
      </c>
      <c r="E110" s="33">
        <f>'Income Statement'!E14</f>
        <v>15854</v>
      </c>
      <c r="F110" s="33">
        <f>'Income Statement'!F14</f>
        <v>19757</v>
      </c>
      <c r="G110" s="33">
        <f>'Income Statement'!G14</f>
        <v>63364</v>
      </c>
      <c r="H110" s="53">
        <f>'Income Statement'!H14</f>
        <v>19990.520887748175</v>
      </c>
      <c r="I110" s="3"/>
    </row>
    <row r="111">
      <c r="A111" s="3"/>
      <c r="B111" s="15" t="s">
        <v>568</v>
      </c>
      <c r="C111" s="26">
        <f>SUM(C78,C86,C94,C102)</f>
        <v>16673</v>
      </c>
      <c r="D111" s="26">
        <f>SUM(D78,D86,D94,D102)</f>
        <v>16003</v>
      </c>
      <c r="E111" s="26">
        <f>SUM(E78,E86,E94,E102)</f>
        <v>15854</v>
      </c>
      <c r="F111" s="26">
        <f>SUM(F78,F86,F94,F102)</f>
        <v>19757</v>
      </c>
      <c r="G111" s="26">
        <f>SUM(G78,G86,G94,G102)</f>
        <v>63364</v>
      </c>
      <c r="H111" s="40">
        <f>SUM(H78,H86,H94,H102)</f>
        <v>19990.520887748175</v>
      </c>
      <c r="I111" s="3"/>
    </row>
    <row r="112">
      <c r="A112" s="3"/>
      <c r="B112" s="6" t="s">
        <v>81</v>
      </c>
      <c r="C112" s="12" t="s">
        <v>38</v>
      </c>
      <c r="D112" s="12" t="s">
        <v>38</v>
      </c>
      <c r="E112" s="12" t="s">
        <v>38</v>
      </c>
      <c r="F112" s="12" t="s">
        <v>38</v>
      </c>
      <c r="G112" s="12" t="s">
        <v>38</v>
      </c>
      <c r="H112" s="57">
        <f>IFERROR(H111/C111-1,"n.a.")</f>
        <v>0.19897564252073252</v>
      </c>
      <c r="I112" s="3"/>
    </row>
    <row r="113">
      <c r="A113" s="3"/>
      <c r="B113" s="6" t="s">
        <v>84</v>
      </c>
      <c r="C113" s="12" t="s">
        <v>38</v>
      </c>
      <c r="D113" s="12" t="s">
        <v>38</v>
      </c>
      <c r="E113" s="12" t="s">
        <v>38</v>
      </c>
      <c r="F113" s="12" t="s">
        <v>38</v>
      </c>
      <c r="G113" s="12" t="s">
        <v>38</v>
      </c>
      <c r="H113" s="57" t="s">
        <v>38</v>
      </c>
      <c r="I113" s="11" t="s">
        <v>85</v>
      </c>
    </row>
    <row r="114">
      <c r="A114" s="3"/>
      <c r="B114" s="6" t="s">
        <v>86</v>
      </c>
      <c r="C114" s="12" t="s">
        <v>38</v>
      </c>
      <c r="D114" s="12" t="s">
        <v>38</v>
      </c>
      <c r="E114" s="12" t="s">
        <v>38</v>
      </c>
      <c r="F114" s="12" t="s">
        <v>38</v>
      </c>
      <c r="G114" s="12" t="s">
        <v>38</v>
      </c>
      <c r="H114" s="57" t="s">
        <v>38</v>
      </c>
      <c r="I114" s="11" t="s">
        <v>87</v>
      </c>
    </row>
    <row r="115">
      <c r="A115" s="3"/>
      <c r="B115" s="6" t="s">
        <v>88</v>
      </c>
      <c r="C115" s="12" t="str">
        <f>IF(AND(ISNUMBER(C112),ISNUMBER(C113),ISNUMBER(C114)),(1+C112)/((1+C113)*(1+C114))-1,"n.a.")</f>
        <v>n.a.</v>
      </c>
      <c r="D115" s="12" t="str">
        <f>IF(AND(ISNUMBER(D112),ISNUMBER(D113),ISNUMBER(D114)),(1+D112)/((1+D113)*(1+D114))-1,"n.a.")</f>
        <v>n.a.</v>
      </c>
      <c r="E115" s="12" t="str">
        <f>IF(AND(ISNUMBER(E112),ISNUMBER(E113),ISNUMBER(E114)),(1+E112)/((1+E113)*(1+E114))-1,"n.a.")</f>
        <v>n.a.</v>
      </c>
      <c r="F115" s="12" t="str">
        <f>IF(AND(ISNUMBER(F112),ISNUMBER(F113),ISNUMBER(F114)),(1+F112)/((1+F113)*(1+F114))-1,"n.a.")</f>
        <v>n.a.</v>
      </c>
      <c r="G115" s="12" t="str">
        <f>IF(AND(ISNUMBER(G112),ISNUMBER(G113),ISNUMBER(G114)),(1+G112)/((1+G113)*(1+G114))-1,"n.a.")</f>
        <v>n.a.</v>
      </c>
      <c r="H115" s="57" t="str">
        <f>IF(AND(ISNUMBER(H112),ISNUMBER(H113),ISNUMBER(H114)),(1+H112)/((1+H113)*(1+H114))-1,"n.a.")</f>
        <v>n.a.</v>
      </c>
      <c r="I115" s="11" t="s">
        <v>89</v>
      </c>
    </row>
    <row r="116">
      <c r="A116" s="3"/>
      <c r="B116" s="6" t="s">
        <v>90</v>
      </c>
      <c r="C116" s="12" t="str">
        <f>C112</f>
        <v>n.a.</v>
      </c>
      <c r="D116" s="12" t="str">
        <f>D112</f>
        <v>n.a.</v>
      </c>
      <c r="E116" s="12" t="str">
        <f>E112</f>
        <v>n.a.</v>
      </c>
      <c r="F116" s="12" t="str">
        <f>F112</f>
        <v>n.a.</v>
      </c>
      <c r="G116" s="12" t="str">
        <f>G112</f>
        <v>n.a.</v>
      </c>
      <c r="H116" s="57">
        <f>H112</f>
        <v>0.19897564252073252</v>
      </c>
      <c r="I116" s="3"/>
    </row>
    <row r="117">
      <c r="A117" s="3"/>
      <c r="B117" s="6" t="s">
        <v>569</v>
      </c>
      <c r="C117" s="28" t="b">
        <f>ABS(C111-C110)&lt;=2</f>
        <v>1</v>
      </c>
      <c r="D117" s="28" t="b">
        <f>ABS(D111-D110)&lt;=2</f>
        <v>1</v>
      </c>
      <c r="E117" s="28" t="b">
        <f>ABS(E111-E110)&lt;=2</f>
        <v>1</v>
      </c>
      <c r="F117" s="28" t="b">
        <f>ABS(F111-F110)&lt;=2</f>
        <v>1</v>
      </c>
      <c r="G117" s="28" t="b">
        <f>ABS(G111-G110)&lt;=2</f>
        <v>1</v>
      </c>
      <c r="H117" s="31" t="b">
        <f>ABS(H111-H110)&lt;=2</f>
        <v>1</v>
      </c>
      <c r="I117" s="11" t="s">
        <v>549</v>
      </c>
    </row>
    <row r="118">
      <c r="A118" s="3"/>
      <c r="B118" s="3"/>
      <c r="C118" s="3"/>
      <c r="D118" s="3"/>
      <c r="E118" s="3"/>
      <c r="F118" s="3"/>
      <c r="G118" s="3"/>
      <c r="H118" s="3"/>
      <c r="I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</row>
    <row r="3">
      <c r="A3" s="3"/>
      <c r="B3" s="15" t="s">
        <v>570</v>
      </c>
      <c r="C3" s="3"/>
      <c r="D3" s="3"/>
      <c r="E3" s="3"/>
      <c r="F3" s="3"/>
      <c r="G3" s="3"/>
      <c r="H3" s="3"/>
      <c r="I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</row>
    <row r="5">
      <c r="A5" s="3"/>
      <c r="B5" s="3"/>
      <c r="C5" s="3"/>
      <c r="D5" s="3"/>
      <c r="E5" s="3"/>
      <c r="F5" s="3"/>
      <c r="G5" s="3"/>
      <c r="H5" s="3"/>
      <c r="I5" s="3"/>
    </row>
    <row r="6">
      <c r="A6" s="3"/>
      <c r="B6" s="46" t="s">
        <v>3</v>
      </c>
      <c r="C6" s="32" t="s">
        <v>72</v>
      </c>
      <c r="D6" s="32" t="s">
        <v>73</v>
      </c>
      <c r="E6" s="32" t="s">
        <v>74</v>
      </c>
      <c r="F6" s="32" t="s">
        <v>75</v>
      </c>
      <c r="G6" s="32" t="s">
        <v>76</v>
      </c>
      <c r="H6" s="35" t="s">
        <v>4</v>
      </c>
      <c r="I6" s="46" t="s">
        <v>77</v>
      </c>
    </row>
    <row r="7">
      <c r="A7" s="3"/>
      <c r="B7" s="41" t="s">
        <v>5</v>
      </c>
      <c r="C7" s="44">
        <v>45930</v>
      </c>
      <c r="D7" s="44">
        <v>46022</v>
      </c>
      <c r="E7" s="44">
        <v>46112</v>
      </c>
      <c r="F7" s="44">
        <v>46203</v>
      </c>
      <c r="G7" s="44">
        <v>46022</v>
      </c>
      <c r="H7" s="42">
        <v>46295</v>
      </c>
      <c r="I7" s="41"/>
    </row>
    <row r="8">
      <c r="A8" s="3"/>
      <c r="B8" s="7" t="s">
        <v>6</v>
      </c>
      <c r="C8" s="37">
        <v>92</v>
      </c>
      <c r="D8" s="37">
        <v>92</v>
      </c>
      <c r="E8" s="37">
        <v>90</v>
      </c>
      <c r="F8" s="37">
        <v>91</v>
      </c>
      <c r="G8" s="37">
        <v>365</v>
      </c>
      <c r="H8" s="29">
        <v>92</v>
      </c>
      <c r="I8" s="7"/>
    </row>
    <row r="9">
      <c r="A9" s="3"/>
      <c r="B9" s="3"/>
      <c r="C9" s="3"/>
      <c r="D9" s="3"/>
      <c r="E9" s="3"/>
      <c r="F9" s="3"/>
      <c r="G9" s="3"/>
      <c r="H9" s="3"/>
      <c r="I9" s="3"/>
    </row>
    <row r="10">
      <c r="A10" s="3"/>
      <c r="B10" s="15" t="s">
        <v>571</v>
      </c>
      <c r="C10" s="22"/>
      <c r="D10" s="22"/>
      <c r="E10" s="22"/>
      <c r="F10" s="22"/>
      <c r="G10" s="22"/>
      <c r="H10" s="39"/>
      <c r="I10" s="3"/>
    </row>
    <row r="11">
      <c r="A11" s="3"/>
      <c r="B11" s="3" t="s">
        <v>572</v>
      </c>
      <c r="C11" s="27">
        <v>649</v>
      </c>
      <c r="D11" s="27">
        <v>649</v>
      </c>
      <c r="E11" s="27">
        <v>652</v>
      </c>
      <c r="F11" s="27">
        <v>654</v>
      </c>
      <c r="G11" s="27">
        <v>648</v>
      </c>
      <c r="H11" s="30">
        <v>655</v>
      </c>
      <c r="I11" s="11" t="s">
        <v>573</v>
      </c>
    </row>
    <row r="12">
      <c r="A12" s="3"/>
      <c r="B12" s="6" t="s">
        <v>80</v>
      </c>
      <c r="C12" s="36">
        <v>641</v>
      </c>
      <c r="D12" s="36">
        <v>642</v>
      </c>
      <c r="E12" s="36">
        <v>644</v>
      </c>
      <c r="F12" s="36">
        <v>649</v>
      </c>
      <c r="G12" s="36">
        <v>641</v>
      </c>
      <c r="H12" s="43">
        <f>C11</f>
        <v>649</v>
      </c>
      <c r="I12" s="11" t="s">
        <v>94</v>
      </c>
    </row>
    <row r="13">
      <c r="A13" s="3"/>
      <c r="B13" s="6" t="s">
        <v>81</v>
      </c>
      <c r="C13" s="12">
        <f>IFERROR(C11/C12-1,"n.a.")</f>
        <v>0.012480499219968744</v>
      </c>
      <c r="D13" s="12">
        <f>IFERROR(D11/D12-1,"n.a.")</f>
        <v>0.010903426791277315</v>
      </c>
      <c r="E13" s="12">
        <f>IFERROR(E11/E12-1,"n.a.")</f>
        <v>0.012422360248447228</v>
      </c>
      <c r="F13" s="12">
        <f>IFERROR(F11/F12-1,"n.a.")</f>
        <v>0.007704160246533087</v>
      </c>
      <c r="G13" s="12">
        <f>IFERROR(G11/G12-1,"n.a.")</f>
        <v>0.010920436817472678</v>
      </c>
      <c r="H13" s="57">
        <f>IFERROR(H11/C11-1,"n.a.")</f>
        <v>0.009244992295839749</v>
      </c>
      <c r="I13" s="3"/>
    </row>
    <row r="14">
      <c r="A14" s="3"/>
      <c r="B14" s="3" t="s">
        <v>95</v>
      </c>
      <c r="C14" s="22">
        <f>IFERROR(C11-F12,"n.a.")</f>
        <v>0</v>
      </c>
      <c r="D14" s="22">
        <f>IFERROR(D11-C11,"n.a.")</f>
        <v>0</v>
      </c>
      <c r="E14" s="22">
        <f>IFERROR(E11-D11,"n.a.")</f>
        <v>3</v>
      </c>
      <c r="F14" s="22">
        <f>IFERROR(F11-E11,"n.a.")</f>
        <v>2</v>
      </c>
      <c r="G14" s="22" t="s">
        <v>38</v>
      </c>
      <c r="H14" s="39">
        <f>IFERROR(H11-F11,"n.a.")</f>
        <v>1</v>
      </c>
      <c r="I14" s="3"/>
    </row>
    <row r="15" ht="14.624267578125">
      <c r="A15" s="3"/>
      <c r="B15" s="3" t="s">
        <v>574</v>
      </c>
      <c r="C15" s="22">
        <f>C16-C11</f>
        <v>5</v>
      </c>
      <c r="D15" s="22">
        <f>D16-D11</f>
        <v>7</v>
      </c>
      <c r="E15" s="22">
        <f>E16-E11</f>
        <v>0</v>
      </c>
      <c r="F15" s="22">
        <f>F16-F11</f>
        <v>4</v>
      </c>
      <c r="G15" s="22">
        <f>G16-G11</f>
        <v>6</v>
      </c>
      <c r="H15" s="30">
        <v>4</v>
      </c>
      <c r="I15" s="11" t="s">
        <v>575</v>
      </c>
    </row>
    <row r="16">
      <c r="A16" s="3"/>
      <c r="B16" s="15" t="s">
        <v>576</v>
      </c>
      <c r="C16" s="62">
        <v>654</v>
      </c>
      <c r="D16" s="62">
        <v>656</v>
      </c>
      <c r="E16" s="62">
        <v>652</v>
      </c>
      <c r="F16" s="62">
        <v>658</v>
      </c>
      <c r="G16" s="62">
        <v>654</v>
      </c>
      <c r="H16" s="40">
        <f>H11+H15</f>
        <v>659</v>
      </c>
      <c r="I16" s="11" t="s">
        <v>577</v>
      </c>
    </row>
    <row r="17">
      <c r="A17" s="3"/>
      <c r="B17" s="6" t="s">
        <v>80</v>
      </c>
      <c r="C17" s="36">
        <v>647</v>
      </c>
      <c r="D17" s="36">
        <v>652</v>
      </c>
      <c r="E17" s="36">
        <v>652</v>
      </c>
      <c r="F17" s="36">
        <v>652</v>
      </c>
      <c r="G17" s="36">
        <v>648</v>
      </c>
      <c r="H17" s="43">
        <f>C16</f>
        <v>654</v>
      </c>
      <c r="I17" s="11" t="s">
        <v>94</v>
      </c>
    </row>
    <row r="18">
      <c r="A18" s="3"/>
      <c r="B18" s="6" t="s">
        <v>81</v>
      </c>
      <c r="C18" s="12">
        <f>IFERROR(C16/C17-1,"n.a.")</f>
        <v>0.010819165378670892</v>
      </c>
      <c r="D18" s="12">
        <f>IFERROR(D16/D17-1,"n.a.")</f>
        <v>0.006134969325153339</v>
      </c>
      <c r="E18" s="12">
        <f>IFERROR(E16/E17-1,"n.a.")</f>
        <v>0</v>
      </c>
      <c r="F18" s="12">
        <f>IFERROR(F16/F17-1,"n.a.")</f>
        <v>0.009202453987730008</v>
      </c>
      <c r="G18" s="12">
        <f>IFERROR(G16/G17-1,"n.a.")</f>
        <v>0.0092592592592593</v>
      </c>
      <c r="H18" s="57">
        <f>IFERROR(H16/C16-1,"n.a.")</f>
        <v>0.007645259938837912</v>
      </c>
      <c r="I18" s="3"/>
    </row>
    <row r="19">
      <c r="A19" s="3"/>
      <c r="B19" s="3" t="s">
        <v>95</v>
      </c>
      <c r="C19" s="22">
        <f>IFERROR(C16-F17,"n.a.")</f>
        <v>2</v>
      </c>
      <c r="D19" s="22">
        <f>IFERROR(D16-C16,"n.a.")</f>
        <v>2</v>
      </c>
      <c r="E19" s="22">
        <f>IFERROR(E16-D16,"n.a.")</f>
        <v>-4</v>
      </c>
      <c r="F19" s="22">
        <f>IFERROR(F16-E16,"n.a.")</f>
        <v>6</v>
      </c>
      <c r="G19" s="22" t="s">
        <v>38</v>
      </c>
      <c r="H19" s="39">
        <f>IFERROR(H16-F16,"n.a.")</f>
        <v>1</v>
      </c>
      <c r="I19" s="3"/>
    </row>
    <row r="20">
      <c r="A20" s="3"/>
      <c r="B20" s="3" t="s">
        <v>578</v>
      </c>
      <c r="C20" s="22">
        <f>C16</f>
        <v>654</v>
      </c>
      <c r="D20" s="22">
        <f>D16</f>
        <v>656</v>
      </c>
      <c r="E20" s="27">
        <v>657</v>
      </c>
      <c r="F20" s="22">
        <f>F16</f>
        <v>658</v>
      </c>
      <c r="G20" s="22">
        <f>G16</f>
        <v>654</v>
      </c>
      <c r="H20" s="39">
        <f>H16</f>
        <v>659</v>
      </c>
      <c r="I20" s="11" t="s">
        <v>579</v>
      </c>
    </row>
    <row r="21">
      <c r="A21" s="3"/>
      <c r="B21" s="3"/>
      <c r="C21" s="22"/>
      <c r="D21" s="22"/>
      <c r="E21" s="22"/>
      <c r="F21" s="22"/>
      <c r="G21" s="22"/>
      <c r="H21" s="39"/>
      <c r="I21" s="3"/>
    </row>
    <row r="22">
      <c r="A22" s="3"/>
      <c r="B22" s="15" t="s">
        <v>580</v>
      </c>
      <c r="C22" s="22"/>
      <c r="D22" s="22"/>
      <c r="E22" s="22"/>
      <c r="F22" s="22"/>
      <c r="G22" s="22"/>
      <c r="H22" s="39"/>
      <c r="I22" s="3"/>
    </row>
    <row r="23">
      <c r="A23" s="3"/>
      <c r="B23" s="3" t="s">
        <v>581</v>
      </c>
      <c r="C23" s="27">
        <v>652.962768</v>
      </c>
      <c r="D23" s="27">
        <v>653.171237</v>
      </c>
      <c r="E23" s="27">
        <v>656.994112</v>
      </c>
      <c r="F23" s="27">
        <v>657.62303</v>
      </c>
      <c r="G23" s="22">
        <f>D23</f>
        <v>653.171237</v>
      </c>
      <c r="H23" s="39">
        <f>F23+H24-H25</f>
        <v>658.12303</v>
      </c>
      <c r="I23" s="11" t="s">
        <v>582</v>
      </c>
    </row>
    <row r="24" ht="14.624267578125">
      <c r="A24" s="3"/>
      <c r="B24" s="3" t="s">
        <v>583</v>
      </c>
      <c r="C24" s="22" t="s">
        <v>38</v>
      </c>
      <c r="D24" s="22" t="s">
        <v>38</v>
      </c>
      <c r="E24" s="27">
        <v>1.9</v>
      </c>
      <c r="F24" s="22" t="s">
        <v>38</v>
      </c>
      <c r="G24" s="22" t="s">
        <v>38</v>
      </c>
      <c r="H24" s="30">
        <v>0.5</v>
      </c>
      <c r="I24" s="11" t="s">
        <v>584</v>
      </c>
    </row>
    <row r="25">
      <c r="A25" s="3"/>
      <c r="B25" s="3" t="s">
        <v>585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30">
        <v>0</v>
      </c>
      <c r="I25" s="11" t="s">
        <v>586</v>
      </c>
    </row>
    <row r="26">
      <c r="A26" s="3"/>
      <c r="B26" s="3" t="s">
        <v>587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30">
        <v>0</v>
      </c>
      <c r="I26" s="11" t="s">
        <v>588</v>
      </c>
    </row>
    <row r="27" ht="14.624267578125">
      <c r="A27" s="3"/>
      <c r="B27" s="3" t="s">
        <v>589</v>
      </c>
      <c r="C27" s="24">
        <v>0.1875</v>
      </c>
      <c r="D27" s="18" t="s">
        <v>38</v>
      </c>
      <c r="E27" s="18" t="s">
        <v>38</v>
      </c>
      <c r="F27" s="24">
        <v>0.1875</v>
      </c>
      <c r="G27" s="18" t="s">
        <v>38</v>
      </c>
      <c r="H27" s="60">
        <v>0.215</v>
      </c>
      <c r="I27" s="11" t="s">
        <v>590</v>
      </c>
    </row>
    <row r="28">
      <c r="A28" s="3"/>
      <c r="B28" s="3" t="s">
        <v>591</v>
      </c>
      <c r="C28" s="23">
        <f>-'Cash Flow Statement'!C42</f>
        <v>122</v>
      </c>
      <c r="D28" s="23">
        <f>-'Cash Flow Statement'!D42</f>
        <v>122</v>
      </c>
      <c r="E28" s="23">
        <f>-'Cash Flow Statement'!E42</f>
        <v>129</v>
      </c>
      <c r="F28" s="23">
        <f>-'Cash Flow Statement'!F42</f>
        <v>123</v>
      </c>
      <c r="G28" s="23">
        <f>-'Cash Flow Statement'!G42</f>
        <v>440</v>
      </c>
      <c r="H28" s="47">
        <f>-'Cash Flow Statement'!H42</f>
        <v>140.825</v>
      </c>
      <c r="I28" s="3"/>
    </row>
    <row r="29">
      <c r="A29" s="3"/>
      <c r="B29" s="3"/>
      <c r="C29" s="22"/>
      <c r="D29" s="22"/>
      <c r="E29" s="22"/>
      <c r="F29" s="22"/>
      <c r="G29" s="22"/>
      <c r="H29" s="39"/>
      <c r="I29" s="3"/>
    </row>
    <row r="30">
      <c r="A30" s="3"/>
      <c r="B30" s="15" t="s">
        <v>592</v>
      </c>
      <c r="C30" s="22"/>
      <c r="D30" s="22"/>
      <c r="E30" s="22"/>
      <c r="F30" s="22"/>
      <c r="G30" s="22"/>
      <c r="H30" s="39"/>
      <c r="I30" s="3"/>
    </row>
    <row r="31">
      <c r="A31" s="3"/>
      <c r="B31" s="15" t="s">
        <v>593</v>
      </c>
      <c r="C31" s="26">
        <f>C20</f>
        <v>654</v>
      </c>
      <c r="D31" s="26">
        <f>D20</f>
        <v>656</v>
      </c>
      <c r="E31" s="26">
        <f>E20</f>
        <v>657</v>
      </c>
      <c r="F31" s="26">
        <f>F20</f>
        <v>658</v>
      </c>
      <c r="G31" s="26">
        <f>G20</f>
        <v>654</v>
      </c>
      <c r="H31" s="40">
        <f>H20</f>
        <v>659</v>
      </c>
      <c r="I31" s="3"/>
    </row>
    <row r="32">
      <c r="A32" s="3"/>
      <c r="B32" s="3" t="s">
        <v>594</v>
      </c>
      <c r="C32" s="23">
        <f>'Income Statement'!C126</f>
        <v>1114</v>
      </c>
      <c r="D32" s="23">
        <f>'Income Statement'!D126</f>
        <v>1014</v>
      </c>
      <c r="E32" s="23">
        <f>'Income Statement'!E126</f>
        <v>422</v>
      </c>
      <c r="F32" s="23">
        <f>'Income Statement'!F126</f>
        <v>1028</v>
      </c>
      <c r="G32" s="23">
        <f>'Income Statement'!G126</f>
        <v>3799</v>
      </c>
      <c r="H32" s="47">
        <f>'Income Statement'!H126</f>
        <v>1081.368237793567</v>
      </c>
      <c r="I32" s="3"/>
    </row>
    <row r="33">
      <c r="A33" s="3"/>
      <c r="B33" s="3" t="s">
        <v>595</v>
      </c>
      <c r="C33" s="18">
        <f>C32/C31</f>
        <v>1.7033639143730888</v>
      </c>
      <c r="D33" s="18">
        <f>D32/D31</f>
        <v>1.545731707317073</v>
      </c>
      <c r="E33" s="18">
        <f>E32/E31</f>
        <v>0.6423135464231354</v>
      </c>
      <c r="F33" s="18">
        <f>F32/F31</f>
        <v>1.5623100303951367</v>
      </c>
      <c r="G33" s="18">
        <f>G32/G31</f>
        <v>5.808868501529052</v>
      </c>
      <c r="H33" s="61">
        <f>H32/H31</f>
        <v>1.6409229708551851</v>
      </c>
      <c r="I33" s="3"/>
    </row>
    <row r="34">
      <c r="A34" s="3"/>
      <c r="B34" s="6" t="s">
        <v>596</v>
      </c>
      <c r="C34" s="72" t="b">
        <f>ABS(C33-'Income Statement'!C128)&lt;0.0001</f>
        <v>1</v>
      </c>
      <c r="D34" s="72" t="b">
        <f>ABS(D33-'Income Statement'!D128)&lt;0.0001</f>
        <v>1</v>
      </c>
      <c r="E34" s="72" t="b">
        <f>ABS(E33-'Income Statement'!E128)&lt;0.0001</f>
        <v>1</v>
      </c>
      <c r="F34" s="72" t="b">
        <f>ABS(F33-'Income Statement'!F128)&lt;0.0001</f>
        <v>1</v>
      </c>
      <c r="G34" s="72" t="b">
        <f>ABS(G33-'Income Statement'!G128)&lt;0.0001</f>
        <v>1</v>
      </c>
      <c r="H34" s="71" t="b">
        <f>ABS(H33-'Income Statement'!H128)&lt;0.0001</f>
        <v>1</v>
      </c>
      <c r="I34" s="11" t="s">
        <v>597</v>
      </c>
    </row>
    <row r="35">
      <c r="A35" s="3"/>
      <c r="B35" s="3"/>
      <c r="C35" s="3"/>
      <c r="D35" s="3"/>
      <c r="E35" s="3"/>
      <c r="F35" s="3"/>
      <c r="G35" s="3"/>
      <c r="H35" s="3"/>
      <c r="I35" s="3"/>
    </row>
    <row r="36">
      <c r="A36" s="3"/>
      <c r="B36" s="3"/>
      <c r="C36" s="3"/>
      <c r="D36" s="3"/>
      <c r="E36" s="3"/>
      <c r="F36" s="3"/>
      <c r="G36" s="3"/>
      <c r="H36" s="3"/>
      <c r="I36" s="3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15" t="s">
        <v>598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46" t="s">
        <v>3</v>
      </c>
      <c r="C6" s="35" t="s">
        <v>4</v>
      </c>
      <c r="D6" s="3"/>
      <c r="E6" s="3"/>
      <c r="F6" s="3"/>
      <c r="G6" s="3"/>
      <c r="H6" s="3"/>
      <c r="I6" s="3"/>
      <c r="J6" s="3"/>
      <c r="K6" s="3"/>
    </row>
    <row r="7">
      <c r="A7" s="3"/>
      <c r="B7" s="41" t="s">
        <v>5</v>
      </c>
      <c r="C7" s="42">
        <v>46295</v>
      </c>
      <c r="D7" s="3"/>
      <c r="E7" s="3"/>
      <c r="F7" s="3"/>
      <c r="G7" s="3"/>
      <c r="H7" s="3"/>
      <c r="I7" s="3"/>
      <c r="J7" s="3"/>
      <c r="K7" s="3"/>
    </row>
    <row r="8">
      <c r="A8" s="3"/>
      <c r="B8" s="7" t="s">
        <v>6</v>
      </c>
      <c r="C8" s="29">
        <v>92</v>
      </c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33">
      <c r="A10" s="3"/>
      <c r="B10" s="50" t="s">
        <v>599</v>
      </c>
      <c r="C10" s="13" t="s">
        <v>600</v>
      </c>
      <c r="D10" s="13" t="s">
        <v>3</v>
      </c>
      <c r="E10" s="13" t="s">
        <v>601</v>
      </c>
      <c r="F10" s="13" t="s">
        <v>602</v>
      </c>
      <c r="G10" s="13" t="s">
        <v>603</v>
      </c>
      <c r="H10" s="13" t="s">
        <v>604</v>
      </c>
      <c r="I10" s="13" t="s">
        <v>605</v>
      </c>
      <c r="J10" s="13" t="s">
        <v>57</v>
      </c>
      <c r="K10" s="3"/>
    </row>
    <row r="11">
      <c r="A11" s="3"/>
      <c r="B11" s="3" t="s">
        <v>606</v>
      </c>
      <c r="C11" s="1">
        <v>45848</v>
      </c>
      <c r="D11" s="14" t="s">
        <v>607</v>
      </c>
      <c r="E11" s="24">
        <v>1.25</v>
      </c>
      <c r="F11" s="24">
        <v>1.75</v>
      </c>
      <c r="G11" s="18">
        <f>AVERAGE(E11,F11)</f>
        <v>1.5</v>
      </c>
      <c r="H11" s="8">
        <f>'Income Statement'!C131</f>
        <v>1.7</v>
      </c>
      <c r="I11" s="17" t="str">
        <f>IF(ISNUMBER(H11),IF(H11&gt;F11,"Beat - above range",IF(H11&gt;=G11,"Above midpoint",IF(H11&gt;=E11,"Below midpoint","Miss - below range"))),"Pending")</f>
        <v>Above midpoint</v>
      </c>
      <c r="J11" s="17" t="s">
        <v>608</v>
      </c>
      <c r="K11" s="11" t="s">
        <v>609</v>
      </c>
    </row>
    <row r="12">
      <c r="A12" s="3"/>
      <c r="B12" s="6" t="s">
        <v>610</v>
      </c>
      <c r="C12" s="21">
        <v>45848</v>
      </c>
      <c r="D12" s="10" t="s">
        <v>607</v>
      </c>
      <c r="E12" s="4">
        <v>0</v>
      </c>
      <c r="F12" s="4">
        <v>0.04</v>
      </c>
      <c r="G12" s="12">
        <f>AVERAGE(E12,F12)</f>
        <v>0.02</v>
      </c>
      <c r="H12" s="9">
        <f>'Revenue summary'!C91</f>
        <v>0.041318350006852134</v>
      </c>
      <c r="I12" s="2" t="str">
        <f>IF(ISNUMBER(H12),IF(H12&gt;F12,"Beat - above range",IF(H12&gt;=G12,"Above midpoint",IF(H12&gt;=E12,"Below midpoint","Miss - below range"))),"Pending")</f>
        <v>Beat - above range</v>
      </c>
      <c r="J12" s="2" t="s">
        <v>608</v>
      </c>
      <c r="K12" s="11" t="s">
        <v>609</v>
      </c>
    </row>
    <row r="13">
      <c r="A13" s="3"/>
      <c r="B13" s="6" t="s">
        <v>46</v>
      </c>
      <c r="C13" s="21">
        <v>45848</v>
      </c>
      <c r="D13" s="10" t="s">
        <v>607</v>
      </c>
      <c r="E13" s="4">
        <v>0.09</v>
      </c>
      <c r="F13" s="4">
        <v>0.11</v>
      </c>
      <c r="G13" s="12">
        <f>AVERAGE(E13,F13)</f>
        <v>0.1</v>
      </c>
      <c r="H13" s="4">
        <v>0.112</v>
      </c>
      <c r="I13" s="2" t="str">
        <f>IF(ISNUMBER(H13),IF(H13&gt;F13,"Beat - above range",IF(H13&gt;=G13,"Above midpoint",IF(H13&gt;=E13,"Below midpoint","Miss - below range"))),"Pending")</f>
        <v>Beat - above range</v>
      </c>
      <c r="J13" s="2" t="s">
        <v>611</v>
      </c>
      <c r="K13" s="11" t="s">
        <v>612</v>
      </c>
    </row>
    <row r="14">
      <c r="A14" s="3"/>
      <c r="B14" s="3" t="s">
        <v>606</v>
      </c>
      <c r="C14" s="1">
        <v>45848</v>
      </c>
      <c r="D14" s="14" t="s">
        <v>613</v>
      </c>
      <c r="E14" s="24">
        <v>5.25</v>
      </c>
      <c r="F14" s="24">
        <v>6.25</v>
      </c>
      <c r="G14" s="18">
        <f>AVERAGE(E14,F14)</f>
        <v>5.75</v>
      </c>
      <c r="H14" s="8">
        <f>'Income Statement'!G131</f>
        <v>5.81</v>
      </c>
      <c r="I14" s="17" t="str">
        <f>IF(ISNUMBER(H14),IF(H14&gt;F14,"Beat - above range",IF(H14&gt;=G14,"Above midpoint",IF(H14&gt;=E14,"Below midpoint","Miss - below range"))),"Pending")</f>
        <v>Above midpoint</v>
      </c>
      <c r="J14" s="17" t="s">
        <v>608</v>
      </c>
      <c r="K14" s="11" t="s">
        <v>609</v>
      </c>
    </row>
    <row r="15">
      <c r="A15" s="3"/>
      <c r="B15" s="3" t="s">
        <v>606</v>
      </c>
      <c r="C15" s="1">
        <v>45939</v>
      </c>
      <c r="D15" s="14" t="s">
        <v>614</v>
      </c>
      <c r="E15" s="24">
        <v>1.6</v>
      </c>
      <c r="F15" s="24">
        <v>1.9</v>
      </c>
      <c r="G15" s="18">
        <f>AVERAGE(E15,F15)</f>
        <v>1.75</v>
      </c>
      <c r="H15" s="8">
        <f>'Income Statement'!D131</f>
        <v>1.55</v>
      </c>
      <c r="I15" s="17" t="str">
        <f>IF(ISNUMBER(H15),IF(H15&gt;F15,"Beat - above range",IF(H15&gt;=G15,"Above midpoint",IF(H15&gt;=E15,"Below midpoint","Miss - below range"))),"Pending")</f>
        <v>Miss - below range</v>
      </c>
      <c r="J15" s="17" t="s">
        <v>615</v>
      </c>
      <c r="K15" s="11" t="s">
        <v>616</v>
      </c>
    </row>
    <row r="16">
      <c r="A16" s="3"/>
      <c r="B16" s="6" t="s">
        <v>610</v>
      </c>
      <c r="C16" s="21">
        <v>45939</v>
      </c>
      <c r="D16" s="10" t="s">
        <v>614</v>
      </c>
      <c r="E16" s="4">
        <v>0.02</v>
      </c>
      <c r="F16" s="4">
        <v>0.04</v>
      </c>
      <c r="G16" s="12">
        <f>AVERAGE(E16,F16)</f>
        <v>0.03</v>
      </c>
      <c r="H16" s="9">
        <f>'Revenue summary'!D91</f>
        <v>0.011706033109371683</v>
      </c>
      <c r="I16" s="2" t="str">
        <f>IF(ISNUMBER(H16),IF(H16&gt;F16,"Beat - above range",IF(H16&gt;=G16,"Above midpoint",IF(H16&gt;=E16,"Below midpoint","Miss - below range"))),"Pending")</f>
        <v>Miss - below range</v>
      </c>
      <c r="J16" s="2" t="s">
        <v>615</v>
      </c>
      <c r="K16" s="11" t="s">
        <v>616</v>
      </c>
    </row>
    <row r="17">
      <c r="A17" s="3"/>
      <c r="B17" s="6" t="s">
        <v>46</v>
      </c>
      <c r="C17" s="21">
        <v>45939</v>
      </c>
      <c r="D17" s="10" t="s">
        <v>614</v>
      </c>
      <c r="E17" s="4">
        <v>0.105</v>
      </c>
      <c r="F17" s="4">
        <v>0.12</v>
      </c>
      <c r="G17" s="12">
        <f>AVERAGE(E17,F17)</f>
        <v>0.11249999999999999</v>
      </c>
      <c r="H17" s="9">
        <f>'Income Statement'!D138</f>
        <v>0.10064357113514993</v>
      </c>
      <c r="I17" s="2" t="str">
        <f>IF(ISNUMBER(H17),IF(H17&gt;F17,"Beat - above range",IF(H17&gt;=G17,"Above midpoint",IF(H17&gt;=E17,"Below midpoint","Miss - below range"))),"Pending")</f>
        <v>Miss - below range</v>
      </c>
      <c r="J17" s="2" t="s">
        <v>615</v>
      </c>
      <c r="K17" s="11" t="s">
        <v>616</v>
      </c>
    </row>
    <row r="18">
      <c r="A18" s="3"/>
      <c r="B18" s="3" t="s">
        <v>606</v>
      </c>
      <c r="C18" s="1">
        <v>46035</v>
      </c>
      <c r="D18" s="14" t="s">
        <v>617</v>
      </c>
      <c r="E18" s="24">
        <v>0.5</v>
      </c>
      <c r="F18" s="24">
        <v>0.9</v>
      </c>
      <c r="G18" s="18">
        <f>AVERAGE(E18,F18)</f>
        <v>0.7</v>
      </c>
      <c r="H18" s="8">
        <f>'Income Statement'!E131</f>
        <v>0.64</v>
      </c>
      <c r="I18" s="17" t="str">
        <f>IF(ISNUMBER(H18),IF(H18&gt;F18,"Beat - above range",IF(H18&gt;=G18,"Above midpoint",IF(H18&gt;=E18,"Below midpoint","Miss - below range"))),"Pending")</f>
        <v>Below midpoint</v>
      </c>
      <c r="J18" s="17" t="s">
        <v>618</v>
      </c>
      <c r="K18" s="11" t="s">
        <v>619</v>
      </c>
    </row>
    <row r="19">
      <c r="A19" s="3"/>
      <c r="B19" s="6" t="s">
        <v>610</v>
      </c>
      <c r="C19" s="21">
        <v>46035</v>
      </c>
      <c r="D19" s="10" t="s">
        <v>617</v>
      </c>
      <c r="E19" s="4">
        <v>0.05</v>
      </c>
      <c r="F19" s="4">
        <v>0.07</v>
      </c>
      <c r="G19" s="12">
        <f>AVERAGE(E19,F19)</f>
        <v>0.060000000000000005</v>
      </c>
      <c r="H19" s="9">
        <f>'Revenue summary'!E91</f>
        <v>0.09415934658653113</v>
      </c>
      <c r="I19" s="2" t="str">
        <f>IF(ISNUMBER(H19),IF(H19&gt;F19,"Beat - above range",IF(H19&gt;=G19,"Above midpoint",IF(H19&gt;=E19,"Below midpoint","Miss - below range"))),"Pending")</f>
        <v>Beat - above range</v>
      </c>
      <c r="J19" s="2" t="s">
        <v>618</v>
      </c>
      <c r="K19" s="11" t="s">
        <v>619</v>
      </c>
    </row>
    <row r="20">
      <c r="A20" s="3"/>
      <c r="B20" s="3" t="s">
        <v>606</v>
      </c>
      <c r="C20" s="1">
        <v>46120</v>
      </c>
      <c r="D20" s="14" t="s">
        <v>620</v>
      </c>
      <c r="E20" s="24">
        <v>1</v>
      </c>
      <c r="F20" s="24">
        <v>1.5</v>
      </c>
      <c r="G20" s="18">
        <f>AVERAGE(E20,F20)</f>
        <v>1.25</v>
      </c>
      <c r="H20" s="8">
        <f>'Income Statement'!F131</f>
        <v>1.56</v>
      </c>
      <c r="I20" s="17" t="str">
        <f>IF(ISNUMBER(H20),IF(H20&gt;F20,"Beat - above range",IF(H20&gt;=G20,"Above midpoint",IF(H20&gt;=E20,"Below midpoint","Miss - below range"))),"Pending")</f>
        <v>Beat - above range</v>
      </c>
      <c r="J20" s="17" t="s">
        <v>621</v>
      </c>
      <c r="K20" s="11" t="s">
        <v>381</v>
      </c>
    </row>
    <row r="21" ht="14.624267578125">
      <c r="A21" s="3"/>
      <c r="B21" s="6" t="s">
        <v>622</v>
      </c>
      <c r="C21" s="21">
        <v>46120</v>
      </c>
      <c r="D21" s="10" t="s">
        <v>620</v>
      </c>
      <c r="E21" s="4">
        <v>0.11</v>
      </c>
      <c r="F21" s="4">
        <v>0.13</v>
      </c>
      <c r="G21" s="12">
        <f>AVERAGE(E21,F21)</f>
        <v>0.12</v>
      </c>
      <c r="H21" s="9">
        <f>'Revenue summary'!F91</f>
        <v>0.13922744566969758</v>
      </c>
      <c r="I21" s="2" t="str">
        <f>IF(ISNUMBER(H21),IF(H21&gt;F21,"Beat - above range",IF(H21&gt;=G21,"Above midpoint",IF(H21&gt;=E21,"Below midpoint","Miss - below range"))),"Pending")</f>
        <v>Beat - above range</v>
      </c>
      <c r="J21" s="2" t="s">
        <v>621</v>
      </c>
      <c r="K21" s="11" t="s">
        <v>381</v>
      </c>
    </row>
    <row r="22">
      <c r="A22" s="3"/>
      <c r="B22" s="6" t="s">
        <v>46</v>
      </c>
      <c r="C22" s="21">
        <v>46120</v>
      </c>
      <c r="D22" s="10" t="s">
        <v>620</v>
      </c>
      <c r="E22" s="4">
        <v>0.06</v>
      </c>
      <c r="F22" s="4">
        <v>0.08</v>
      </c>
      <c r="G22" s="12">
        <f>AVERAGE(E22,F22)</f>
        <v>0.07</v>
      </c>
      <c r="H22" s="9">
        <f>'Income Statement'!F138</f>
        <v>0.08847503679384128</v>
      </c>
      <c r="I22" s="2" t="str">
        <f>IF(ISNUMBER(H22),IF(H22&gt;F22,"Beat - above range",IF(H22&gt;=G22,"Above midpoint",IF(H22&gt;=E22,"Below midpoint","Miss - below range"))),"Pending")</f>
        <v>Beat - above range</v>
      </c>
      <c r="J22" s="2" t="s">
        <v>621</v>
      </c>
      <c r="K22" s="11" t="s">
        <v>381</v>
      </c>
    </row>
    <row r="23">
      <c r="A23" s="3"/>
      <c r="B23" s="3" t="s">
        <v>623</v>
      </c>
      <c r="C23" s="1">
        <v>46213</v>
      </c>
      <c r="D23" s="14" t="s">
        <v>624</v>
      </c>
      <c r="E23" s="24">
        <v>2</v>
      </c>
      <c r="F23" s="24">
        <v>2.5</v>
      </c>
      <c r="G23" s="18">
        <f>AVERAGE(E23,F23)</f>
        <v>2.25</v>
      </c>
      <c r="H23" s="8">
        <f>'Income Statement'!H128</f>
        <v>1.6409229708551851</v>
      </c>
      <c r="I23" s="17" t="str">
        <f>IF(ISNUMBER(H23),IF(H23&gt;F23,"Est. above range",IF(H23&gt;=G23,"Est. above midpoint",IF(H23&gt;=E23,"Est. below midpoint","Est. below range"))),"Pending")</f>
        <v>Est. below range</v>
      </c>
      <c r="J23" s="17" t="s">
        <v>625</v>
      </c>
      <c r="K23" s="11" t="s">
        <v>215</v>
      </c>
    </row>
    <row r="24">
      <c r="A24" s="3"/>
      <c r="B24" s="6" t="s">
        <v>626</v>
      </c>
      <c r="C24" s="21">
        <v>46213</v>
      </c>
      <c r="D24" s="10" t="s">
        <v>624</v>
      </c>
      <c r="E24" s="4">
        <v>0.14</v>
      </c>
      <c r="F24" s="4">
        <v>0.16</v>
      </c>
      <c r="G24" s="12">
        <f>AVERAGE(E24,F24)</f>
        <v>0.15000000000000002</v>
      </c>
      <c r="H24" s="9">
        <f>'Revenue summary'!H91</f>
        <v>0.1686214960189507</v>
      </c>
      <c r="I24" s="2" t="str">
        <f>IF(ISNUMBER(H24),IF(H24&gt;F24,"Est. above range",IF(H24&gt;=G24,"Est. above midpoint",IF(H24&gt;=E24,"Est. below midpoint","Est. below range"))),"Pending")</f>
        <v>Est. above range</v>
      </c>
      <c r="J24" s="2" t="s">
        <v>625</v>
      </c>
      <c r="K24" s="11" t="s">
        <v>215</v>
      </c>
    </row>
    <row r="25" ht="14.624267578125">
      <c r="A25" s="3"/>
      <c r="B25" s="6" t="s">
        <v>627</v>
      </c>
      <c r="C25" s="21">
        <v>46213</v>
      </c>
      <c r="D25" s="10" t="s">
        <v>624</v>
      </c>
      <c r="E25" s="4">
        <v>0.11</v>
      </c>
      <c r="F25" s="4">
        <v>0.13</v>
      </c>
      <c r="G25" s="12">
        <f>AVERAGE(E25,F25)</f>
        <v>0.12</v>
      </c>
      <c r="H25" s="9">
        <f>'Income Statement'!H138</f>
        <v>0.09078364260625116</v>
      </c>
      <c r="I25" s="2" t="str">
        <f>IF(ISNUMBER(H25),IF(H25&gt;F25,"Est. above range",IF(H25&gt;=G25,"Est. above midpoint",IF(H25&gt;=E25,"Est. below midpoint","Est. below range"))),"Pending")</f>
        <v>Est. below range</v>
      </c>
      <c r="J25" s="2" t="s">
        <v>625</v>
      </c>
      <c r="K25" s="11" t="s">
        <v>215</v>
      </c>
    </row>
    <row r="26" ht="14.624267578125">
      <c r="A26" s="3"/>
      <c r="B26" s="3" t="s">
        <v>628</v>
      </c>
      <c r="C26" s="1">
        <v>46213</v>
      </c>
      <c r="D26" s="14" t="s">
        <v>624</v>
      </c>
      <c r="E26" s="24">
        <v>3.15</v>
      </c>
      <c r="F26" s="24">
        <v>3.15</v>
      </c>
      <c r="G26" s="18">
        <f>AVERAGE(E26,F26)</f>
        <v>3.15</v>
      </c>
      <c r="H26" s="8">
        <f>'Segment - Airline'!H190</f>
        <v>3.844333333333333</v>
      </c>
      <c r="I26" s="17" t="str">
        <f>IF(ISNUMBER(H26),IF(H26&gt;F26,"Est. above range",IF(H26&gt;=G26,"Est. above midpoint",IF(H26&gt;=E26,"Est. below midpoint","Est. below range"))),"Pending")</f>
        <v>Est. above range</v>
      </c>
      <c r="J26" s="17" t="s">
        <v>625</v>
      </c>
      <c r="K26" s="11" t="s">
        <v>629</v>
      </c>
    </row>
    <row r="27">
      <c r="A27" s="3"/>
      <c r="B27" s="3" t="s">
        <v>606</v>
      </c>
      <c r="C27" s="1">
        <v>46035</v>
      </c>
      <c r="D27" s="14" t="s">
        <v>630</v>
      </c>
      <c r="E27" s="24">
        <v>6.5</v>
      </c>
      <c r="F27" s="24">
        <v>7.5</v>
      </c>
      <c r="G27" s="18">
        <f>AVERAGE(E27,F27)</f>
        <v>7</v>
      </c>
      <c r="H27" s="18" t="s">
        <v>38</v>
      </c>
      <c r="I27" s="17" t="str">
        <f>IF(ISNUMBER(H27),IF(H27&gt;F27,"Beat - above range",IF(H27&gt;=G27,"Above midpoint",IF(H27&gt;=E27,"Below midpoint","Miss - below range"))),"Pending")</f>
        <v>Pending</v>
      </c>
      <c r="J27" s="17" t="s">
        <v>631</v>
      </c>
      <c r="K27" s="11" t="s">
        <v>632</v>
      </c>
    </row>
    <row r="28">
      <c r="A28" s="3"/>
      <c r="B28" s="3" t="s">
        <v>633</v>
      </c>
      <c r="C28" s="1">
        <v>46035</v>
      </c>
      <c r="D28" s="14" t="s">
        <v>630</v>
      </c>
      <c r="E28" s="48">
        <v>3</v>
      </c>
      <c r="F28" s="48">
        <v>4</v>
      </c>
      <c r="G28" s="5">
        <f>AVERAGE(E28,F28)</f>
        <v>3.5</v>
      </c>
      <c r="H28" s="5" t="s">
        <v>38</v>
      </c>
      <c r="I28" s="17" t="str">
        <f>IF(ISNUMBER(H28),IF(H28&gt;F28,"Beat - above range",IF(H28&gt;=G28,"Above midpoint",IF(H28&gt;=E28,"Below midpoint","Miss - below range"))),"Pending")</f>
        <v>Pending</v>
      </c>
      <c r="J28" s="17" t="s">
        <v>631</v>
      </c>
      <c r="K28" s="11" t="s">
        <v>632</v>
      </c>
    </row>
    <row r="29">
      <c r="A29" s="3"/>
      <c r="B29" s="6" t="s">
        <v>634</v>
      </c>
      <c r="C29" s="6"/>
      <c r="D29" s="6"/>
      <c r="E29" s="6"/>
      <c r="F29" s="38">
        <f>F26</f>
        <v>3.15</v>
      </c>
      <c r="G29" s="3"/>
      <c r="H29" s="3"/>
      <c r="I29" s="3"/>
      <c r="J29" s="3"/>
      <c r="K29" s="3"/>
    </row>
    <row r="30" ht="23.24853515625">
      <c r="A30" s="3"/>
      <c r="B30" s="3" t="s">
        <v>635</v>
      </c>
      <c r="C30" s="3"/>
      <c r="D30" s="3"/>
      <c r="E30" s="3"/>
      <c r="F30" s="3"/>
      <c r="G30" s="3"/>
      <c r="H30" s="3"/>
      <c r="I30" s="3"/>
      <c r="J30" s="3"/>
      <c r="K30" s="3"/>
    </row>
    <row r="31" ht="40.4970703125">
      <c r="A31" s="3"/>
      <c r="B31" s="3" t="s">
        <v>636</v>
      </c>
      <c r="C31" s="3"/>
      <c r="D31" s="3"/>
      <c r="E31" s="3"/>
      <c r="F31" s="3"/>
      <c r="G31" s="3"/>
      <c r="H31" s="3"/>
      <c r="I31" s="3"/>
      <c r="J31" s="3"/>
      <c r="K31" s="3"/>
    </row>
    <row r="32" ht="40.4970703125">
      <c r="A32" s="3"/>
      <c r="B32" s="3" t="s">
        <v>637</v>
      </c>
      <c r="C32" s="3"/>
      <c r="D32" s="3"/>
      <c r="E32" s="3"/>
      <c r="F32" s="3"/>
      <c r="G32" s="3"/>
      <c r="H32" s="3"/>
      <c r="I32" s="3"/>
      <c r="J32" s="3"/>
      <c r="K32" s="3"/>
    </row>
    <row r="33" ht="31.872802734375">
      <c r="A33" s="3"/>
      <c r="B33" s="3" t="s">
        <v>638</v>
      </c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ht="33">
      <c r="A35" s="3"/>
      <c r="B35" s="50" t="s">
        <v>639</v>
      </c>
      <c r="C35" s="13" t="s">
        <v>601</v>
      </c>
      <c r="D35" s="13" t="s">
        <v>602</v>
      </c>
      <c r="E35" s="13" t="s">
        <v>603</v>
      </c>
      <c r="F35" s="3"/>
      <c r="G35" s="3"/>
      <c r="H35" s="3"/>
      <c r="I35" s="3"/>
      <c r="J35" s="3"/>
      <c r="K35" s="3"/>
    </row>
    <row r="36">
      <c r="A36" s="3"/>
      <c r="B36" s="3" t="s">
        <v>606</v>
      </c>
      <c r="C36" s="18">
        <f>E23</f>
        <v>2</v>
      </c>
      <c r="D36" s="18">
        <f>F23</f>
        <v>2.5</v>
      </c>
      <c r="E36" s="18">
        <f>G23</f>
        <v>2.25</v>
      </c>
      <c r="F36" s="3"/>
      <c r="G36" s="3"/>
      <c r="H36" s="3"/>
      <c r="I36" s="3"/>
      <c r="J36" s="3"/>
      <c r="K36" s="3"/>
    </row>
    <row r="37">
      <c r="A37" s="3"/>
      <c r="B37" s="3" t="s">
        <v>640</v>
      </c>
      <c r="C37" s="23">
        <f>'Revenue summary'!C89*(1+E24)</f>
        <v>17324.58</v>
      </c>
      <c r="D37" s="23">
        <f>'Revenue summary'!C89*(1+F24)</f>
        <v>17628.52</v>
      </c>
      <c r="E37" s="22">
        <f>AVERAGE(C37,D37)</f>
        <v>17476.550000000003</v>
      </c>
      <c r="F37" s="3"/>
      <c r="G37" s="3"/>
      <c r="H37" s="3"/>
      <c r="I37" s="3"/>
      <c r="J37" s="3"/>
      <c r="K37" s="11" t="s">
        <v>641</v>
      </c>
    </row>
    <row r="38">
      <c r="A38" s="3"/>
      <c r="B38" s="3" t="s">
        <v>642</v>
      </c>
      <c r="C38" s="23">
        <f>Inputs!C61</f>
        <v>19173.95</v>
      </c>
      <c r="D38" s="23">
        <f>Inputs!C62</f>
        <v>19507.41</v>
      </c>
      <c r="E38" s="22">
        <f>AVERAGE(C38,D38)</f>
        <v>19340.68</v>
      </c>
      <c r="F38" s="3"/>
      <c r="G38" s="3"/>
      <c r="H38" s="3"/>
      <c r="I38" s="3"/>
      <c r="J38" s="3"/>
      <c r="K38" s="3"/>
    </row>
    <row r="39">
      <c r="A39" s="3"/>
      <c r="B39" s="3" t="s">
        <v>643</v>
      </c>
      <c r="C39" s="23">
        <f>C36*'Share Count'!H31</f>
        <v>1318</v>
      </c>
      <c r="D39" s="23">
        <f>D36*'Share Count'!H31</f>
        <v>1647.5</v>
      </c>
      <c r="E39" s="23">
        <f>E36*'Share Count'!H31</f>
        <v>1482.75</v>
      </c>
      <c r="F39" s="3"/>
      <c r="G39" s="3"/>
      <c r="H39" s="3"/>
      <c r="I39" s="3"/>
      <c r="J39" s="3"/>
      <c r="K39" s="11" t="s">
        <v>644</v>
      </c>
    </row>
    <row r="40" ht="14.624267578125">
      <c r="A40" s="3"/>
      <c r="B40" s="3" t="s">
        <v>645</v>
      </c>
      <c r="C40" s="8">
        <f>Inputs!C45</f>
        <v>2</v>
      </c>
      <c r="D40" s="8">
        <f>Inputs!C46</f>
        <v>2.5</v>
      </c>
      <c r="E40" s="18">
        <f>AVERAGE(C40,D40)</f>
        <v>2.25</v>
      </c>
      <c r="F40" s="3"/>
      <c r="G40" s="3"/>
      <c r="H40" s="3"/>
      <c r="I40" s="3"/>
      <c r="J40" s="3"/>
      <c r="K40" s="11" t="s">
        <v>646</v>
      </c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3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4" width="12" customWidth="1"/>
    <col min="5" max="5" width="22" customWidth="1"/>
    <col min="6" max="6" width="40" customWidth="1"/>
    <col min="7" max="7" width="95" customWidth="1"/>
    <col min="8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15" t="s">
        <v>647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46" t="s">
        <v>3</v>
      </c>
      <c r="C6" s="35" t="s">
        <v>4</v>
      </c>
      <c r="D6" s="3"/>
      <c r="E6" s="3"/>
      <c r="F6" s="3"/>
      <c r="G6" s="3"/>
      <c r="H6" s="3"/>
      <c r="I6" s="3"/>
      <c r="J6" s="3"/>
      <c r="K6" s="3"/>
    </row>
    <row r="7">
      <c r="A7" s="3"/>
      <c r="B7" s="41" t="s">
        <v>5</v>
      </c>
      <c r="C7" s="42">
        <v>46295</v>
      </c>
      <c r="D7" s="3"/>
      <c r="E7" s="3"/>
      <c r="F7" s="3"/>
      <c r="G7" s="3"/>
      <c r="H7" s="3"/>
      <c r="I7" s="3"/>
      <c r="J7" s="3"/>
      <c r="K7" s="3"/>
    </row>
    <row r="8">
      <c r="A8" s="3"/>
      <c r="B8" s="7" t="s">
        <v>6</v>
      </c>
      <c r="C8" s="29">
        <v>92</v>
      </c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33">
      <c r="A10" s="3"/>
      <c r="B10" s="50" t="s">
        <v>648</v>
      </c>
      <c r="C10" s="13" t="s">
        <v>649</v>
      </c>
      <c r="D10" s="13" t="s">
        <v>650</v>
      </c>
      <c r="E10" s="103" t="s">
        <v>651</v>
      </c>
      <c r="F10" s="95" t="s">
        <v>652</v>
      </c>
      <c r="G10" s="95" t="s">
        <v>653</v>
      </c>
      <c r="H10" s="3"/>
      <c r="I10" s="3"/>
      <c r="J10" s="3"/>
      <c r="K10" s="3"/>
    </row>
    <row r="11" ht="29.25">
      <c r="A11" s="3"/>
      <c r="B11" s="16" t="s">
        <v>654</v>
      </c>
      <c r="C11" s="19">
        <v>46299</v>
      </c>
      <c r="D11" s="19">
        <v>46300</v>
      </c>
      <c r="E11" s="102" t="s">
        <v>655</v>
      </c>
      <c r="F11" s="16" t="s">
        <v>656</v>
      </c>
      <c r="G11" s="20" t="s">
        <v>657</v>
      </c>
      <c r="H11" s="3"/>
      <c r="I11" s="3"/>
      <c r="J11" s="3"/>
      <c r="K11" s="3"/>
    </row>
    <row r="12" ht="29.25">
      <c r="A12" s="3"/>
      <c r="B12" s="16" t="s">
        <v>658</v>
      </c>
      <c r="C12" s="19">
        <v>46299</v>
      </c>
      <c r="D12" s="19">
        <v>46300</v>
      </c>
      <c r="E12" s="102" t="s">
        <v>655</v>
      </c>
      <c r="F12" s="16" t="s">
        <v>659</v>
      </c>
      <c r="G12" s="20" t="s">
        <v>660</v>
      </c>
      <c r="H12" s="3"/>
      <c r="I12" s="3"/>
      <c r="J12" s="3"/>
      <c r="K12" s="3"/>
    </row>
    <row r="13" ht="42">
      <c r="A13" s="3"/>
      <c r="B13" s="16" t="s">
        <v>661</v>
      </c>
      <c r="C13" s="19">
        <v>46213</v>
      </c>
      <c r="D13" s="19">
        <v>46300</v>
      </c>
      <c r="E13" s="102" t="s">
        <v>662</v>
      </c>
      <c r="F13" s="16" t="s">
        <v>663</v>
      </c>
      <c r="G13" s="20" t="s">
        <v>664</v>
      </c>
      <c r="H13" s="3"/>
      <c r="I13" s="3"/>
      <c r="J13" s="3"/>
      <c r="K13" s="3"/>
    </row>
    <row r="14" ht="42">
      <c r="A14" s="3"/>
      <c r="B14" s="16" t="s">
        <v>665</v>
      </c>
      <c r="C14" s="19">
        <v>46213</v>
      </c>
      <c r="D14" s="19">
        <v>46300</v>
      </c>
      <c r="E14" s="102" t="s">
        <v>662</v>
      </c>
      <c r="F14" s="16" t="s">
        <v>666</v>
      </c>
      <c r="G14" s="20" t="s">
        <v>667</v>
      </c>
      <c r="H14" s="3"/>
      <c r="I14" s="3"/>
      <c r="J14" s="3"/>
      <c r="K14" s="3"/>
    </row>
    <row r="15" ht="29.25">
      <c r="A15" s="3"/>
      <c r="B15" s="16" t="s">
        <v>668</v>
      </c>
      <c r="C15" s="19">
        <v>46120</v>
      </c>
      <c r="D15" s="19">
        <v>46300</v>
      </c>
      <c r="E15" s="102" t="s">
        <v>662</v>
      </c>
      <c r="F15" s="16" t="s">
        <v>669</v>
      </c>
      <c r="G15" s="20" t="s">
        <v>670</v>
      </c>
      <c r="H15" s="3"/>
      <c r="I15" s="3"/>
      <c r="J15" s="3"/>
      <c r="K15" s="3"/>
    </row>
    <row r="16" ht="29.25">
      <c r="A16" s="3"/>
      <c r="B16" s="16" t="s">
        <v>671</v>
      </c>
      <c r="C16" s="19">
        <v>46120</v>
      </c>
      <c r="D16" s="19">
        <v>46300</v>
      </c>
      <c r="E16" s="102" t="s">
        <v>662</v>
      </c>
      <c r="F16" s="16" t="s">
        <v>672</v>
      </c>
      <c r="G16" s="20" t="s">
        <v>673</v>
      </c>
      <c r="H16" s="3"/>
      <c r="I16" s="3"/>
      <c r="J16" s="3"/>
      <c r="K16" s="3"/>
    </row>
    <row r="17" ht="29.25">
      <c r="A17" s="3"/>
      <c r="B17" s="16" t="s">
        <v>674</v>
      </c>
      <c r="C17" s="19">
        <v>46035</v>
      </c>
      <c r="D17" s="19">
        <v>46300</v>
      </c>
      <c r="E17" s="102" t="s">
        <v>662</v>
      </c>
      <c r="F17" s="16" t="s">
        <v>675</v>
      </c>
      <c r="G17" s="20" t="s">
        <v>676</v>
      </c>
      <c r="H17" s="3"/>
      <c r="I17" s="3"/>
      <c r="J17" s="3"/>
      <c r="K17" s="3"/>
    </row>
    <row r="18" ht="29.25">
      <c r="A18" s="3"/>
      <c r="B18" s="16" t="s">
        <v>677</v>
      </c>
      <c r="C18" s="19">
        <v>46064</v>
      </c>
      <c r="D18" s="19">
        <v>46300</v>
      </c>
      <c r="E18" s="102" t="s">
        <v>662</v>
      </c>
      <c r="F18" s="16" t="s">
        <v>678</v>
      </c>
      <c r="G18" s="20" t="s">
        <v>679</v>
      </c>
      <c r="H18" s="3"/>
      <c r="I18" s="3"/>
      <c r="J18" s="3"/>
      <c r="K18" s="3"/>
    </row>
    <row r="19" ht="29.25">
      <c r="A19" s="3"/>
      <c r="B19" s="16" t="s">
        <v>680</v>
      </c>
      <c r="C19" s="19">
        <v>45939</v>
      </c>
      <c r="D19" s="19">
        <v>46300</v>
      </c>
      <c r="E19" s="102" t="s">
        <v>662</v>
      </c>
      <c r="F19" s="16" t="s">
        <v>681</v>
      </c>
      <c r="G19" s="20" t="s">
        <v>682</v>
      </c>
      <c r="H19" s="3"/>
      <c r="I19" s="3"/>
      <c r="J19" s="3"/>
      <c r="K19" s="3"/>
    </row>
    <row r="20" ht="29.25">
      <c r="A20" s="3"/>
      <c r="B20" s="16" t="s">
        <v>683</v>
      </c>
      <c r="C20" s="19">
        <v>45939</v>
      </c>
      <c r="D20" s="19">
        <v>46300</v>
      </c>
      <c r="E20" s="102" t="s">
        <v>662</v>
      </c>
      <c r="F20" s="16" t="s">
        <v>684</v>
      </c>
      <c r="G20" s="20" t="s">
        <v>685</v>
      </c>
      <c r="H20" s="3"/>
      <c r="I20" s="3"/>
      <c r="J20" s="3"/>
      <c r="K20" s="3"/>
    </row>
    <row r="21" ht="29.25">
      <c r="A21" s="3"/>
      <c r="B21" s="16" t="s">
        <v>686</v>
      </c>
      <c r="C21" s="19">
        <v>46213</v>
      </c>
      <c r="D21" s="19">
        <v>46300</v>
      </c>
      <c r="E21" s="102" t="s">
        <v>687</v>
      </c>
      <c r="F21" s="16" t="s">
        <v>688</v>
      </c>
      <c r="G21" s="20" t="s">
        <v>689</v>
      </c>
      <c r="H21" s="3"/>
      <c r="I21" s="3"/>
      <c r="J21" s="3"/>
      <c r="K21" s="3"/>
    </row>
    <row r="22" ht="29.25">
      <c r="A22" s="3"/>
      <c r="B22" s="16" t="s">
        <v>690</v>
      </c>
      <c r="C22" s="19">
        <v>45848</v>
      </c>
      <c r="D22" s="19">
        <v>46300</v>
      </c>
      <c r="E22" s="102" t="s">
        <v>662</v>
      </c>
      <c r="F22" s="16" t="s">
        <v>691</v>
      </c>
      <c r="G22" s="20" t="s">
        <v>692</v>
      </c>
      <c r="H22" s="3"/>
      <c r="I22" s="3"/>
      <c r="J22" s="3"/>
      <c r="K22" s="3"/>
    </row>
    <row r="23" ht="42">
      <c r="A23" s="3"/>
      <c r="B23" s="16" t="s">
        <v>693</v>
      </c>
      <c r="C23" s="19">
        <v>45994</v>
      </c>
      <c r="D23" s="19">
        <v>46300</v>
      </c>
      <c r="E23" s="102" t="s">
        <v>694</v>
      </c>
      <c r="F23" s="16" t="s">
        <v>695</v>
      </c>
      <c r="G23" s="20" t="s">
        <v>696</v>
      </c>
      <c r="H23" s="3"/>
      <c r="I23" s="3"/>
      <c r="J23" s="3"/>
      <c r="K23" s="3"/>
    </row>
    <row r="24" ht="42">
      <c r="A24" s="3"/>
      <c r="B24" s="16" t="s">
        <v>697</v>
      </c>
      <c r="C24" s="19">
        <v>46296</v>
      </c>
      <c r="D24" s="19">
        <v>46300</v>
      </c>
      <c r="E24" s="102" t="s">
        <v>698</v>
      </c>
      <c r="F24" s="16" t="s">
        <v>699</v>
      </c>
      <c r="G24" s="20" t="s">
        <v>700</v>
      </c>
      <c r="H24" s="3"/>
      <c r="I24" s="3"/>
      <c r="J24" s="3"/>
      <c r="K24" s="3"/>
    </row>
    <row r="25" ht="42">
      <c r="A25" s="3"/>
      <c r="B25" s="16" t="s">
        <v>701</v>
      </c>
      <c r="C25" s="19">
        <v>46297</v>
      </c>
      <c r="D25" s="19">
        <v>46300</v>
      </c>
      <c r="E25" s="102" t="s">
        <v>702</v>
      </c>
      <c r="F25" s="16" t="s">
        <v>703</v>
      </c>
      <c r="G25" s="20" t="s">
        <v>704</v>
      </c>
      <c r="H25" s="3"/>
      <c r="I25" s="3"/>
      <c r="J25" s="3"/>
      <c r="K25" s="3"/>
    </row>
    <row r="26" ht="42">
      <c r="A26" s="3"/>
      <c r="B26" s="16" t="s">
        <v>705</v>
      </c>
      <c r="C26" s="19">
        <v>46275</v>
      </c>
      <c r="D26" s="19">
        <v>46300</v>
      </c>
      <c r="E26" s="102" t="s">
        <v>706</v>
      </c>
      <c r="F26" s="16" t="s">
        <v>707</v>
      </c>
      <c r="G26" s="20" t="s">
        <v>708</v>
      </c>
      <c r="H26" s="3"/>
      <c r="I26" s="3"/>
      <c r="J26" s="3"/>
      <c r="K26" s="3"/>
    </row>
    <row r="27" ht="42">
      <c r="A27" s="3"/>
      <c r="B27" s="16" t="s">
        <v>709</v>
      </c>
      <c r="C27" s="19">
        <v>46218</v>
      </c>
      <c r="D27" s="19">
        <v>46300</v>
      </c>
      <c r="E27" s="102" t="s">
        <v>710</v>
      </c>
      <c r="F27" s="16" t="s">
        <v>711</v>
      </c>
      <c r="G27" s="20" t="s">
        <v>712</v>
      </c>
      <c r="H27" s="3"/>
      <c r="I27" s="3"/>
      <c r="J27" s="3"/>
      <c r="K27" s="3"/>
    </row>
    <row r="28" ht="42">
      <c r="A28" s="3"/>
      <c r="B28" s="16" t="s">
        <v>713</v>
      </c>
      <c r="C28" s="19">
        <v>46281</v>
      </c>
      <c r="D28" s="19">
        <v>46300</v>
      </c>
      <c r="E28" s="102" t="s">
        <v>694</v>
      </c>
      <c r="F28" s="16" t="s">
        <v>714</v>
      </c>
      <c r="G28" s="20" t="s">
        <v>715</v>
      </c>
      <c r="H28" s="3"/>
      <c r="I28" s="3"/>
      <c r="J28" s="3"/>
      <c r="K28" s="3"/>
    </row>
    <row r="29" ht="42">
      <c r="A29" s="3"/>
      <c r="B29" s="16" t="s">
        <v>716</v>
      </c>
      <c r="C29" s="19">
        <v>46296</v>
      </c>
      <c r="D29" s="19">
        <v>46300</v>
      </c>
      <c r="E29" s="102" t="s">
        <v>717</v>
      </c>
      <c r="F29" s="16" t="s">
        <v>718</v>
      </c>
      <c r="G29" s="20" t="s">
        <v>719</v>
      </c>
      <c r="H29" s="3"/>
      <c r="I29" s="3"/>
      <c r="J29" s="3"/>
      <c r="K29" s="3"/>
    </row>
    <row r="30" ht="29.25">
      <c r="A30" s="3"/>
      <c r="B30" s="16" t="s">
        <v>720</v>
      </c>
      <c r="C30" s="19">
        <v>46299</v>
      </c>
      <c r="D30" s="19">
        <v>46300</v>
      </c>
      <c r="E30" s="102" t="s">
        <v>721</v>
      </c>
      <c r="F30" s="16" t="s">
        <v>722</v>
      </c>
      <c r="G30" s="20" t="s">
        <v>723</v>
      </c>
      <c r="H30" s="3"/>
      <c r="I30" s="3"/>
      <c r="J30" s="3"/>
      <c r="K30" s="3"/>
    </row>
    <row r="31" ht="29.25">
      <c r="A31" s="3"/>
      <c r="B31" s="16" t="s">
        <v>724</v>
      </c>
      <c r="C31" s="19">
        <v>46297</v>
      </c>
      <c r="D31" s="19">
        <v>46300</v>
      </c>
      <c r="E31" s="102" t="s">
        <v>725</v>
      </c>
      <c r="F31" s="16" t="s">
        <v>726</v>
      </c>
      <c r="G31" s="20" t="s">
        <v>727</v>
      </c>
      <c r="H31" s="3"/>
      <c r="I31" s="3"/>
      <c r="J31" s="3"/>
      <c r="K31" s="3"/>
    </row>
    <row r="32" ht="42">
      <c r="A32" s="3"/>
      <c r="B32" s="16" t="s">
        <v>728</v>
      </c>
      <c r="C32" s="19">
        <v>46283</v>
      </c>
      <c r="D32" s="19">
        <v>46300</v>
      </c>
      <c r="E32" s="102" t="s">
        <v>729</v>
      </c>
      <c r="F32" s="16" t="s">
        <v>730</v>
      </c>
      <c r="G32" s="20" t="s">
        <v>731</v>
      </c>
      <c r="H32" s="3"/>
      <c r="I32" s="3"/>
      <c r="J32" s="3"/>
      <c r="K32" s="3"/>
    </row>
    <row r="33" ht="42">
      <c r="A33" s="3"/>
      <c r="B33" s="16" t="s">
        <v>732</v>
      </c>
      <c r="C33" s="19">
        <v>46268</v>
      </c>
      <c r="D33" s="19">
        <v>46300</v>
      </c>
      <c r="E33" s="102" t="s">
        <v>733</v>
      </c>
      <c r="F33" s="16" t="s">
        <v>734</v>
      </c>
      <c r="G33" s="20" t="s">
        <v>735</v>
      </c>
      <c r="H33" s="3"/>
      <c r="I33" s="3"/>
      <c r="J33" s="3"/>
      <c r="K33" s="3"/>
    </row>
    <row r="34" ht="42">
      <c r="A34" s="3"/>
      <c r="B34" s="16" t="s">
        <v>736</v>
      </c>
      <c r="C34" s="19">
        <v>46291</v>
      </c>
      <c r="D34" s="19">
        <v>46300</v>
      </c>
      <c r="E34" s="102" t="s">
        <v>737</v>
      </c>
      <c r="F34" s="16" t="s">
        <v>738</v>
      </c>
      <c r="G34" s="20" t="s">
        <v>739</v>
      </c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ht="31.872802734375">
      <c r="A36" s="3"/>
      <c r="B36" s="3" t="s">
        <v>740</v>
      </c>
      <c r="C36" s="3"/>
      <c r="D36" s="3"/>
      <c r="E36" s="3"/>
      <c r="F36" s="3"/>
      <c r="G36" s="3"/>
      <c r="H36" s="3"/>
      <c r="I36" s="3"/>
      <c r="J36" s="3"/>
      <c r="K36" s="3"/>
    </row>
    <row r="37" ht="31.872802734375">
      <c r="A37" s="3"/>
      <c r="B37" s="3" t="s">
        <v>741</v>
      </c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K13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14" customWidth="1"/>
    <col min="10" max="10" width="12" customWidth="1"/>
    <col min="11" max="11" width="14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4" t="s">
        <v>0</v>
      </c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15" t="s">
        <v>742</v>
      </c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46" t="s">
        <v>3</v>
      </c>
      <c r="C6" s="35" t="s">
        <v>4</v>
      </c>
      <c r="D6" s="3"/>
      <c r="E6" s="3"/>
      <c r="F6" s="3"/>
      <c r="G6" s="3"/>
      <c r="H6" s="3"/>
      <c r="I6" s="3"/>
      <c r="J6" s="3"/>
      <c r="K6" s="3"/>
    </row>
    <row r="7">
      <c r="A7" s="3"/>
      <c r="B7" s="41" t="s">
        <v>5</v>
      </c>
      <c r="C7" s="42">
        <v>46295</v>
      </c>
      <c r="D7" s="3"/>
      <c r="E7" s="3"/>
      <c r="F7" s="3"/>
      <c r="G7" s="3"/>
      <c r="H7" s="3"/>
      <c r="I7" s="3"/>
      <c r="J7" s="3"/>
      <c r="K7" s="3"/>
    </row>
    <row r="8">
      <c r="A8" s="3"/>
      <c r="B8" s="7" t="s">
        <v>6</v>
      </c>
      <c r="C8" s="29">
        <v>92</v>
      </c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14.624267578125">
      <c r="A10" s="3"/>
      <c r="B10" s="15" t="s">
        <v>743</v>
      </c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 t="s">
        <v>744</v>
      </c>
      <c r="C11" s="78" t="s">
        <v>745</v>
      </c>
      <c r="D11" s="3"/>
      <c r="E11" s="3"/>
      <c r="F11" s="3"/>
      <c r="G11" s="3"/>
      <c r="H11" s="3"/>
      <c r="I11" s="3"/>
      <c r="J11" s="3"/>
      <c r="K11" s="11" t="s">
        <v>746</v>
      </c>
    </row>
    <row r="12">
      <c r="A12" s="3"/>
      <c r="B12" s="3" t="s">
        <v>747</v>
      </c>
      <c r="C12" s="78" t="s">
        <v>13</v>
      </c>
      <c r="D12" s="3"/>
      <c r="E12" s="3"/>
      <c r="F12" s="3"/>
      <c r="G12" s="3"/>
      <c r="H12" s="3"/>
      <c r="I12" s="3"/>
      <c r="J12" s="3"/>
      <c r="K12" s="11" t="s">
        <v>746</v>
      </c>
    </row>
    <row r="13">
      <c r="A13" s="3"/>
      <c r="B13" s="3" t="s">
        <v>748</v>
      </c>
      <c r="C13" s="78" t="s">
        <v>11</v>
      </c>
      <c r="D13" s="3"/>
      <c r="E13" s="3"/>
      <c r="F13" s="3"/>
      <c r="G13" s="3"/>
      <c r="H13" s="3"/>
      <c r="I13" s="3"/>
      <c r="J13" s="3"/>
      <c r="K13" s="11" t="s">
        <v>746</v>
      </c>
    </row>
    <row r="14">
      <c r="A14" s="3"/>
      <c r="B14" s="3" t="s">
        <v>749</v>
      </c>
      <c r="C14" s="78" t="s">
        <v>750</v>
      </c>
      <c r="D14" s="3"/>
      <c r="E14" s="3"/>
      <c r="F14" s="3"/>
      <c r="G14" s="3"/>
      <c r="H14" s="3"/>
      <c r="I14" s="3"/>
      <c r="J14" s="3"/>
      <c r="K14" s="11" t="s">
        <v>746</v>
      </c>
    </row>
    <row r="15">
      <c r="A15" s="3"/>
      <c r="B15" s="3" t="s">
        <v>751</v>
      </c>
      <c r="C15" s="1">
        <v>46295</v>
      </c>
      <c r="D15" s="3"/>
      <c r="E15" s="3"/>
      <c r="F15" s="3"/>
      <c r="G15" s="3"/>
      <c r="H15" s="3"/>
      <c r="I15" s="3"/>
      <c r="J15" s="3"/>
      <c r="K15" s="11" t="s">
        <v>746</v>
      </c>
    </row>
    <row r="16">
      <c r="A16" s="3"/>
      <c r="B16" s="3" t="s">
        <v>752</v>
      </c>
      <c r="C16" s="1">
        <v>46299</v>
      </c>
      <c r="D16" s="3"/>
      <c r="E16" s="3"/>
      <c r="F16" s="3"/>
      <c r="G16" s="3"/>
      <c r="H16" s="3"/>
      <c r="I16" s="3"/>
      <c r="J16" s="3"/>
      <c r="K16" s="11" t="s">
        <v>746</v>
      </c>
    </row>
    <row r="17">
      <c r="A17" s="3"/>
      <c r="B17" s="3" t="s">
        <v>753</v>
      </c>
      <c r="C17" s="78">
        <v>19</v>
      </c>
      <c r="D17" s="3"/>
      <c r="E17" s="3"/>
      <c r="F17" s="3"/>
      <c r="G17" s="3"/>
      <c r="H17" s="3"/>
      <c r="I17" s="3"/>
      <c r="J17" s="3"/>
      <c r="K17" s="11" t="s">
        <v>746</v>
      </c>
    </row>
    <row r="18">
      <c r="A18" s="3"/>
      <c r="B18" s="3" t="s">
        <v>754</v>
      </c>
      <c r="C18" s="78">
        <v>1.88</v>
      </c>
      <c r="D18" s="3"/>
      <c r="E18" s="3"/>
      <c r="F18" s="3"/>
      <c r="G18" s="3"/>
      <c r="H18" s="3"/>
      <c r="I18" s="3"/>
      <c r="J18" s="3"/>
      <c r="K18" s="11" t="s">
        <v>746</v>
      </c>
    </row>
    <row r="19">
      <c r="A19" s="3"/>
      <c r="B19" s="3" t="s">
        <v>755</v>
      </c>
      <c r="C19" s="99" t="s">
        <v>756</v>
      </c>
      <c r="D19" s="3"/>
      <c r="E19" s="3"/>
      <c r="F19" s="3"/>
      <c r="G19" s="3"/>
      <c r="H19" s="3"/>
      <c r="I19" s="3"/>
      <c r="J19" s="3"/>
      <c r="K19" s="11" t="s">
        <v>746</v>
      </c>
    </row>
    <row r="20">
      <c r="A20" s="3"/>
      <c r="B20" s="3" t="s">
        <v>757</v>
      </c>
      <c r="C20" s="78">
        <v>18830.21</v>
      </c>
      <c r="D20" s="3"/>
      <c r="E20" s="3"/>
      <c r="F20" s="3"/>
      <c r="G20" s="3"/>
      <c r="H20" s="3"/>
      <c r="I20" s="3"/>
      <c r="J20" s="3"/>
      <c r="K20" s="11" t="s">
        <v>746</v>
      </c>
    </row>
    <row r="21">
      <c r="A21" s="3"/>
      <c r="B21" s="3" t="s">
        <v>758</v>
      </c>
      <c r="C21" s="78" t="s">
        <v>759</v>
      </c>
      <c r="D21" s="3"/>
      <c r="E21" s="3"/>
      <c r="F21" s="3"/>
      <c r="G21" s="3"/>
      <c r="H21" s="3"/>
      <c r="I21" s="3"/>
      <c r="J21" s="3"/>
      <c r="K21" s="11" t="s">
        <v>746</v>
      </c>
    </row>
    <row r="22">
      <c r="A22" s="3"/>
      <c r="B22" s="3" t="s">
        <v>760</v>
      </c>
      <c r="C22" s="99" t="s">
        <v>761</v>
      </c>
      <c r="D22" s="3"/>
      <c r="E22" s="3"/>
      <c r="F22" s="3"/>
      <c r="G22" s="3"/>
      <c r="H22" s="3"/>
      <c r="I22" s="3"/>
      <c r="J22" s="3"/>
      <c r="K22" s="11" t="s">
        <v>746</v>
      </c>
    </row>
    <row r="23">
      <c r="A23" s="3"/>
      <c r="B23" s="3" t="s">
        <v>762</v>
      </c>
      <c r="C23" s="78" t="s">
        <v>763</v>
      </c>
      <c r="D23" s="3"/>
      <c r="E23" s="3"/>
      <c r="F23" s="3"/>
      <c r="G23" s="3"/>
      <c r="H23" s="3"/>
      <c r="I23" s="3"/>
      <c r="J23" s="3"/>
      <c r="K23" s="11" t="s">
        <v>746</v>
      </c>
    </row>
    <row r="24">
      <c r="A24" s="3"/>
      <c r="B24" s="3" t="s">
        <v>764</v>
      </c>
      <c r="C24" s="99" t="s">
        <v>765</v>
      </c>
      <c r="D24" s="3"/>
      <c r="E24" s="3"/>
      <c r="F24" s="3"/>
      <c r="G24" s="3"/>
      <c r="H24" s="3"/>
      <c r="I24" s="3"/>
      <c r="J24" s="3"/>
      <c r="K24" s="11" t="s">
        <v>746</v>
      </c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31.872802734375">
      <c r="A26" s="3"/>
      <c r="B26" s="15" t="s">
        <v>766</v>
      </c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 t="s">
        <v>747</v>
      </c>
      <c r="C27" s="78" t="s">
        <v>13</v>
      </c>
      <c r="D27" s="3"/>
      <c r="E27" s="3"/>
      <c r="F27" s="3"/>
      <c r="G27" s="3"/>
      <c r="H27" s="3"/>
      <c r="I27" s="3"/>
      <c r="J27" s="3"/>
      <c r="K27" s="11" t="s">
        <v>746</v>
      </c>
    </row>
    <row r="28">
      <c r="A28" s="3"/>
      <c r="B28" s="3" t="s">
        <v>767</v>
      </c>
      <c r="C28" s="78" t="s">
        <v>11</v>
      </c>
      <c r="D28" s="3"/>
      <c r="E28" s="3"/>
      <c r="F28" s="3"/>
      <c r="G28" s="3"/>
      <c r="H28" s="3"/>
      <c r="I28" s="3"/>
      <c r="J28" s="3"/>
      <c r="K28" s="11" t="s">
        <v>746</v>
      </c>
    </row>
    <row r="29">
      <c r="A29" s="3"/>
      <c r="B29" s="3" t="s">
        <v>768</v>
      </c>
      <c r="C29" s="78" t="s">
        <v>769</v>
      </c>
      <c r="D29" s="3"/>
      <c r="E29" s="3"/>
      <c r="F29" s="3"/>
      <c r="G29" s="3"/>
      <c r="H29" s="3"/>
      <c r="I29" s="3"/>
      <c r="J29" s="3"/>
      <c r="K29" s="11" t="s">
        <v>746</v>
      </c>
    </row>
    <row r="30">
      <c r="A30" s="3"/>
      <c r="B30" s="3" t="s">
        <v>770</v>
      </c>
      <c r="C30" s="78">
        <v>266311</v>
      </c>
      <c r="D30" s="3"/>
      <c r="E30" s="3"/>
      <c r="F30" s="3"/>
      <c r="G30" s="3"/>
      <c r="H30" s="3"/>
      <c r="I30" s="3"/>
      <c r="J30" s="3"/>
      <c r="K30" s="11" t="s">
        <v>746</v>
      </c>
    </row>
    <row r="31">
      <c r="A31" s="3"/>
      <c r="B31" s="3" t="s">
        <v>771</v>
      </c>
      <c r="C31" s="78" t="s">
        <v>772</v>
      </c>
      <c r="D31" s="3"/>
      <c r="E31" s="3"/>
      <c r="F31" s="3"/>
      <c r="G31" s="3"/>
      <c r="H31" s="3"/>
      <c r="I31" s="3"/>
      <c r="J31" s="3"/>
      <c r="K31" s="11" t="s">
        <v>746</v>
      </c>
    </row>
    <row r="32">
      <c r="A32" s="3"/>
      <c r="B32" s="3" t="s">
        <v>773</v>
      </c>
      <c r="C32" s="3"/>
      <c r="D32" s="3"/>
      <c r="E32" s="3"/>
      <c r="F32" s="3"/>
      <c r="G32" s="3"/>
      <c r="H32" s="3"/>
      <c r="I32" s="3"/>
      <c r="J32" s="3"/>
      <c r="K32" s="11" t="s">
        <v>746</v>
      </c>
    </row>
    <row r="33">
      <c r="A33" s="3"/>
      <c r="B33" s="3" t="s">
        <v>774</v>
      </c>
      <c r="C33" s="78" t="s">
        <v>775</v>
      </c>
      <c r="D33" s="3"/>
      <c r="E33" s="3"/>
      <c r="F33" s="3"/>
      <c r="G33" s="3"/>
      <c r="H33" s="3"/>
      <c r="I33" s="3"/>
      <c r="J33" s="3"/>
      <c r="K33" s="11" t="s">
        <v>746</v>
      </c>
    </row>
    <row r="34">
      <c r="A34" s="3"/>
      <c r="B34" s="3" t="s">
        <v>776</v>
      </c>
      <c r="C34" s="1">
        <v>46295</v>
      </c>
      <c r="D34" s="3"/>
      <c r="E34" s="3"/>
      <c r="F34" s="3"/>
      <c r="G34" s="3"/>
      <c r="H34" s="3"/>
      <c r="I34" s="3"/>
      <c r="J34" s="3"/>
      <c r="K34" s="11" t="s">
        <v>746</v>
      </c>
    </row>
    <row r="35">
      <c r="A35" s="3"/>
      <c r="B35" s="3" t="s">
        <v>777</v>
      </c>
      <c r="C35" s="1">
        <v>46304</v>
      </c>
      <c r="D35" s="3"/>
      <c r="E35" s="3"/>
      <c r="F35" s="3"/>
      <c r="G35" s="3"/>
      <c r="H35" s="3"/>
      <c r="I35" s="3"/>
      <c r="J35" s="3"/>
      <c r="K35" s="11" t="s">
        <v>746</v>
      </c>
    </row>
    <row r="36">
      <c r="A36" s="3"/>
      <c r="B36" s="3" t="s">
        <v>778</v>
      </c>
      <c r="C36" s="78" t="s">
        <v>779</v>
      </c>
      <c r="D36" s="3"/>
      <c r="E36" s="3"/>
      <c r="F36" s="3"/>
      <c r="G36" s="3"/>
      <c r="H36" s="3"/>
      <c r="I36" s="3"/>
      <c r="J36" s="3"/>
      <c r="K36" s="11" t="s">
        <v>746</v>
      </c>
    </row>
    <row r="37">
      <c r="A37" s="3"/>
      <c r="B37" s="3" t="s">
        <v>780</v>
      </c>
      <c r="C37" s="78">
        <v>26</v>
      </c>
      <c r="D37" s="3"/>
      <c r="E37" s="3"/>
      <c r="F37" s="3"/>
      <c r="G37" s="3"/>
      <c r="H37" s="3"/>
      <c r="I37" s="3"/>
      <c r="J37" s="3"/>
      <c r="K37" s="11" t="s">
        <v>746</v>
      </c>
    </row>
    <row r="38">
      <c r="A38" s="3"/>
      <c r="B38" s="3" t="s">
        <v>781</v>
      </c>
      <c r="C38" s="78">
        <v>1.88</v>
      </c>
      <c r="D38" s="3"/>
      <c r="E38" s="3"/>
      <c r="F38" s="3"/>
      <c r="G38" s="3"/>
      <c r="H38" s="3"/>
      <c r="I38" s="3"/>
      <c r="J38" s="3"/>
      <c r="K38" s="11" t="s">
        <v>746</v>
      </c>
    </row>
    <row r="39">
      <c r="A39" s="3"/>
      <c r="B39" s="3" t="s">
        <v>782</v>
      </c>
      <c r="C39" s="78">
        <v>1.78</v>
      </c>
      <c r="D39" s="3"/>
      <c r="E39" s="3"/>
      <c r="F39" s="3"/>
      <c r="G39" s="3"/>
      <c r="H39" s="3"/>
      <c r="I39" s="3"/>
      <c r="J39" s="3"/>
      <c r="K39" s="11" t="s">
        <v>746</v>
      </c>
    </row>
    <row r="40">
      <c r="A40" s="3"/>
      <c r="B40" s="3" t="s">
        <v>783</v>
      </c>
      <c r="C40" s="78">
        <v>2.4</v>
      </c>
      <c r="D40" s="3"/>
      <c r="E40" s="3"/>
      <c r="F40" s="3"/>
      <c r="G40" s="3"/>
      <c r="H40" s="3"/>
      <c r="I40" s="3"/>
      <c r="J40" s="3"/>
      <c r="K40" s="11" t="s">
        <v>746</v>
      </c>
    </row>
    <row r="41">
      <c r="A41" s="3"/>
      <c r="B41" s="3" t="s">
        <v>784</v>
      </c>
      <c r="C41" s="78">
        <v>1.55</v>
      </c>
      <c r="D41" s="3"/>
      <c r="E41" s="3"/>
      <c r="F41" s="3"/>
      <c r="G41" s="3"/>
      <c r="H41" s="3"/>
      <c r="I41" s="3"/>
      <c r="J41" s="3"/>
      <c r="K41" s="11" t="s">
        <v>746</v>
      </c>
    </row>
    <row r="42">
      <c r="A42" s="3"/>
      <c r="B42" s="3" t="s">
        <v>785</v>
      </c>
      <c r="C42" s="78">
        <v>0.25</v>
      </c>
      <c r="D42" s="3"/>
      <c r="E42" s="3"/>
      <c r="F42" s="3"/>
      <c r="G42" s="3"/>
      <c r="H42" s="3"/>
      <c r="I42" s="3"/>
      <c r="J42" s="3"/>
      <c r="K42" s="11" t="s">
        <v>746</v>
      </c>
    </row>
    <row r="43">
      <c r="A43" s="3"/>
      <c r="B43" s="3" t="s">
        <v>786</v>
      </c>
      <c r="C43" s="78">
        <v>19</v>
      </c>
      <c r="D43" s="3"/>
      <c r="E43" s="3"/>
      <c r="F43" s="3"/>
      <c r="G43" s="3"/>
      <c r="H43" s="3"/>
      <c r="I43" s="3"/>
      <c r="J43" s="3"/>
      <c r="K43" s="11" t="s">
        <v>746</v>
      </c>
    </row>
    <row r="44">
      <c r="A44" s="3"/>
      <c r="B44" s="3" t="s">
        <v>787</v>
      </c>
      <c r="C44" s="3"/>
      <c r="D44" s="3"/>
      <c r="E44" s="3"/>
      <c r="F44" s="3"/>
      <c r="G44" s="3"/>
      <c r="H44" s="3"/>
      <c r="I44" s="3"/>
      <c r="J44" s="3"/>
      <c r="K44" s="11" t="s">
        <v>746</v>
      </c>
    </row>
    <row r="45">
      <c r="A45" s="3"/>
      <c r="B45" s="3" t="s">
        <v>788</v>
      </c>
      <c r="C45" s="78">
        <v>2</v>
      </c>
      <c r="D45" s="3"/>
      <c r="E45" s="3"/>
      <c r="F45" s="3"/>
      <c r="G45" s="3"/>
      <c r="H45" s="3"/>
      <c r="I45" s="3"/>
      <c r="J45" s="3"/>
      <c r="K45" s="11" t="s">
        <v>746</v>
      </c>
    </row>
    <row r="46">
      <c r="A46" s="3"/>
      <c r="B46" s="3" t="s">
        <v>789</v>
      </c>
      <c r="C46" s="78">
        <v>2.5</v>
      </c>
      <c r="D46" s="3"/>
      <c r="E46" s="3"/>
      <c r="F46" s="3"/>
      <c r="G46" s="3"/>
      <c r="H46" s="3"/>
      <c r="I46" s="3"/>
      <c r="J46" s="3"/>
      <c r="K46" s="11" t="s">
        <v>746</v>
      </c>
    </row>
    <row r="47">
      <c r="A47" s="3"/>
      <c r="B47" s="3" t="s">
        <v>790</v>
      </c>
      <c r="C47" s="78">
        <v>1.94</v>
      </c>
      <c r="D47" s="3"/>
      <c r="E47" s="3"/>
      <c r="F47" s="3"/>
      <c r="G47" s="3"/>
      <c r="H47" s="3"/>
      <c r="I47" s="3"/>
      <c r="J47" s="3"/>
      <c r="K47" s="11" t="s">
        <v>746</v>
      </c>
    </row>
    <row r="48">
      <c r="A48" s="3"/>
      <c r="B48" s="3" t="s">
        <v>791</v>
      </c>
      <c r="C48" s="78">
        <v>1.9</v>
      </c>
      <c r="D48" s="3"/>
      <c r="E48" s="3"/>
      <c r="F48" s="3"/>
      <c r="G48" s="3"/>
      <c r="H48" s="3"/>
      <c r="I48" s="3"/>
      <c r="J48" s="3"/>
      <c r="K48" s="11" t="s">
        <v>746</v>
      </c>
    </row>
    <row r="49">
      <c r="A49" s="3"/>
      <c r="B49" s="3" t="s">
        <v>792</v>
      </c>
      <c r="C49" s="78">
        <v>2.25</v>
      </c>
      <c r="D49" s="3"/>
      <c r="E49" s="3"/>
      <c r="F49" s="3"/>
      <c r="G49" s="3"/>
      <c r="H49" s="3"/>
      <c r="I49" s="3"/>
      <c r="J49" s="3"/>
      <c r="K49" s="11" t="s">
        <v>746</v>
      </c>
    </row>
    <row r="50">
      <c r="A50" s="3"/>
      <c r="B50" s="3" t="s">
        <v>793</v>
      </c>
      <c r="C50" s="78">
        <v>1.69</v>
      </c>
      <c r="D50" s="3"/>
      <c r="E50" s="3"/>
      <c r="F50" s="3"/>
      <c r="G50" s="3"/>
      <c r="H50" s="3"/>
      <c r="I50" s="3"/>
      <c r="J50" s="3"/>
      <c r="K50" s="11" t="s">
        <v>746</v>
      </c>
    </row>
    <row r="51">
      <c r="A51" s="3"/>
      <c r="B51" s="3" t="s">
        <v>794</v>
      </c>
      <c r="C51" s="78">
        <v>0.22</v>
      </c>
      <c r="D51" s="3"/>
      <c r="E51" s="3"/>
      <c r="F51" s="3"/>
      <c r="G51" s="3"/>
      <c r="H51" s="3"/>
      <c r="I51" s="3"/>
      <c r="J51" s="3"/>
      <c r="K51" s="11" t="s">
        <v>746</v>
      </c>
    </row>
    <row r="52">
      <c r="A52" s="3"/>
      <c r="B52" s="3" t="s">
        <v>795</v>
      </c>
      <c r="C52" s="78">
        <v>6</v>
      </c>
      <c r="D52" s="3"/>
      <c r="E52" s="3"/>
      <c r="F52" s="3"/>
      <c r="G52" s="3"/>
      <c r="H52" s="3"/>
      <c r="I52" s="3"/>
      <c r="J52" s="3"/>
      <c r="K52" s="11" t="s">
        <v>746</v>
      </c>
    </row>
    <row r="53">
      <c r="A53" s="3"/>
      <c r="B53" s="3" t="s">
        <v>796</v>
      </c>
      <c r="C53" s="3"/>
      <c r="D53" s="3"/>
      <c r="E53" s="3"/>
      <c r="F53" s="3"/>
      <c r="G53" s="3"/>
      <c r="H53" s="3"/>
      <c r="I53" s="3"/>
      <c r="J53" s="3"/>
      <c r="K53" s="11" t="s">
        <v>746</v>
      </c>
    </row>
    <row r="54">
      <c r="A54" s="3"/>
      <c r="B54" s="3" t="s">
        <v>797</v>
      </c>
      <c r="C54" s="78">
        <v>18830.21</v>
      </c>
      <c r="D54" s="3"/>
      <c r="E54" s="3"/>
      <c r="F54" s="3"/>
      <c r="G54" s="3"/>
      <c r="H54" s="3"/>
      <c r="I54" s="3"/>
      <c r="J54" s="3"/>
      <c r="K54" s="11" t="s">
        <v>746</v>
      </c>
    </row>
    <row r="55">
      <c r="A55" s="3"/>
      <c r="B55" s="3" t="s">
        <v>798</v>
      </c>
      <c r="C55" s="78">
        <v>18957.5</v>
      </c>
      <c r="D55" s="3"/>
      <c r="E55" s="3"/>
      <c r="F55" s="3"/>
      <c r="G55" s="3"/>
      <c r="H55" s="3"/>
      <c r="I55" s="3"/>
      <c r="J55" s="3"/>
      <c r="K55" s="11" t="s">
        <v>746</v>
      </c>
    </row>
    <row r="56">
      <c r="A56" s="3"/>
      <c r="B56" s="3" t="s">
        <v>799</v>
      </c>
      <c r="C56" s="78">
        <v>19741</v>
      </c>
      <c r="D56" s="3"/>
      <c r="E56" s="3"/>
      <c r="F56" s="3"/>
      <c r="G56" s="3"/>
      <c r="H56" s="3"/>
      <c r="I56" s="3"/>
      <c r="J56" s="3"/>
      <c r="K56" s="11" t="s">
        <v>746</v>
      </c>
    </row>
    <row r="57">
      <c r="A57" s="3"/>
      <c r="B57" s="3" t="s">
        <v>800</v>
      </c>
      <c r="C57" s="78">
        <v>17681</v>
      </c>
      <c r="D57" s="3"/>
      <c r="E57" s="3"/>
      <c r="F57" s="3"/>
      <c r="G57" s="3"/>
      <c r="H57" s="3"/>
      <c r="I57" s="3"/>
      <c r="J57" s="3"/>
      <c r="K57" s="11" t="s">
        <v>746</v>
      </c>
    </row>
    <row r="58">
      <c r="A58" s="3"/>
      <c r="B58" s="3" t="s">
        <v>801</v>
      </c>
      <c r="C58" s="78">
        <v>729.51</v>
      </c>
      <c r="D58" s="3"/>
      <c r="E58" s="3"/>
      <c r="F58" s="3"/>
      <c r="G58" s="3"/>
      <c r="H58" s="3"/>
      <c r="I58" s="3"/>
      <c r="J58" s="3"/>
      <c r="K58" s="11" t="s">
        <v>746</v>
      </c>
    </row>
    <row r="59">
      <c r="A59" s="3"/>
      <c r="B59" s="3" t="s">
        <v>802</v>
      </c>
      <c r="C59" s="78">
        <v>8</v>
      </c>
      <c r="D59" s="3"/>
      <c r="E59" s="3"/>
      <c r="F59" s="3"/>
      <c r="G59" s="3"/>
      <c r="H59" s="3"/>
      <c r="I59" s="3"/>
      <c r="J59" s="3"/>
      <c r="K59" s="11" t="s">
        <v>746</v>
      </c>
    </row>
    <row r="60">
      <c r="A60" s="3"/>
      <c r="B60" s="3" t="s">
        <v>803</v>
      </c>
      <c r="C60" s="3"/>
      <c r="D60" s="3"/>
      <c r="E60" s="3"/>
      <c r="F60" s="3"/>
      <c r="G60" s="3"/>
      <c r="H60" s="3"/>
      <c r="I60" s="3"/>
      <c r="J60" s="3"/>
      <c r="K60" s="11" t="s">
        <v>746</v>
      </c>
    </row>
    <row r="61">
      <c r="A61" s="3"/>
      <c r="B61" s="3" t="s">
        <v>804</v>
      </c>
      <c r="C61" s="78">
        <v>19173.95</v>
      </c>
      <c r="D61" s="3"/>
      <c r="E61" s="3"/>
      <c r="F61" s="3"/>
      <c r="G61" s="3"/>
      <c r="H61" s="3"/>
      <c r="I61" s="3"/>
      <c r="J61" s="3"/>
      <c r="K61" s="11" t="s">
        <v>746</v>
      </c>
    </row>
    <row r="62">
      <c r="A62" s="3"/>
      <c r="B62" s="3" t="s">
        <v>805</v>
      </c>
      <c r="C62" s="78">
        <v>19507.41</v>
      </c>
      <c r="D62" s="3"/>
      <c r="E62" s="3"/>
      <c r="F62" s="3"/>
      <c r="G62" s="3"/>
      <c r="H62" s="3"/>
      <c r="I62" s="3"/>
      <c r="J62" s="3"/>
      <c r="K62" s="11" t="s">
        <v>746</v>
      </c>
    </row>
    <row r="63">
      <c r="A63" s="3"/>
      <c r="B63" s="3" t="s">
        <v>806</v>
      </c>
      <c r="C63" s="78">
        <v>2625.98</v>
      </c>
      <c r="D63" s="3"/>
      <c r="E63" s="3"/>
      <c r="F63" s="3"/>
      <c r="G63" s="3"/>
      <c r="H63" s="3"/>
      <c r="I63" s="3"/>
      <c r="J63" s="3"/>
      <c r="K63" s="11" t="s">
        <v>746</v>
      </c>
    </row>
    <row r="64">
      <c r="A64" s="3"/>
      <c r="B64" s="3" t="s">
        <v>807</v>
      </c>
      <c r="C64" s="78">
        <v>1794.02</v>
      </c>
      <c r="D64" s="3"/>
      <c r="E64" s="3"/>
      <c r="F64" s="3"/>
      <c r="G64" s="3"/>
      <c r="H64" s="3"/>
      <c r="I64" s="3"/>
      <c r="J64" s="3"/>
      <c r="K64" s="11" t="s">
        <v>746</v>
      </c>
    </row>
    <row r="65">
      <c r="A65" s="3"/>
      <c r="B65" s="3" t="s">
        <v>808</v>
      </c>
      <c r="C65" s="78">
        <v>1681.5</v>
      </c>
      <c r="D65" s="3"/>
      <c r="E65" s="3"/>
      <c r="F65" s="3"/>
      <c r="G65" s="3"/>
      <c r="H65" s="3"/>
      <c r="I65" s="3"/>
      <c r="J65" s="3"/>
      <c r="K65" s="11" t="s">
        <v>746</v>
      </c>
    </row>
    <row r="66">
      <c r="A66" s="3"/>
      <c r="B66" s="3" t="s">
        <v>809</v>
      </c>
      <c r="C66" s="78">
        <v>1701.17</v>
      </c>
      <c r="D66" s="3"/>
      <c r="E66" s="3"/>
      <c r="F66" s="3"/>
      <c r="G66" s="3"/>
      <c r="H66" s="3"/>
      <c r="I66" s="3"/>
      <c r="J66" s="3"/>
      <c r="K66" s="11" t="s">
        <v>746</v>
      </c>
    </row>
    <row r="67">
      <c r="A67" s="3"/>
      <c r="B67" s="3" t="s">
        <v>810</v>
      </c>
      <c r="C67" s="78">
        <v>1250.96</v>
      </c>
      <c r="D67" s="3"/>
      <c r="E67" s="3"/>
      <c r="F67" s="3"/>
      <c r="G67" s="3"/>
      <c r="H67" s="3"/>
      <c r="I67" s="3"/>
      <c r="J67" s="3"/>
      <c r="K67" s="11" t="s">
        <v>746</v>
      </c>
    </row>
    <row r="68">
      <c r="A68" s="3"/>
      <c r="B68" s="3" t="s">
        <v>811</v>
      </c>
      <c r="C68" s="78">
        <v>1315.6</v>
      </c>
      <c r="D68" s="3"/>
      <c r="E68" s="3"/>
      <c r="F68" s="3"/>
      <c r="G68" s="3"/>
      <c r="H68" s="3"/>
      <c r="I68" s="3"/>
      <c r="J68" s="3"/>
      <c r="K68" s="11" t="s">
        <v>746</v>
      </c>
    </row>
    <row r="69">
      <c r="A69" s="3"/>
      <c r="B69" s="3" t="s">
        <v>812</v>
      </c>
      <c r="C69" s="3"/>
      <c r="D69" s="3"/>
      <c r="E69" s="3"/>
      <c r="F69" s="3"/>
      <c r="G69" s="3"/>
      <c r="H69" s="3"/>
      <c r="I69" s="3"/>
      <c r="J69" s="3"/>
      <c r="K69" s="11" t="s">
        <v>746</v>
      </c>
    </row>
    <row r="70">
      <c r="A70" s="3"/>
      <c r="B70" s="3" t="s">
        <v>813</v>
      </c>
      <c r="C70" s="3"/>
      <c r="D70" s="3"/>
      <c r="E70" s="3"/>
      <c r="F70" s="3"/>
      <c r="G70" s="3"/>
      <c r="H70" s="3"/>
      <c r="I70" s="3"/>
      <c r="J70" s="3"/>
      <c r="K70" s="11" t="s">
        <v>746</v>
      </c>
    </row>
    <row r="71">
      <c r="A71" s="3"/>
      <c r="B71" s="3" t="s">
        <v>814</v>
      </c>
      <c r="C71" s="3"/>
      <c r="D71" s="3"/>
      <c r="E71" s="3"/>
      <c r="F71" s="3"/>
      <c r="G71" s="3"/>
      <c r="H71" s="3"/>
      <c r="I71" s="3"/>
      <c r="J71" s="3"/>
      <c r="K71" s="11" t="s">
        <v>746</v>
      </c>
    </row>
    <row r="72">
      <c r="A72" s="3"/>
      <c r="B72" s="3" t="s">
        <v>815</v>
      </c>
      <c r="C72" s="3"/>
      <c r="D72" s="3"/>
      <c r="E72" s="3"/>
      <c r="F72" s="3"/>
      <c r="G72" s="3"/>
      <c r="H72" s="3"/>
      <c r="I72" s="3"/>
      <c r="J72" s="3"/>
      <c r="K72" s="11" t="s">
        <v>746</v>
      </c>
    </row>
    <row r="73">
      <c r="A73" s="3"/>
      <c r="B73" s="3" t="s">
        <v>816</v>
      </c>
      <c r="C73" s="3"/>
      <c r="D73" s="3"/>
      <c r="E73" s="3"/>
      <c r="F73" s="3"/>
      <c r="G73" s="3"/>
      <c r="H73" s="3"/>
      <c r="I73" s="3"/>
      <c r="J73" s="3"/>
      <c r="K73" s="11" t="s">
        <v>746</v>
      </c>
    </row>
    <row r="74">
      <c r="A74" s="3"/>
      <c r="B74" s="3" t="s">
        <v>817</v>
      </c>
      <c r="C74" s="3"/>
      <c r="D74" s="3"/>
      <c r="E74" s="3"/>
      <c r="F74" s="3"/>
      <c r="G74" s="3"/>
      <c r="H74" s="3"/>
      <c r="I74" s="3"/>
      <c r="J74" s="3"/>
      <c r="K74" s="11" t="s">
        <v>746</v>
      </c>
    </row>
    <row r="75">
      <c r="A75" s="3"/>
      <c r="B75" s="3" t="s">
        <v>818</v>
      </c>
      <c r="C75" s="78">
        <v>-140.75</v>
      </c>
      <c r="D75" s="3"/>
      <c r="E75" s="3"/>
      <c r="F75" s="3"/>
      <c r="G75" s="3"/>
      <c r="H75" s="3"/>
      <c r="I75" s="3"/>
      <c r="J75" s="3"/>
      <c r="K75" s="11" t="s">
        <v>746</v>
      </c>
    </row>
    <row r="76">
      <c r="A76" s="3"/>
      <c r="B76" s="3" t="s">
        <v>819</v>
      </c>
      <c r="C76" s="78">
        <v>13671.67</v>
      </c>
      <c r="D76" s="3"/>
      <c r="E76" s="3"/>
      <c r="F76" s="3"/>
      <c r="G76" s="3"/>
      <c r="H76" s="3"/>
      <c r="I76" s="3"/>
      <c r="J76" s="3"/>
      <c r="K76" s="11" t="s">
        <v>746</v>
      </c>
    </row>
    <row r="77">
      <c r="A77" s="3"/>
      <c r="B77" s="3" t="s">
        <v>820</v>
      </c>
      <c r="C77" s="3"/>
      <c r="D77" s="3"/>
      <c r="E77" s="3"/>
      <c r="F77" s="3"/>
      <c r="G77" s="3"/>
      <c r="H77" s="3"/>
      <c r="I77" s="3"/>
      <c r="J77" s="3"/>
      <c r="K77" s="11" t="s">
        <v>746</v>
      </c>
    </row>
    <row r="78">
      <c r="A78" s="3"/>
      <c r="B78" s="3" t="s">
        <v>821</v>
      </c>
      <c r="C78" s="3"/>
      <c r="D78" s="3"/>
      <c r="E78" s="3"/>
      <c r="F78" s="3"/>
      <c r="G78" s="3"/>
      <c r="H78" s="3"/>
      <c r="I78" s="3"/>
      <c r="J78" s="3"/>
      <c r="K78" s="11" t="s">
        <v>746</v>
      </c>
    </row>
    <row r="79">
      <c r="A79" s="3"/>
      <c r="B79" s="3" t="s">
        <v>822</v>
      </c>
      <c r="C79" s="3"/>
      <c r="D79" s="3"/>
      <c r="E79" s="3"/>
      <c r="F79" s="3"/>
      <c r="G79" s="3"/>
      <c r="H79" s="3"/>
      <c r="I79" s="3"/>
      <c r="J79" s="3"/>
      <c r="K79" s="11" t="s">
        <v>746</v>
      </c>
    </row>
    <row r="80">
      <c r="A80" s="3"/>
      <c r="B80" s="3" t="s">
        <v>823</v>
      </c>
      <c r="C80" s="3"/>
      <c r="D80" s="3"/>
      <c r="E80" s="3"/>
      <c r="F80" s="3"/>
      <c r="G80" s="3"/>
      <c r="H80" s="3"/>
      <c r="I80" s="3"/>
      <c r="J80" s="3"/>
      <c r="K80" s="11" t="s">
        <v>746</v>
      </c>
    </row>
    <row r="81">
      <c r="A81" s="3"/>
      <c r="B81" s="3" t="s">
        <v>824</v>
      </c>
      <c r="C81" s="3"/>
      <c r="D81" s="3"/>
      <c r="E81" s="3"/>
      <c r="F81" s="3"/>
      <c r="G81" s="3"/>
      <c r="H81" s="3"/>
      <c r="I81" s="3"/>
      <c r="J81" s="3"/>
      <c r="K81" s="11" t="s">
        <v>746</v>
      </c>
    </row>
    <row r="82">
      <c r="A82" s="3"/>
      <c r="B82" s="3" t="s">
        <v>825</v>
      </c>
      <c r="C82" s="3"/>
      <c r="D82" s="3"/>
      <c r="E82" s="3"/>
      <c r="F82" s="3"/>
      <c r="G82" s="3"/>
      <c r="H82" s="3"/>
      <c r="I82" s="3"/>
      <c r="J82" s="3"/>
      <c r="K82" s="11" t="s">
        <v>746</v>
      </c>
    </row>
    <row r="83">
      <c r="A83" s="3"/>
      <c r="B83" s="3" t="s">
        <v>826</v>
      </c>
      <c r="C83" s="3"/>
      <c r="D83" s="3"/>
      <c r="E83" s="3"/>
      <c r="F83" s="3"/>
      <c r="G83" s="3"/>
      <c r="H83" s="3"/>
      <c r="I83" s="3"/>
      <c r="J83" s="3"/>
      <c r="K83" s="11" t="s">
        <v>746</v>
      </c>
    </row>
    <row r="84">
      <c r="A84" s="3"/>
      <c r="B84" s="3" t="s">
        <v>827</v>
      </c>
      <c r="C84" s="78">
        <v>102.06</v>
      </c>
      <c r="D84" s="3"/>
      <c r="E84" s="3"/>
      <c r="F84" s="3"/>
      <c r="G84" s="3"/>
      <c r="H84" s="3"/>
      <c r="I84" s="3"/>
      <c r="J84" s="3"/>
      <c r="K84" s="11" t="s">
        <v>746</v>
      </c>
    </row>
    <row r="85">
      <c r="A85" s="3"/>
      <c r="B85" s="3" t="s">
        <v>828</v>
      </c>
      <c r="C85" s="78">
        <v>105</v>
      </c>
      <c r="D85" s="3"/>
      <c r="E85" s="3"/>
      <c r="F85" s="3"/>
      <c r="G85" s="3"/>
      <c r="H85" s="3"/>
      <c r="I85" s="3"/>
      <c r="J85" s="3"/>
      <c r="K85" s="11" t="s">
        <v>746</v>
      </c>
    </row>
    <row r="86">
      <c r="A86" s="3"/>
      <c r="B86" s="3" t="s">
        <v>829</v>
      </c>
      <c r="C86" s="78">
        <v>125</v>
      </c>
      <c r="D86" s="3"/>
      <c r="E86" s="3"/>
      <c r="F86" s="3"/>
      <c r="G86" s="3"/>
      <c r="H86" s="3"/>
      <c r="I86" s="3"/>
      <c r="J86" s="3"/>
      <c r="K86" s="11" t="s">
        <v>746</v>
      </c>
    </row>
    <row r="87">
      <c r="A87" s="3"/>
      <c r="B87" s="3" t="s">
        <v>830</v>
      </c>
      <c r="C87" s="78">
        <v>50</v>
      </c>
      <c r="D87" s="3"/>
      <c r="E87" s="3"/>
      <c r="F87" s="3"/>
      <c r="G87" s="3"/>
      <c r="H87" s="3"/>
      <c r="I87" s="3"/>
      <c r="J87" s="3"/>
      <c r="K87" s="11" t="s">
        <v>746</v>
      </c>
    </row>
    <row r="88">
      <c r="A88" s="3"/>
      <c r="B88" s="3" t="s">
        <v>831</v>
      </c>
      <c r="C88" s="78">
        <v>13.51</v>
      </c>
      <c r="D88" s="3"/>
      <c r="E88" s="3"/>
      <c r="F88" s="3"/>
      <c r="G88" s="3"/>
      <c r="H88" s="3"/>
      <c r="I88" s="3"/>
      <c r="J88" s="3"/>
      <c r="K88" s="11" t="s">
        <v>746</v>
      </c>
    </row>
    <row r="89">
      <c r="A89" s="3"/>
      <c r="B89" s="3" t="s">
        <v>832</v>
      </c>
      <c r="C89" s="78">
        <v>24</v>
      </c>
      <c r="D89" s="3"/>
      <c r="E89" s="3"/>
      <c r="F89" s="3"/>
      <c r="G89" s="3"/>
      <c r="H89" s="3"/>
      <c r="I89" s="3"/>
      <c r="J89" s="3"/>
      <c r="K89" s="11" t="s">
        <v>746</v>
      </c>
    </row>
    <row r="90">
      <c r="A90" s="3"/>
      <c r="B90" s="3" t="s">
        <v>833</v>
      </c>
      <c r="C90" s="78" t="s">
        <v>834</v>
      </c>
      <c r="D90" s="3"/>
      <c r="E90" s="3"/>
      <c r="F90" s="3"/>
      <c r="G90" s="3"/>
      <c r="H90" s="3"/>
      <c r="I90" s="3"/>
      <c r="J90" s="3"/>
      <c r="K90" s="11" t="s">
        <v>746</v>
      </c>
    </row>
    <row r="91">
      <c r="A91" s="3"/>
      <c r="B91" s="3" t="s">
        <v>835</v>
      </c>
      <c r="C91" s="78">
        <v>1.32</v>
      </c>
      <c r="D91" s="3"/>
      <c r="E91" s="3"/>
      <c r="F91" s="3"/>
      <c r="G91" s="3"/>
      <c r="H91" s="3"/>
      <c r="I91" s="3"/>
      <c r="J91" s="3"/>
      <c r="K91" s="11" t="s">
        <v>746</v>
      </c>
    </row>
    <row r="92">
      <c r="A92" s="3"/>
      <c r="B92" s="3" t="s">
        <v>836</v>
      </c>
      <c r="C92" s="78">
        <v>84.09</v>
      </c>
      <c r="D92" s="3"/>
      <c r="E92" s="3"/>
      <c r="F92" s="3"/>
      <c r="G92" s="3"/>
      <c r="H92" s="3"/>
      <c r="I92" s="3"/>
      <c r="J92" s="3"/>
      <c r="K92" s="11" t="s">
        <v>746</v>
      </c>
    </row>
    <row r="93">
      <c r="A93" s="3"/>
      <c r="B93" s="3" t="s">
        <v>837</v>
      </c>
      <c r="C93" s="3"/>
      <c r="D93" s="3"/>
      <c r="E93" s="3"/>
      <c r="F93" s="3"/>
      <c r="G93" s="3"/>
      <c r="H93" s="3"/>
      <c r="I93" s="3"/>
      <c r="J93" s="3"/>
      <c r="K93" s="11" t="s">
        <v>746</v>
      </c>
    </row>
    <row r="94">
      <c r="A94" s="3"/>
      <c r="B94" s="3" t="s">
        <v>758</v>
      </c>
      <c r="C94" s="78" t="s">
        <v>759</v>
      </c>
      <c r="D94" s="3"/>
      <c r="E94" s="3"/>
      <c r="F94" s="3"/>
      <c r="G94" s="3"/>
      <c r="H94" s="3"/>
      <c r="I94" s="3"/>
      <c r="J94" s="3"/>
      <c r="K94" s="11" t="s">
        <v>746</v>
      </c>
    </row>
    <row r="95">
      <c r="A95" s="3"/>
      <c r="B95" s="3" t="s">
        <v>838</v>
      </c>
      <c r="C95" s="99" t="s">
        <v>839</v>
      </c>
      <c r="D95" s="3"/>
      <c r="E95" s="3"/>
      <c r="F95" s="3"/>
      <c r="G95" s="3"/>
      <c r="H95" s="3"/>
      <c r="I95" s="3"/>
      <c r="J95" s="3"/>
      <c r="K95" s="11" t="s">
        <v>746</v>
      </c>
    </row>
    <row r="96">
      <c r="A96" s="3"/>
      <c r="B96" s="3" t="s">
        <v>840</v>
      </c>
      <c r="C96" s="1">
        <v>46299</v>
      </c>
      <c r="D96" s="3"/>
      <c r="E96" s="3"/>
      <c r="F96" s="3"/>
      <c r="G96" s="3"/>
      <c r="H96" s="3"/>
      <c r="I96" s="3"/>
      <c r="J96" s="3"/>
      <c r="K96" s="11" t="s">
        <v>746</v>
      </c>
    </row>
    <row r="97">
      <c r="A97" s="3"/>
      <c r="B97" s="3" t="s">
        <v>841</v>
      </c>
      <c r="C97" s="99" t="s">
        <v>842</v>
      </c>
      <c r="D97" s="3"/>
      <c r="E97" s="3"/>
      <c r="F97" s="3"/>
      <c r="G97" s="3"/>
      <c r="H97" s="3"/>
      <c r="I97" s="3"/>
      <c r="J97" s="3"/>
      <c r="K97" s="11" t="s">
        <v>746</v>
      </c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ht="14.624267578125">
      <c r="A99" s="3"/>
      <c r="B99" s="15" t="s">
        <v>843</v>
      </c>
      <c r="C99" s="3"/>
      <c r="D99" s="3"/>
      <c r="E99" s="3"/>
      <c r="F99" s="3"/>
      <c r="G99" s="3"/>
      <c r="H99" s="3"/>
      <c r="I99" s="3"/>
      <c r="J99" s="3"/>
      <c r="K99" s="3"/>
    </row>
    <row r="100" ht="33">
      <c r="A100" s="3"/>
      <c r="B100" s="101" t="s">
        <v>751</v>
      </c>
      <c r="C100" s="13" t="s">
        <v>844</v>
      </c>
      <c r="D100" s="13" t="s">
        <v>845</v>
      </c>
      <c r="E100" s="13" t="s">
        <v>846</v>
      </c>
      <c r="F100" s="13" t="s">
        <v>847</v>
      </c>
      <c r="G100" s="13" t="s">
        <v>848</v>
      </c>
      <c r="H100" s="13" t="s">
        <v>849</v>
      </c>
      <c r="I100" s="13" t="s">
        <v>850</v>
      </c>
      <c r="J100" s="3"/>
      <c r="K100" s="3"/>
    </row>
    <row r="101">
      <c r="A101" s="3"/>
      <c r="B101" s="100">
        <v>45747</v>
      </c>
      <c r="C101" s="1">
        <v>45756</v>
      </c>
      <c r="D101" s="78">
        <v>0.39</v>
      </c>
      <c r="E101" s="78">
        <v>0.46</v>
      </c>
      <c r="F101" s="78">
        <v>0.4</v>
      </c>
      <c r="G101" s="78">
        <v>0.37</v>
      </c>
      <c r="H101" s="78">
        <v>13457.14</v>
      </c>
      <c r="I101" s="78">
        <v>14040</v>
      </c>
      <c r="J101" s="3"/>
      <c r="K101" s="11" t="s">
        <v>851</v>
      </c>
    </row>
    <row r="102">
      <c r="A102" s="3"/>
      <c r="B102" s="100">
        <v>45838</v>
      </c>
      <c r="C102" s="1">
        <v>45848</v>
      </c>
      <c r="D102" s="78">
        <v>2.06</v>
      </c>
      <c r="E102" s="78">
        <v>2.1</v>
      </c>
      <c r="F102" s="78">
        <v>2.07</v>
      </c>
      <c r="G102" s="78">
        <v>3.27</v>
      </c>
      <c r="H102" s="78">
        <v>16158.46</v>
      </c>
      <c r="I102" s="78">
        <v>16648</v>
      </c>
      <c r="J102" s="3"/>
      <c r="K102" s="11" t="s">
        <v>851</v>
      </c>
    </row>
    <row r="103">
      <c r="A103" s="3"/>
      <c r="B103" s="100">
        <v>45930</v>
      </c>
      <c r="C103" s="1">
        <v>45939</v>
      </c>
      <c r="D103" s="78">
        <v>1.53</v>
      </c>
      <c r="E103" s="78">
        <v>1.71</v>
      </c>
      <c r="F103" s="78">
        <v>1.52</v>
      </c>
      <c r="G103" s="78">
        <v>2.17</v>
      </c>
      <c r="H103" s="78">
        <v>15991.17</v>
      </c>
      <c r="I103" s="78">
        <v>16673</v>
      </c>
      <c r="J103" s="3"/>
      <c r="K103" s="11" t="s">
        <v>851</v>
      </c>
    </row>
    <row r="104">
      <c r="A104" s="3"/>
      <c r="B104" s="100">
        <v>46022</v>
      </c>
      <c r="C104" s="1">
        <v>46035</v>
      </c>
      <c r="D104" s="78">
        <v>1.55</v>
      </c>
      <c r="E104" s="78">
        <v>1.55</v>
      </c>
      <c r="F104" s="78">
        <v>1.52</v>
      </c>
      <c r="G104" s="78">
        <v>1.86</v>
      </c>
      <c r="H104" s="78">
        <v>15688.1</v>
      </c>
      <c r="I104" s="78">
        <v>16003</v>
      </c>
      <c r="J104" s="3"/>
      <c r="K104" s="11" t="s">
        <v>851</v>
      </c>
    </row>
    <row r="105">
      <c r="A105" s="3"/>
      <c r="B105" s="100">
        <v>46112</v>
      </c>
      <c r="C105" s="1">
        <v>46120</v>
      </c>
      <c r="D105" s="78">
        <v>0.57</v>
      </c>
      <c r="E105" s="78">
        <v>0.64</v>
      </c>
      <c r="F105" s="78">
        <v>0.58</v>
      </c>
      <c r="G105" s="78">
        <v>-0.44</v>
      </c>
      <c r="H105" s="78">
        <v>14869.04</v>
      </c>
      <c r="I105" s="78">
        <v>15854</v>
      </c>
      <c r="J105" s="3"/>
      <c r="K105" s="11" t="s">
        <v>851</v>
      </c>
    </row>
    <row r="106">
      <c r="A106" s="3"/>
      <c r="B106" s="100">
        <v>46203</v>
      </c>
      <c r="C106" s="1">
        <v>46213</v>
      </c>
      <c r="D106" s="78">
        <v>1.49</v>
      </c>
      <c r="E106" s="78">
        <v>1.56</v>
      </c>
      <c r="F106" s="78">
        <v>1.48</v>
      </c>
      <c r="G106" s="78">
        <v>2.44</v>
      </c>
      <c r="H106" s="78">
        <v>18680.23</v>
      </c>
      <c r="I106" s="78">
        <v>19757</v>
      </c>
      <c r="J106" s="3"/>
      <c r="K106" s="11" t="s">
        <v>851</v>
      </c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ht="23.24853515625">
      <c r="A108" s="3"/>
      <c r="B108" s="15" t="s">
        <v>852</v>
      </c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 t="str">
        <f>TEXT(B101,"yyyy-mm-dd")&amp;": strict beat (1/0)"</f>
        <v>2025-03-31: strict beat (1/0)</v>
      </c>
      <c r="C109" s="84">
        <f>IF(E101&gt;D101,1,0)</f>
        <v>1</v>
      </c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 t="str">
        <f>TEXT(B102,"yyyy-mm-dd")&amp;": strict beat (1/0)"</f>
        <v>2025-06-30: strict beat (1/0)</v>
      </c>
      <c r="C110" s="84">
        <f>IF(E102&gt;D102,1,0)</f>
        <v>1</v>
      </c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 t="str">
        <f>TEXT(B103,"yyyy-mm-dd")&amp;": strict beat (1/0)"</f>
        <v>2025-09-30: strict beat (1/0)</v>
      </c>
      <c r="C111" s="84">
        <f>IF(E103&gt;D103,1,0)</f>
        <v>1</v>
      </c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 t="str">
        <f>TEXT(B104,"yyyy-mm-dd")&amp;": strict beat (1/0)"</f>
        <v>2025-12-31: strict beat (1/0)</v>
      </c>
      <c r="C112" s="84">
        <f>IF(E104&gt;D104,1,0)</f>
        <v>0</v>
      </c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 t="str">
        <f>TEXT(B105,"yyyy-mm-dd")&amp;": strict beat (1/0)"</f>
        <v>2026-03-31: strict beat (1/0)</v>
      </c>
      <c r="C113" s="84">
        <f>IF(E105&gt;D105,1,0)</f>
        <v>1</v>
      </c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 t="str">
        <f>TEXT(B106,"yyyy-mm-dd")&amp;": strict beat (1/0)"</f>
        <v>2026-06-30: strict beat (1/0)</v>
      </c>
      <c r="C114" s="84">
        <f>IF(E106&gt;D106,1,0)</f>
        <v>1</v>
      </c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 t="str">
        <f>TEXT(B101,"yyyy-mm-dd")&amp;": EPS surprise ($/sh)"</f>
        <v>2025-03-31: EPS surprise ($/sh)</v>
      </c>
      <c r="C115" s="18">
        <f>E101-D101</f>
        <v>0.07</v>
      </c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 t="str">
        <f>TEXT(B102,"yyyy-mm-dd")&amp;": EPS surprise ($/sh)"</f>
        <v>2025-06-30: EPS surprise ($/sh)</v>
      </c>
      <c r="C116" s="18">
        <f>E102-D102</f>
        <v>0.040000000000000036</v>
      </c>
      <c r="D116" s="3"/>
      <c r="E116" s="3"/>
      <c r="F116" s="3"/>
      <c r="G116" s="3"/>
      <c r="H116" s="3"/>
      <c r="I116" s="3"/>
      <c r="J116" s="3"/>
      <c r="K116" s="3"/>
    </row>
    <row r="117" ht="25.5">
      <c r="A117" s="3"/>
      <c r="B117" s="3" t="str">
        <f>TEXT(B103,"yyyy-mm-dd")&amp;": EPS surprise ($/sh)"</f>
        <v>2025-09-30: EPS surprise ($/sh)</v>
      </c>
      <c r="C117" s="18">
        <f>E103-D103</f>
        <v>0.17999999999999994</v>
      </c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 t="str">
        <f>TEXT(B104,"yyyy-mm-dd")&amp;": EPS surprise ($/sh)"</f>
        <v>2025-12-31: EPS surprise ($/sh)</v>
      </c>
      <c r="C118" s="18">
        <f>E104-D104</f>
        <v>0</v>
      </c>
      <c r="D118" s="3"/>
      <c r="E118" s="3"/>
      <c r="F118" s="3"/>
      <c r="G118" s="3"/>
      <c r="H118" s="3"/>
      <c r="I118" s="3"/>
      <c r="J118" s="3"/>
      <c r="K118" s="3"/>
    </row>
    <row r="119" ht="25.5">
      <c r="A119" s="3"/>
      <c r="B119" s="3" t="str">
        <f>TEXT(B105,"yyyy-mm-dd")&amp;": EPS surprise ($/sh)"</f>
        <v>2026-03-31: EPS surprise ($/sh)</v>
      </c>
      <c r="C119" s="18">
        <f>E105-D105</f>
        <v>0.07000000000000006</v>
      </c>
      <c r="D119" s="3"/>
      <c r="E119" s="3"/>
      <c r="F119" s="3"/>
      <c r="G119" s="3"/>
      <c r="H119" s="3"/>
      <c r="I119" s="3"/>
      <c r="J119" s="3"/>
      <c r="K119" s="3"/>
    </row>
    <row r="120" ht="25.5">
      <c r="A120" s="3"/>
      <c r="B120" s="3" t="str">
        <f>TEXT(B106,"yyyy-mm-dd")&amp;": EPS surprise ($/sh)"</f>
        <v>2026-06-30: EPS surprise ($/sh)</v>
      </c>
      <c r="C120" s="18">
        <f>E106-D106</f>
        <v>0.07000000000000006</v>
      </c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 t="s">
        <v>853</v>
      </c>
      <c r="C121" s="84">
        <f>SUM(C109:C114)</f>
        <v>5</v>
      </c>
      <c r="D121" s="3"/>
      <c r="E121" s="3"/>
      <c r="F121" s="3"/>
      <c r="G121" s="3"/>
      <c r="H121" s="3"/>
      <c r="I121" s="3"/>
      <c r="J121" s="3"/>
      <c r="K121" s="3"/>
    </row>
    <row r="122" ht="25.5">
      <c r="A122" s="3"/>
      <c r="B122" s="3" t="s">
        <v>854</v>
      </c>
      <c r="C122" s="84">
        <f>SUMPRODUCT(--ISNUMBER(D101:D106),--ISNUMBER(E101:E106))</f>
        <v>6</v>
      </c>
      <c r="D122" s="3"/>
      <c r="E122" s="3"/>
      <c r="F122" s="3"/>
      <c r="G122" s="3"/>
      <c r="H122" s="3"/>
      <c r="I122" s="3"/>
      <c r="J122" s="3"/>
      <c r="K122" s="3"/>
    </row>
    <row r="123" ht="29.25">
      <c r="A123" s="3"/>
      <c r="B123" s="16" t="s">
        <v>855</v>
      </c>
      <c r="C123" s="18">
        <f>AVERAGE(C115:C120)</f>
        <v>0.07166666666666668</v>
      </c>
      <c r="D123" s="3"/>
      <c r="E123" s="3"/>
      <c r="F123" s="3"/>
      <c r="G123" s="3"/>
      <c r="H123" s="3"/>
      <c r="I123" s="3"/>
      <c r="J123" s="3"/>
      <c r="K123" s="3"/>
    </row>
    <row r="124" ht="25.5">
      <c r="A124" s="3"/>
      <c r="B124" s="3" t="s">
        <v>856</v>
      </c>
      <c r="C124" s="84" t="str">
        <f>C31</f>
        <v>Y</v>
      </c>
      <c r="D124" s="3"/>
      <c r="E124" s="3"/>
      <c r="F124" s="3"/>
      <c r="G124" s="3"/>
      <c r="H124" s="3"/>
      <c r="I124" s="3"/>
      <c r="J124" s="3"/>
      <c r="K124" s="3"/>
    </row>
    <row r="125" ht="29.25">
      <c r="A125" s="3"/>
      <c r="B125" s="16" t="s">
        <v>857</v>
      </c>
      <c r="C125" s="23">
        <f>'Share Count'!F23</f>
        <v>657.62303</v>
      </c>
      <c r="D125" s="3"/>
      <c r="E125" s="3"/>
      <c r="F125" s="3"/>
      <c r="G125" s="3"/>
      <c r="H125" s="3"/>
      <c r="I125" s="3"/>
      <c r="J125" s="3"/>
      <c r="K125" s="3"/>
    </row>
    <row r="126" ht="29.25">
      <c r="A126" s="3"/>
      <c r="B126" s="16" t="s">
        <v>858</v>
      </c>
      <c r="C126" s="22">
        <f>C125*C92</f>
        <v>55299.5205927</v>
      </c>
      <c r="D126" s="3"/>
      <c r="E126" s="3"/>
      <c r="F126" s="3"/>
      <c r="G126" s="3"/>
      <c r="H126" s="3"/>
      <c r="I126" s="3"/>
      <c r="J126" s="3"/>
      <c r="K126" s="11" t="s">
        <v>859</v>
      </c>
    </row>
    <row r="127">
      <c r="A127" s="3"/>
      <c r="B127" s="3" t="s">
        <v>860</v>
      </c>
      <c r="C127" s="84" t="str">
        <f>IF(C126&gt;10000,"large",IF(C126&gt;2000,"mid","small"))</f>
        <v>large</v>
      </c>
      <c r="D127" s="3"/>
      <c r="E127" s="3"/>
      <c r="F127" s="3"/>
      <c r="G127" s="3"/>
      <c r="H127" s="3"/>
      <c r="I127" s="3"/>
      <c r="J127" s="3"/>
      <c r="K127" s="3"/>
    </row>
    <row r="128" ht="29.25">
      <c r="A128" s="3"/>
      <c r="B128" s="83" t="s">
        <v>861</v>
      </c>
      <c r="C128" s="12">
        <f>IF(OR(C127="large",C124="Y"),0.78,IF(C127="mid",0.70,0.60))</f>
        <v>0.78</v>
      </c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 t="s">
        <v>862</v>
      </c>
      <c r="C129" s="78">
        <v>8</v>
      </c>
      <c r="D129" s="3"/>
      <c r="E129" s="3"/>
      <c r="F129" s="3"/>
      <c r="G129" s="3"/>
      <c r="H129" s="3"/>
      <c r="I129" s="3"/>
      <c r="J129" s="3"/>
      <c r="K129" s="3"/>
    </row>
    <row r="130" ht="29.25">
      <c r="A130" s="3"/>
      <c r="B130" s="83" t="s">
        <v>863</v>
      </c>
      <c r="C130" s="12">
        <f>(C129*C128+C121)/(C129+C122)</f>
        <v>0.8028571428571428</v>
      </c>
      <c r="D130" s="3"/>
      <c r="E130" s="3"/>
      <c r="F130" s="3"/>
      <c r="G130" s="3"/>
      <c r="H130" s="3"/>
      <c r="I130" s="3"/>
      <c r="J130" s="3"/>
      <c r="K130" s="3"/>
    </row>
    <row r="131" ht="29.25">
      <c r="A131" s="3"/>
      <c r="B131" s="83" t="s">
        <v>864</v>
      </c>
      <c r="C131" s="4">
        <v>0.27</v>
      </c>
      <c r="D131" s="3"/>
      <c r="E131" s="3"/>
      <c r="F131" s="3"/>
      <c r="G131" s="3"/>
      <c r="H131" s="3"/>
      <c r="I131" s="3"/>
      <c r="J131" s="3"/>
      <c r="K131" s="11" t="s">
        <v>865</v>
      </c>
    </row>
    <row r="132">
      <c r="A132" s="3"/>
      <c r="B132" s="3" t="s">
        <v>49</v>
      </c>
      <c r="C132" s="78" t="s">
        <v>866</v>
      </c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</sheetData>
</worksheet>
</file>